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70" windowWidth="15450" windowHeight="9690" tabRatio="598" firstSheet="2" activeTab="2"/>
  </bookViews>
  <sheets>
    <sheet name="01.01.2016" sheetId="1" state="hidden" r:id="rId1"/>
    <sheet name="ОБЩИЙ" sheetId="3" state="hidden" r:id="rId2"/>
    <sheet name="ШКОЛЫ" sheetId="4" r:id="rId3"/>
    <sheet name="ДОП" sheetId="5" r:id="rId4"/>
    <sheet name="САДЫ" sheetId="6" r:id="rId5"/>
    <sheet name="Лист1" sheetId="7" r:id="rId6"/>
  </sheets>
  <calcPr calcId="145621"/>
</workbook>
</file>

<file path=xl/calcChain.xml><?xml version="1.0" encoding="utf-8"?>
<calcChain xmlns="http://schemas.openxmlformats.org/spreadsheetml/2006/main">
  <c r="M130" i="4" l="1"/>
  <c r="M138" i="4"/>
  <c r="M141" i="4"/>
  <c r="M142" i="4"/>
  <c r="M147" i="4"/>
  <c r="M150" i="4"/>
  <c r="M151" i="4"/>
  <c r="M154" i="4"/>
  <c r="V163" i="4"/>
  <c r="V43" i="4"/>
  <c r="L39" i="6" l="1"/>
  <c r="L37" i="6"/>
  <c r="L38" i="6"/>
  <c r="L36" i="6"/>
  <c r="L74" i="6" l="1"/>
  <c r="L72" i="6"/>
  <c r="L73" i="6"/>
  <c r="L71" i="6"/>
  <c r="L84" i="6"/>
  <c r="L85" i="6"/>
  <c r="L83" i="6"/>
  <c r="L95" i="6"/>
  <c r="L96" i="6"/>
  <c r="L94" i="6"/>
  <c r="L109" i="6"/>
  <c r="L110" i="6"/>
  <c r="L108" i="6"/>
  <c r="L137" i="6"/>
  <c r="L136" i="6"/>
  <c r="L135" i="6"/>
  <c r="L134" i="6"/>
  <c r="L147" i="6"/>
  <c r="L148" i="6"/>
  <c r="L146" i="6"/>
  <c r="I14" i="5"/>
  <c r="I13" i="5"/>
  <c r="I12" i="5"/>
  <c r="I11" i="5"/>
  <c r="I10" i="5"/>
  <c r="J22" i="5"/>
  <c r="R149" i="6"/>
  <c r="R138" i="6"/>
  <c r="R100" i="6"/>
  <c r="R86" i="6"/>
  <c r="R63" i="6"/>
  <c r="R51" i="6"/>
  <c r="R40" i="6"/>
  <c r="R30" i="6"/>
  <c r="R22" i="6"/>
  <c r="S186" i="4" l="1"/>
  <c r="N186" i="4" s="1"/>
  <c r="O164" i="4"/>
  <c r="O170" i="4"/>
  <c r="K176" i="4"/>
  <c r="K175" i="4"/>
  <c r="O178" i="4"/>
  <c r="O171" i="4"/>
  <c r="O165" i="4"/>
  <c r="K142" i="4"/>
  <c r="K151" i="4"/>
  <c r="K150" i="4"/>
  <c r="K147" i="4"/>
  <c r="K141" i="4"/>
  <c r="K138" i="4"/>
  <c r="K130" i="4"/>
  <c r="S127" i="4"/>
  <c r="K119" i="4"/>
  <c r="K110" i="4"/>
  <c r="K108" i="4"/>
  <c r="K99" i="4"/>
  <c r="S96" i="4"/>
  <c r="N96" i="4" s="1"/>
  <c r="K80" i="4"/>
  <c r="K87" i="4"/>
  <c r="K85" i="4"/>
  <c r="K78" i="4"/>
  <c r="K71" i="4"/>
  <c r="K22" i="4"/>
  <c r="K58" i="4"/>
  <c r="K60" i="4"/>
  <c r="K53" i="4"/>
  <c r="K31" i="4"/>
  <c r="K24" i="4"/>
  <c r="S68" i="4"/>
  <c r="N68" i="4" s="1"/>
  <c r="K44" i="4"/>
  <c r="S40" i="4"/>
  <c r="N40" i="4" s="1"/>
  <c r="K12" i="4" l="1"/>
  <c r="S129" i="4"/>
  <c r="N127" i="4"/>
  <c r="U162" i="4"/>
  <c r="T162" i="4"/>
  <c r="N162" i="4"/>
  <c r="N42" i="4"/>
  <c r="U42" i="4"/>
  <c r="T42" i="4"/>
  <c r="J175" i="4"/>
  <c r="T124" i="6"/>
  <c r="U24" i="6"/>
  <c r="V24" i="6" s="1"/>
  <c r="T24" i="6"/>
  <c r="T33" i="6"/>
  <c r="U33" i="6" s="1"/>
  <c r="V33" i="6" s="1"/>
  <c r="U43" i="6"/>
  <c r="V43" i="6" s="1"/>
  <c r="T43" i="6"/>
  <c r="T54" i="6"/>
  <c r="U54" i="6" s="1"/>
  <c r="V54" i="6" s="1"/>
  <c r="U66" i="6"/>
  <c r="V66" i="6" s="1"/>
  <c r="T66" i="6"/>
  <c r="T78" i="6"/>
  <c r="U78" i="6" s="1"/>
  <c r="V78" i="6" s="1"/>
  <c r="U89" i="6"/>
  <c r="V89" i="6" s="1"/>
  <c r="T89" i="6"/>
  <c r="V103" i="6"/>
  <c r="U103" i="6"/>
  <c r="T103" i="6"/>
  <c r="U117" i="6"/>
  <c r="V117" i="6" s="1"/>
  <c r="T117" i="6"/>
  <c r="T129" i="6"/>
  <c r="U129" i="6" s="1"/>
  <c r="V129" i="6" s="1"/>
  <c r="U141" i="6"/>
  <c r="V141" i="6" s="1"/>
  <c r="T141" i="6"/>
  <c r="T152" i="6"/>
  <c r="U152" i="6" s="1"/>
  <c r="V152" i="6" s="1"/>
  <c r="T39" i="4"/>
  <c r="U39" i="4" s="1"/>
  <c r="U67" i="4"/>
  <c r="T67" i="4"/>
  <c r="S70" i="4"/>
  <c r="Q43" i="4"/>
  <c r="S43" i="4"/>
  <c r="Q188" i="4"/>
  <c r="S188" i="4"/>
  <c r="Q163" i="4"/>
  <c r="S163" i="4"/>
  <c r="Q129" i="4"/>
  <c r="S98" i="4"/>
  <c r="T95" i="4"/>
  <c r="U95" i="4" s="1"/>
  <c r="T126" i="4"/>
  <c r="U126" i="4" s="1"/>
  <c r="T159" i="4"/>
  <c r="U159" i="4" s="1"/>
  <c r="T185" i="4"/>
  <c r="U185" i="4" s="1"/>
  <c r="R164" i="4"/>
  <c r="R165" i="4"/>
  <c r="R170" i="4"/>
  <c r="R171" i="4"/>
  <c r="R178" i="4"/>
  <c r="X192" i="4"/>
  <c r="M122" i="4"/>
  <c r="M119" i="4"/>
  <c r="M117" i="4"/>
  <c r="M110" i="4"/>
  <c r="M108" i="4"/>
  <c r="M99" i="4"/>
  <c r="M63" i="4"/>
  <c r="M60" i="4"/>
  <c r="M58" i="4"/>
  <c r="M53" i="4"/>
  <c r="M51" i="4"/>
  <c r="M44" i="4"/>
  <c r="M35" i="4"/>
  <c r="M31" i="4"/>
  <c r="M29" i="4"/>
  <c r="M24" i="4"/>
  <c r="M22" i="4"/>
  <c r="M12" i="4"/>
  <c r="N185" i="4"/>
  <c r="N39" i="4"/>
  <c r="N67" i="4"/>
  <c r="N95" i="4"/>
  <c r="N126" i="4"/>
  <c r="N159" i="4"/>
  <c r="B16" i="7" l="1"/>
  <c r="B15" i="7"/>
  <c r="D9" i="7"/>
  <c r="F8" i="7"/>
  <c r="G8" i="7" s="1"/>
  <c r="F7" i="7"/>
  <c r="G7" i="7" s="1"/>
  <c r="F6" i="7"/>
  <c r="G6" i="7" s="1"/>
  <c r="F5" i="7"/>
  <c r="G5" i="7" s="1"/>
  <c r="F4" i="7"/>
  <c r="G4" i="7" s="1"/>
  <c r="B3" i="7"/>
  <c r="C3" i="7" s="1"/>
  <c r="C9" i="7" s="1"/>
  <c r="N160" i="4"/>
  <c r="N157" i="4"/>
  <c r="T157" i="4" s="1"/>
  <c r="U157" i="4" s="1"/>
  <c r="R157" i="4"/>
  <c r="R158" i="4"/>
  <c r="X157" i="4"/>
  <c r="H35" i="4"/>
  <c r="I35" i="4"/>
  <c r="G35" i="4"/>
  <c r="R35" i="4"/>
  <c r="T140" i="6"/>
  <c r="U140" i="6" s="1"/>
  <c r="V140" i="6" s="1"/>
  <c r="T151" i="6"/>
  <c r="U151" i="6" s="1"/>
  <c r="V151" i="6" s="1"/>
  <c r="T128" i="6"/>
  <c r="U128" i="6" s="1"/>
  <c r="V128" i="6" s="1"/>
  <c r="T116" i="6"/>
  <c r="U116" i="6" s="1"/>
  <c r="V116" i="6" s="1"/>
  <c r="T102" i="6"/>
  <c r="U102" i="6" s="1"/>
  <c r="V102" i="6" s="1"/>
  <c r="T88" i="6"/>
  <c r="U88" i="6" s="1"/>
  <c r="V88" i="6" s="1"/>
  <c r="T77" i="6"/>
  <c r="U77" i="6" s="1"/>
  <c r="V77" i="6" s="1"/>
  <c r="T65" i="6"/>
  <c r="U65" i="6" s="1"/>
  <c r="V65" i="6" s="1"/>
  <c r="T53" i="6"/>
  <c r="U53" i="6" s="1"/>
  <c r="V53" i="6" s="1"/>
  <c r="T42" i="6"/>
  <c r="U42" i="6" s="1"/>
  <c r="V42" i="6" s="1"/>
  <c r="T32" i="6"/>
  <c r="U32" i="6" s="1"/>
  <c r="V32" i="6" s="1"/>
  <c r="R26" i="6"/>
  <c r="X164" i="4"/>
  <c r="X171" i="4"/>
  <c r="X178" i="4"/>
  <c r="M71" i="4"/>
  <c r="M78" i="4"/>
  <c r="M80" i="4"/>
  <c r="M85" i="4"/>
  <c r="M87" i="4"/>
  <c r="M91" i="4"/>
  <c r="B17" i="7" l="1"/>
  <c r="D17" i="7" s="1"/>
  <c r="F3" i="7"/>
  <c r="G3" i="7" s="1"/>
  <c r="B9" i="7"/>
  <c r="F9" i="7" s="1"/>
  <c r="G9" i="7" s="1"/>
  <c r="N27" i="6" l="1"/>
  <c r="P150" i="6"/>
  <c r="P139" i="6"/>
  <c r="P127" i="6"/>
  <c r="P115" i="6"/>
  <c r="P101" i="6"/>
  <c r="P87" i="6"/>
  <c r="P76" i="6"/>
  <c r="P64" i="6"/>
  <c r="P52" i="6"/>
  <c r="P41" i="6"/>
  <c r="P31" i="6"/>
  <c r="P23" i="6" l="1"/>
  <c r="P15" i="6" s="1"/>
  <c r="L35" i="4"/>
  <c r="P35" i="4" s="1"/>
  <c r="K35" i="4"/>
  <c r="L125" i="6"/>
  <c r="L123" i="6"/>
  <c r="L124" i="6"/>
  <c r="L122" i="6"/>
  <c r="L60" i="6"/>
  <c r="L61" i="6"/>
  <c r="L62" i="6"/>
  <c r="L59" i="6"/>
  <c r="L49" i="6"/>
  <c r="L50" i="6"/>
  <c r="L48" i="6"/>
  <c r="L17" i="6"/>
  <c r="L18" i="6"/>
  <c r="L19" i="6"/>
  <c r="L16" i="6"/>
  <c r="L27" i="6"/>
  <c r="I22" i="5"/>
  <c r="Q97" i="4"/>
  <c r="Q69" i="4"/>
  <c r="Y164" i="4"/>
  <c r="R182" i="4"/>
  <c r="N97" i="4" l="1"/>
  <c r="Q98" i="4"/>
  <c r="N69" i="4"/>
  <c r="Q70" i="4"/>
  <c r="J35" i="4"/>
  <c r="O35" i="4"/>
  <c r="N35" i="4" s="1"/>
  <c r="J24" i="5"/>
  <c r="I16" i="5"/>
  <c r="T35" i="4" l="1"/>
  <c r="U35" i="4" s="1"/>
  <c r="K19" i="5"/>
  <c r="J19" i="5"/>
  <c r="N22" i="5" s="1"/>
  <c r="I188" i="4"/>
  <c r="H188" i="4"/>
  <c r="G188" i="4"/>
  <c r="H155" i="4"/>
  <c r="I155" i="4"/>
  <c r="L19" i="5" l="1"/>
  <c r="M18" i="6"/>
  <c r="K22" i="5" l="1"/>
  <c r="L22" i="5" s="1"/>
  <c r="K23" i="5"/>
  <c r="L23" i="5" s="1"/>
  <c r="K20" i="5"/>
  <c r="L20" i="5" s="1"/>
  <c r="T139" i="6"/>
  <c r="U139" i="6" s="1"/>
  <c r="V139" i="6" s="1"/>
  <c r="K154" i="4" l="1"/>
  <c r="K122" i="4"/>
  <c r="K117" i="4"/>
  <c r="K91" i="4"/>
  <c r="J65" i="4"/>
  <c r="K63" i="4"/>
  <c r="K51" i="4"/>
  <c r="K29" i="4" l="1"/>
  <c r="M20" i="6"/>
  <c r="M19" i="6" l="1"/>
  <c r="G16" i="6"/>
  <c r="N16" i="6" s="1"/>
  <c r="G59" i="6"/>
  <c r="N59" i="6" s="1"/>
  <c r="G60" i="6"/>
  <c r="O16" i="6" l="1"/>
  <c r="O59" i="6"/>
  <c r="G48" i="6"/>
  <c r="G17" i="6"/>
  <c r="G19" i="6"/>
  <c r="G18" i="6"/>
  <c r="G27" i="6"/>
  <c r="O27" i="6" s="1"/>
  <c r="N18" i="6" l="1"/>
  <c r="O18" i="6"/>
  <c r="E18" i="5"/>
  <c r="F18" i="5"/>
  <c r="G18" i="5"/>
  <c r="H18" i="5"/>
  <c r="D18" i="5"/>
  <c r="E15" i="5"/>
  <c r="F15" i="5"/>
  <c r="G15" i="5"/>
  <c r="H15" i="5"/>
  <c r="D15" i="5"/>
  <c r="L153" i="6" l="1"/>
  <c r="L154" i="6"/>
  <c r="Q16" i="6"/>
  <c r="L28" i="6"/>
  <c r="Q28" i="6" s="1"/>
  <c r="J17" i="5" l="1"/>
  <c r="J16" i="5"/>
  <c r="J14" i="5"/>
  <c r="J13" i="5"/>
  <c r="J11" i="5"/>
  <c r="J10" i="5"/>
  <c r="K14" i="5" l="1"/>
  <c r="L14" i="5" s="1"/>
  <c r="K13" i="5"/>
  <c r="L13" i="5" s="1"/>
  <c r="K11" i="5"/>
  <c r="L11" i="5" s="1"/>
  <c r="J18" i="5"/>
  <c r="K16" i="5"/>
  <c r="I18" i="5" l="1"/>
  <c r="M18" i="5" s="1"/>
  <c r="N15" i="5"/>
  <c r="L16" i="5"/>
  <c r="K17" i="5"/>
  <c r="L17" i="5" s="1"/>
  <c r="K18" i="5" l="1"/>
  <c r="L18" i="5"/>
  <c r="V101" i="6"/>
  <c r="U101" i="6"/>
  <c r="V100" i="6"/>
  <c r="U100" i="6"/>
  <c r="R15" i="6"/>
  <c r="V150" i="6" l="1"/>
  <c r="U150" i="6"/>
  <c r="T150" i="6"/>
  <c r="V149" i="6"/>
  <c r="U149" i="6"/>
  <c r="V138" i="6"/>
  <c r="U138" i="6"/>
  <c r="V127" i="6"/>
  <c r="U127" i="6"/>
  <c r="V126" i="6"/>
  <c r="U126" i="6"/>
  <c r="V115" i="6"/>
  <c r="U115" i="6"/>
  <c r="V114" i="6"/>
  <c r="U114" i="6"/>
  <c r="T114" i="6"/>
  <c r="V87" i="6"/>
  <c r="U87" i="6"/>
  <c r="V86" i="6"/>
  <c r="U86" i="6"/>
  <c r="V76" i="6"/>
  <c r="U76" i="6"/>
  <c r="V75" i="6"/>
  <c r="U75" i="6"/>
  <c r="U64" i="6"/>
  <c r="V64" i="6"/>
  <c r="V63" i="6"/>
  <c r="U63" i="6"/>
  <c r="T63" i="6"/>
  <c r="V41" i="6"/>
  <c r="U41" i="6"/>
  <c r="T41" i="6"/>
  <c r="V52" i="6"/>
  <c r="U52" i="6"/>
  <c r="V51" i="6"/>
  <c r="U51" i="6"/>
  <c r="T51" i="6"/>
  <c r="T52" i="6"/>
  <c r="V40" i="6"/>
  <c r="U40" i="6"/>
  <c r="T40" i="6"/>
  <c r="V31" i="6"/>
  <c r="U31" i="6"/>
  <c r="T31" i="6"/>
  <c r="V30" i="6"/>
  <c r="U30" i="6"/>
  <c r="T30" i="6"/>
  <c r="V23" i="6"/>
  <c r="V22" i="6"/>
  <c r="U23" i="6"/>
  <c r="U22" i="6"/>
  <c r="T23" i="6"/>
  <c r="T22" i="6"/>
  <c r="T187" i="4" l="1"/>
  <c r="U187" i="4" s="1"/>
  <c r="T186" i="4"/>
  <c r="U186" i="4" s="1"/>
  <c r="P178" i="4"/>
  <c r="P171" i="4"/>
  <c r="P170" i="4"/>
  <c r="P165" i="4"/>
  <c r="P164" i="4" l="1"/>
  <c r="T161" i="4" l="1"/>
  <c r="U161" i="4" s="1"/>
  <c r="T160" i="4"/>
  <c r="U160" i="4" s="1"/>
  <c r="T128" i="4"/>
  <c r="U128" i="4" s="1"/>
  <c r="T127" i="4"/>
  <c r="U127" i="4" s="1"/>
  <c r="T97" i="4"/>
  <c r="U97" i="4" s="1"/>
  <c r="T96" i="4"/>
  <c r="U96" i="4" s="1"/>
  <c r="T41" i="4" l="1"/>
  <c r="U41" i="4" s="1"/>
  <c r="T40" i="4"/>
  <c r="U40" i="4" s="1"/>
  <c r="T69" i="4"/>
  <c r="U69" i="4" s="1"/>
  <c r="T68" i="4"/>
  <c r="U68" i="4" s="1"/>
  <c r="L154" i="4"/>
  <c r="L151" i="4"/>
  <c r="L150" i="4"/>
  <c r="L147" i="4"/>
  <c r="L142" i="4"/>
  <c r="L141" i="4"/>
  <c r="L138" i="4"/>
  <c r="L130" i="4"/>
  <c r="L122" i="4"/>
  <c r="L119" i="4"/>
  <c r="L117" i="4"/>
  <c r="L110" i="4"/>
  <c r="L108" i="4"/>
  <c r="L99" i="4"/>
  <c r="L91" i="4"/>
  <c r="L87" i="4"/>
  <c r="L85" i="4"/>
  <c r="L80" i="4"/>
  <c r="L78" i="4"/>
  <c r="L71" i="4"/>
  <c r="L63" i="4"/>
  <c r="L60" i="4"/>
  <c r="L58" i="4"/>
  <c r="L53" i="4"/>
  <c r="L51" i="4"/>
  <c r="L44" i="4"/>
  <c r="L31" i="4"/>
  <c r="L29" i="4"/>
  <c r="L24" i="4"/>
  <c r="L22" i="4"/>
  <c r="L12" i="4"/>
  <c r="P133" i="6"/>
  <c r="P145" i="6"/>
  <c r="P144" i="6" s="1"/>
  <c r="P121" i="6"/>
  <c r="P120" i="6" s="1"/>
  <c r="P107" i="6"/>
  <c r="P106" i="6" s="1"/>
  <c r="P93" i="6"/>
  <c r="P92" i="6" s="1"/>
  <c r="P82" i="6"/>
  <c r="P81" i="6" s="1"/>
  <c r="P70" i="6"/>
  <c r="P69" i="6" s="1"/>
  <c r="P58" i="6"/>
  <c r="P57" i="6" s="1"/>
  <c r="P47" i="6"/>
  <c r="P46" i="6" s="1"/>
  <c r="P35" i="6"/>
  <c r="P34" i="6" s="1"/>
  <c r="P26" i="6"/>
  <c r="P25" i="6" s="1"/>
  <c r="P14" i="6"/>
  <c r="Q189" i="4" l="1"/>
  <c r="G28" i="6"/>
  <c r="Q27" i="6" s="1"/>
  <c r="T27" i="6" s="1"/>
  <c r="T26" i="6" s="1"/>
  <c r="W164" i="4" l="1"/>
  <c r="W165" i="4"/>
  <c r="W170" i="4"/>
  <c r="W171" i="4"/>
  <c r="W178" i="4"/>
  <c r="G71" i="4"/>
  <c r="O71" i="4" s="1"/>
  <c r="J71" i="4"/>
  <c r="P71" i="4"/>
  <c r="S189" i="4"/>
  <c r="R145" i="6"/>
  <c r="R144" i="6" s="1"/>
  <c r="T149" i="6"/>
  <c r="T138" i="6"/>
  <c r="P132" i="6"/>
  <c r="R133" i="6"/>
  <c r="R132" i="6" s="1"/>
  <c r="R93" i="6"/>
  <c r="R92" i="6" s="1"/>
  <c r="R107" i="6"/>
  <c r="R106" i="6" s="1"/>
  <c r="T127" i="6"/>
  <c r="T126" i="6"/>
  <c r="R121" i="6"/>
  <c r="R120" i="6" s="1"/>
  <c r="T115" i="6"/>
  <c r="T101" i="6"/>
  <c r="T100" i="6"/>
  <c r="T87" i="6"/>
  <c r="T86" i="6"/>
  <c r="R82" i="6"/>
  <c r="R81" i="6" s="1"/>
  <c r="T76" i="6"/>
  <c r="T75" i="6"/>
  <c r="R70" i="6"/>
  <c r="R69" i="6" s="1"/>
  <c r="T64" i="6"/>
  <c r="R58" i="6"/>
  <c r="R57" i="6" s="1"/>
  <c r="R47" i="6"/>
  <c r="R46" i="6" s="1"/>
  <c r="R35" i="6"/>
  <c r="R34" i="6" s="1"/>
  <c r="S29" i="6"/>
  <c r="S25" i="6" s="1"/>
  <c r="Q26" i="6"/>
  <c r="R14" i="6"/>
  <c r="R25" i="6"/>
  <c r="M25" i="6"/>
  <c r="M153" i="6"/>
  <c r="I153" i="6"/>
  <c r="H153" i="6"/>
  <c r="U153" i="6" s="1"/>
  <c r="F153" i="6"/>
  <c r="E153" i="6"/>
  <c r="M148" i="6"/>
  <c r="G148" i="6"/>
  <c r="N148" i="6" s="1"/>
  <c r="M147" i="6"/>
  <c r="V147" i="6" s="1"/>
  <c r="G147" i="6"/>
  <c r="M146" i="6"/>
  <c r="V146" i="6" s="1"/>
  <c r="G146" i="6"/>
  <c r="M145" i="6"/>
  <c r="M144" i="6"/>
  <c r="M142" i="6"/>
  <c r="I142" i="6"/>
  <c r="H142" i="6"/>
  <c r="F142" i="6"/>
  <c r="E142" i="6"/>
  <c r="M137" i="6"/>
  <c r="G137" i="6"/>
  <c r="N137" i="6" s="1"/>
  <c r="M135" i="6"/>
  <c r="V135" i="6" s="1"/>
  <c r="G135" i="6"/>
  <c r="Q135" i="6" s="1"/>
  <c r="M134" i="6"/>
  <c r="V134" i="6" s="1"/>
  <c r="G134" i="6"/>
  <c r="Q134" i="6" s="1"/>
  <c r="M133" i="6"/>
  <c r="M132" i="6"/>
  <c r="M130" i="6"/>
  <c r="I130" i="6"/>
  <c r="H130" i="6"/>
  <c r="U130" i="6" s="1"/>
  <c r="F130" i="6"/>
  <c r="E130" i="6"/>
  <c r="M125" i="6"/>
  <c r="V125" i="6" s="1"/>
  <c r="G125" i="6"/>
  <c r="Q125" i="6" s="1"/>
  <c r="M123" i="6"/>
  <c r="V123" i="6" s="1"/>
  <c r="G123" i="6"/>
  <c r="Q123" i="6" s="1"/>
  <c r="M122" i="6"/>
  <c r="U122" i="6" s="1"/>
  <c r="G122" i="6"/>
  <c r="N122" i="6" s="1"/>
  <c r="M121" i="6"/>
  <c r="M120" i="6"/>
  <c r="M118" i="6"/>
  <c r="I118" i="6"/>
  <c r="H118" i="6"/>
  <c r="F118" i="6"/>
  <c r="E118" i="6"/>
  <c r="M113" i="6"/>
  <c r="V113" i="6" s="1"/>
  <c r="G113" i="6"/>
  <c r="Q113" i="6" s="1"/>
  <c r="M112" i="6"/>
  <c r="V112" i="6" s="1"/>
  <c r="G112" i="6"/>
  <c r="Q112" i="6" s="1"/>
  <c r="M111" i="6"/>
  <c r="V111" i="6" s="1"/>
  <c r="G111" i="6"/>
  <c r="Q111" i="6" s="1"/>
  <c r="M110" i="6"/>
  <c r="V110" i="6" s="1"/>
  <c r="G110" i="6"/>
  <c r="Q110" i="6" s="1"/>
  <c r="M109" i="6"/>
  <c r="V109" i="6" s="1"/>
  <c r="G109" i="6"/>
  <c r="Q109" i="6" s="1"/>
  <c r="M108" i="6"/>
  <c r="G108" i="6"/>
  <c r="N108" i="6" s="1"/>
  <c r="M107" i="6"/>
  <c r="M106" i="6"/>
  <c r="M104" i="6"/>
  <c r="I104" i="6"/>
  <c r="H104" i="6"/>
  <c r="F104" i="6"/>
  <c r="E104" i="6"/>
  <c r="M99" i="6"/>
  <c r="G99" i="6"/>
  <c r="Q99" i="6" s="1"/>
  <c r="M98" i="6"/>
  <c r="V98" i="6" s="1"/>
  <c r="G98" i="6"/>
  <c r="Q98" i="6" s="1"/>
  <c r="M97" i="6"/>
  <c r="V97" i="6" s="1"/>
  <c r="G97" i="6"/>
  <c r="Q97" i="6" s="1"/>
  <c r="M96" i="6"/>
  <c r="V96" i="6" s="1"/>
  <c r="G96" i="6"/>
  <c r="Q96" i="6" s="1"/>
  <c r="M95" i="6"/>
  <c r="V95" i="6" s="1"/>
  <c r="G95" i="6"/>
  <c r="Q95" i="6" s="1"/>
  <c r="M94" i="6"/>
  <c r="G94" i="6"/>
  <c r="N94" i="6" s="1"/>
  <c r="M93" i="6"/>
  <c r="M92" i="6"/>
  <c r="M90" i="6"/>
  <c r="I90" i="6"/>
  <c r="H90" i="6"/>
  <c r="F90" i="6"/>
  <c r="E90" i="6"/>
  <c r="N90" i="6" s="1"/>
  <c r="M85" i="6"/>
  <c r="U85" i="6" s="1"/>
  <c r="V85" i="6" s="1"/>
  <c r="G85" i="6"/>
  <c r="N85" i="6" s="1"/>
  <c r="M84" i="6"/>
  <c r="V84" i="6" s="1"/>
  <c r="G84" i="6"/>
  <c r="M83" i="6"/>
  <c r="V83" i="6" s="1"/>
  <c r="V82" i="6" s="1"/>
  <c r="G83" i="6"/>
  <c r="M82" i="6"/>
  <c r="M81" i="6"/>
  <c r="M79" i="6"/>
  <c r="I79" i="6"/>
  <c r="H79" i="6"/>
  <c r="F79" i="6"/>
  <c r="E79" i="6"/>
  <c r="M74" i="6"/>
  <c r="V74" i="6" s="1"/>
  <c r="G74" i="6"/>
  <c r="Q74" i="6" s="1"/>
  <c r="M73" i="6"/>
  <c r="V73" i="6" s="1"/>
  <c r="G73" i="6"/>
  <c r="Q73" i="6" s="1"/>
  <c r="M72" i="6"/>
  <c r="G72" i="6"/>
  <c r="M71" i="6"/>
  <c r="G71" i="6"/>
  <c r="N71" i="6" s="1"/>
  <c r="M70" i="6"/>
  <c r="M69" i="6"/>
  <c r="M67" i="6"/>
  <c r="I67" i="6"/>
  <c r="H67" i="6"/>
  <c r="F67" i="6"/>
  <c r="E67" i="6"/>
  <c r="M62" i="6"/>
  <c r="U62" i="6" s="1"/>
  <c r="G62" i="6"/>
  <c r="Q62" i="6" s="1"/>
  <c r="M61" i="6"/>
  <c r="V61" i="6" s="1"/>
  <c r="G61" i="6"/>
  <c r="Q61" i="6" s="1"/>
  <c r="M60" i="6"/>
  <c r="V60" i="6" s="1"/>
  <c r="Q60" i="6"/>
  <c r="M59" i="6"/>
  <c r="Q59" i="6"/>
  <c r="M58" i="6"/>
  <c r="M57" i="6"/>
  <c r="M55" i="6"/>
  <c r="I55" i="6"/>
  <c r="H55" i="6"/>
  <c r="F55" i="6"/>
  <c r="E55" i="6"/>
  <c r="Q55" i="6" s="1"/>
  <c r="M50" i="6"/>
  <c r="G50" i="6"/>
  <c r="N50" i="6" s="1"/>
  <c r="M49" i="6"/>
  <c r="V49" i="6" s="1"/>
  <c r="G49" i="6"/>
  <c r="Q49" i="6" s="1"/>
  <c r="M48" i="6"/>
  <c r="U48" i="6" s="1"/>
  <c r="Q48" i="6"/>
  <c r="M47" i="6"/>
  <c r="M46" i="6"/>
  <c r="M44" i="6"/>
  <c r="I44" i="6"/>
  <c r="H44" i="6"/>
  <c r="F44" i="6"/>
  <c r="E44" i="6"/>
  <c r="M39" i="6"/>
  <c r="V39" i="6" s="1"/>
  <c r="G39" i="6"/>
  <c r="M38" i="6"/>
  <c r="G38" i="6"/>
  <c r="N38" i="6" s="1"/>
  <c r="M37" i="6"/>
  <c r="V37" i="6" s="1"/>
  <c r="G37" i="6"/>
  <c r="O37" i="6" s="1"/>
  <c r="M36" i="6"/>
  <c r="V36" i="6" s="1"/>
  <c r="G36" i="6"/>
  <c r="O36" i="6" s="1"/>
  <c r="M35" i="6"/>
  <c r="M34" i="6"/>
  <c r="O28" i="6"/>
  <c r="O26" i="6" s="1"/>
  <c r="N28" i="6"/>
  <c r="N26" i="6" s="1"/>
  <c r="M28" i="6"/>
  <c r="M27" i="6"/>
  <c r="M26" i="6"/>
  <c r="I20" i="6"/>
  <c r="H20" i="6"/>
  <c r="F20" i="6"/>
  <c r="E20" i="6"/>
  <c r="N20" i="6" s="1"/>
  <c r="U19" i="6"/>
  <c r="Q19" i="6"/>
  <c r="M17" i="6"/>
  <c r="U17" i="6" s="1"/>
  <c r="M16" i="6"/>
  <c r="L24" i="5"/>
  <c r="K10" i="5"/>
  <c r="R184" i="4"/>
  <c r="P184" i="4"/>
  <c r="M184" i="4"/>
  <c r="I184" i="4"/>
  <c r="H184" i="4"/>
  <c r="F184" i="4"/>
  <c r="E184" i="4"/>
  <c r="J183" i="4"/>
  <c r="G183" i="4"/>
  <c r="O183" i="4" s="1"/>
  <c r="I182" i="4"/>
  <c r="H182" i="4"/>
  <c r="G182" i="4"/>
  <c r="F182" i="4"/>
  <c r="E182" i="4"/>
  <c r="J181" i="4"/>
  <c r="G181" i="4"/>
  <c r="T181" i="4" s="1"/>
  <c r="U181" i="4" s="1"/>
  <c r="J180" i="4"/>
  <c r="G180" i="4"/>
  <c r="T180" i="4" s="1"/>
  <c r="U180" i="4" s="1"/>
  <c r="P182" i="4"/>
  <c r="U176" i="4"/>
  <c r="T176" i="4"/>
  <c r="J176" i="4"/>
  <c r="G176" i="4"/>
  <c r="O176" i="4" s="1"/>
  <c r="N176" i="4" s="1"/>
  <c r="G175" i="4"/>
  <c r="R175" i="4" s="1"/>
  <c r="U174" i="4"/>
  <c r="T174" i="4"/>
  <c r="J174" i="4"/>
  <c r="G174" i="4"/>
  <c r="O174" i="4" s="1"/>
  <c r="N174" i="4" s="1"/>
  <c r="U173" i="4"/>
  <c r="T173" i="4"/>
  <c r="J173" i="4"/>
  <c r="G173" i="4"/>
  <c r="O173" i="4" s="1"/>
  <c r="N173" i="4" s="1"/>
  <c r="N171" i="4"/>
  <c r="T171" i="4" s="1"/>
  <c r="U171" i="4" s="1"/>
  <c r="U168" i="4"/>
  <c r="T168" i="4"/>
  <c r="J168" i="4"/>
  <c r="G168" i="4"/>
  <c r="O168" i="4" s="1"/>
  <c r="N168" i="4" s="1"/>
  <c r="J167" i="4"/>
  <c r="G167" i="4"/>
  <c r="O167" i="4" s="1"/>
  <c r="P158" i="4"/>
  <c r="M158" i="4"/>
  <c r="I158" i="4"/>
  <c r="H158" i="4"/>
  <c r="F158" i="4"/>
  <c r="E158" i="4"/>
  <c r="J156" i="4"/>
  <c r="G156" i="4"/>
  <c r="O156" i="4" s="1"/>
  <c r="F155" i="4"/>
  <c r="E155" i="4"/>
  <c r="J154" i="4"/>
  <c r="T154" i="4" s="1"/>
  <c r="G154" i="4"/>
  <c r="U153" i="4"/>
  <c r="T153" i="4"/>
  <c r="J153" i="4"/>
  <c r="G153" i="4"/>
  <c r="O153" i="4" s="1"/>
  <c r="N153" i="4" s="1"/>
  <c r="J151" i="4"/>
  <c r="G151" i="4"/>
  <c r="J150" i="4"/>
  <c r="T150" i="4" s="1"/>
  <c r="G150" i="4"/>
  <c r="G155" i="4" s="1"/>
  <c r="I149" i="4"/>
  <c r="H149" i="4"/>
  <c r="F149" i="4"/>
  <c r="E149" i="4"/>
  <c r="J148" i="4"/>
  <c r="U148" i="4" s="1"/>
  <c r="G148" i="4"/>
  <c r="O148" i="4" s="1"/>
  <c r="N148" i="4" s="1"/>
  <c r="R147" i="4"/>
  <c r="J147" i="4"/>
  <c r="T147" i="4" s="1"/>
  <c r="G147" i="4"/>
  <c r="U146" i="4"/>
  <c r="T146" i="4"/>
  <c r="J146" i="4"/>
  <c r="G146" i="4"/>
  <c r="O146" i="4" s="1"/>
  <c r="N146" i="4" s="1"/>
  <c r="U145" i="4"/>
  <c r="T145" i="4"/>
  <c r="J145" i="4"/>
  <c r="G145" i="4"/>
  <c r="O145" i="4" s="1"/>
  <c r="N145" i="4" s="1"/>
  <c r="U144" i="4"/>
  <c r="T144" i="4"/>
  <c r="J144" i="4"/>
  <c r="G144" i="4"/>
  <c r="O144" i="4" s="1"/>
  <c r="N144" i="4" s="1"/>
  <c r="J142" i="4"/>
  <c r="G142" i="4"/>
  <c r="R142" i="4" s="1"/>
  <c r="J141" i="4"/>
  <c r="T141" i="4" s="1"/>
  <c r="G141" i="4"/>
  <c r="P141" i="4" s="1"/>
  <c r="I140" i="4"/>
  <c r="H140" i="4"/>
  <c r="H163" i="4" s="1"/>
  <c r="F140" i="4"/>
  <c r="E140" i="4"/>
  <c r="J139" i="4"/>
  <c r="U139" i="4" s="1"/>
  <c r="G139" i="4"/>
  <c r="O139" i="4" s="1"/>
  <c r="N139" i="4" s="1"/>
  <c r="J138" i="4"/>
  <c r="T138" i="4" s="1"/>
  <c r="G138" i="4"/>
  <c r="R138" i="4" s="1"/>
  <c r="U137" i="4"/>
  <c r="T137" i="4"/>
  <c r="J137" i="4"/>
  <c r="G137" i="4"/>
  <c r="O137" i="4" s="1"/>
  <c r="N137" i="4" s="1"/>
  <c r="U136" i="4"/>
  <c r="T136" i="4"/>
  <c r="J136" i="4"/>
  <c r="G136" i="4"/>
  <c r="O136" i="4" s="1"/>
  <c r="N136" i="4" s="1"/>
  <c r="U135" i="4"/>
  <c r="T135" i="4"/>
  <c r="J135" i="4"/>
  <c r="G135" i="4"/>
  <c r="O135" i="4" s="1"/>
  <c r="N135" i="4" s="1"/>
  <c r="U134" i="4"/>
  <c r="T134" i="4"/>
  <c r="J134" i="4"/>
  <c r="G134" i="4"/>
  <c r="O134" i="4" s="1"/>
  <c r="N134" i="4" s="1"/>
  <c r="U133" i="4"/>
  <c r="T133" i="4"/>
  <c r="J133" i="4"/>
  <c r="G133" i="4"/>
  <c r="O133" i="4" s="1"/>
  <c r="N133" i="4" s="1"/>
  <c r="U132" i="4"/>
  <c r="T132" i="4"/>
  <c r="J132" i="4"/>
  <c r="G132" i="4"/>
  <c r="O132" i="4" s="1"/>
  <c r="N132" i="4" s="1"/>
  <c r="J130" i="4"/>
  <c r="G130" i="4"/>
  <c r="O130" i="4" s="1"/>
  <c r="R125" i="4"/>
  <c r="P125" i="4"/>
  <c r="M125" i="4"/>
  <c r="I125" i="4"/>
  <c r="H125" i="4"/>
  <c r="F125" i="4"/>
  <c r="E125" i="4"/>
  <c r="J124" i="4"/>
  <c r="G124" i="4"/>
  <c r="O124" i="4" s="1"/>
  <c r="I123" i="4"/>
  <c r="H123" i="4"/>
  <c r="F123" i="4"/>
  <c r="E123" i="4"/>
  <c r="G122" i="4"/>
  <c r="P122" i="4" s="1"/>
  <c r="U121" i="4"/>
  <c r="T121" i="4"/>
  <c r="J121" i="4"/>
  <c r="G121" i="4"/>
  <c r="O121" i="4" s="1"/>
  <c r="N121" i="4" s="1"/>
  <c r="J119" i="4"/>
  <c r="G119" i="4"/>
  <c r="I118" i="4"/>
  <c r="H118" i="4"/>
  <c r="F118" i="4"/>
  <c r="E118" i="4"/>
  <c r="J117" i="4"/>
  <c r="T117" i="4" s="1"/>
  <c r="G117" i="4"/>
  <c r="R117" i="4" s="1"/>
  <c r="U116" i="4"/>
  <c r="T116" i="4"/>
  <c r="J116" i="4"/>
  <c r="G116" i="4"/>
  <c r="O116" i="4" s="1"/>
  <c r="N116" i="4" s="1"/>
  <c r="U115" i="4"/>
  <c r="T115" i="4"/>
  <c r="J115" i="4"/>
  <c r="G115" i="4"/>
  <c r="O115" i="4" s="1"/>
  <c r="N115" i="4" s="1"/>
  <c r="U114" i="4"/>
  <c r="T114" i="4"/>
  <c r="J114" i="4"/>
  <c r="G114" i="4"/>
  <c r="O114" i="4" s="1"/>
  <c r="N114" i="4" s="1"/>
  <c r="U113" i="4"/>
  <c r="T113" i="4"/>
  <c r="J113" i="4"/>
  <c r="G113" i="4"/>
  <c r="O113" i="4" s="1"/>
  <c r="N113" i="4" s="1"/>
  <c r="U112" i="4"/>
  <c r="T112" i="4"/>
  <c r="J112" i="4"/>
  <c r="G112" i="4"/>
  <c r="O112" i="4" s="1"/>
  <c r="N112" i="4" s="1"/>
  <c r="J110" i="4"/>
  <c r="G110" i="4"/>
  <c r="I109" i="4"/>
  <c r="H109" i="4"/>
  <c r="H129" i="4" s="1"/>
  <c r="F109" i="4"/>
  <c r="E109" i="4"/>
  <c r="J108" i="4"/>
  <c r="G108" i="4"/>
  <c r="R108" i="4" s="1"/>
  <c r="U107" i="4"/>
  <c r="T107" i="4"/>
  <c r="J107" i="4"/>
  <c r="G107" i="4"/>
  <c r="O107" i="4" s="1"/>
  <c r="N107" i="4" s="1"/>
  <c r="U106" i="4"/>
  <c r="T106" i="4"/>
  <c r="J106" i="4"/>
  <c r="G106" i="4"/>
  <c r="O106" i="4" s="1"/>
  <c r="N106" i="4" s="1"/>
  <c r="U105" i="4"/>
  <c r="T105" i="4"/>
  <c r="J105" i="4"/>
  <c r="G105" i="4"/>
  <c r="O105" i="4" s="1"/>
  <c r="N105" i="4" s="1"/>
  <c r="U104" i="4"/>
  <c r="T104" i="4"/>
  <c r="J104" i="4"/>
  <c r="G104" i="4"/>
  <c r="O104" i="4" s="1"/>
  <c r="N104" i="4" s="1"/>
  <c r="U103" i="4"/>
  <c r="T103" i="4"/>
  <c r="J103" i="4"/>
  <c r="G103" i="4"/>
  <c r="O103" i="4" s="1"/>
  <c r="N103" i="4" s="1"/>
  <c r="U102" i="4"/>
  <c r="T102" i="4"/>
  <c r="J102" i="4"/>
  <c r="G102" i="4"/>
  <c r="O102" i="4" s="1"/>
  <c r="N102" i="4" s="1"/>
  <c r="U101" i="4"/>
  <c r="T101" i="4"/>
  <c r="J101" i="4"/>
  <c r="G101" i="4"/>
  <c r="O101" i="4" s="1"/>
  <c r="N101" i="4" s="1"/>
  <c r="J99" i="4"/>
  <c r="G99" i="4"/>
  <c r="O99" i="4" s="1"/>
  <c r="R94" i="4"/>
  <c r="P94" i="4"/>
  <c r="M94" i="4"/>
  <c r="I94" i="4"/>
  <c r="H94" i="4"/>
  <c r="F94" i="4"/>
  <c r="E94" i="4"/>
  <c r="J93" i="4"/>
  <c r="G93" i="4"/>
  <c r="O93" i="4" s="1"/>
  <c r="I92" i="4"/>
  <c r="H92" i="4"/>
  <c r="F92" i="4"/>
  <c r="E92" i="4"/>
  <c r="J91" i="4"/>
  <c r="G91" i="4"/>
  <c r="U90" i="4"/>
  <c r="T90" i="4"/>
  <c r="J90" i="4"/>
  <c r="G90" i="4"/>
  <c r="O90" i="4" s="1"/>
  <c r="N90" i="4" s="1"/>
  <c r="U89" i="4"/>
  <c r="T89" i="4"/>
  <c r="J89" i="4"/>
  <c r="G89" i="4"/>
  <c r="O89" i="4" s="1"/>
  <c r="N89" i="4" s="1"/>
  <c r="J87" i="4"/>
  <c r="G87" i="4"/>
  <c r="I86" i="4"/>
  <c r="H86" i="4"/>
  <c r="F86" i="4"/>
  <c r="E86" i="4"/>
  <c r="J85" i="4"/>
  <c r="T85" i="4" s="1"/>
  <c r="G85" i="4"/>
  <c r="R85" i="4" s="1"/>
  <c r="U84" i="4"/>
  <c r="T84" i="4"/>
  <c r="J84" i="4"/>
  <c r="G84" i="4"/>
  <c r="O84" i="4" s="1"/>
  <c r="N84" i="4" s="1"/>
  <c r="U83" i="4"/>
  <c r="T83" i="4"/>
  <c r="J83" i="4"/>
  <c r="G83" i="4"/>
  <c r="O83" i="4" s="1"/>
  <c r="N83" i="4" s="1"/>
  <c r="U82" i="4"/>
  <c r="T82" i="4"/>
  <c r="J82" i="4"/>
  <c r="G82" i="4"/>
  <c r="O82" i="4" s="1"/>
  <c r="N82" i="4" s="1"/>
  <c r="J80" i="4"/>
  <c r="G80" i="4"/>
  <c r="G86" i="4" s="1"/>
  <c r="I79" i="4"/>
  <c r="I98" i="4" s="1"/>
  <c r="H79" i="4"/>
  <c r="H98" i="4" s="1"/>
  <c r="F79" i="4"/>
  <c r="E79" i="4"/>
  <c r="J78" i="4"/>
  <c r="G78" i="4"/>
  <c r="R78" i="4" s="1"/>
  <c r="U77" i="4"/>
  <c r="T77" i="4"/>
  <c r="J77" i="4"/>
  <c r="G77" i="4"/>
  <c r="O77" i="4" s="1"/>
  <c r="N77" i="4" s="1"/>
  <c r="U76" i="4"/>
  <c r="T76" i="4"/>
  <c r="J76" i="4"/>
  <c r="G76" i="4"/>
  <c r="O76" i="4" s="1"/>
  <c r="N76" i="4" s="1"/>
  <c r="U75" i="4"/>
  <c r="T75" i="4"/>
  <c r="J75" i="4"/>
  <c r="G75" i="4"/>
  <c r="O75" i="4" s="1"/>
  <c r="N75" i="4" s="1"/>
  <c r="U74" i="4"/>
  <c r="T74" i="4"/>
  <c r="J74" i="4"/>
  <c r="G74" i="4"/>
  <c r="O74" i="4" s="1"/>
  <c r="N74" i="4" s="1"/>
  <c r="U73" i="4"/>
  <c r="T73" i="4"/>
  <c r="J73" i="4"/>
  <c r="G73" i="4"/>
  <c r="O73" i="4" s="1"/>
  <c r="N73" i="4" s="1"/>
  <c r="R66" i="4"/>
  <c r="P66" i="4"/>
  <c r="M66" i="4"/>
  <c r="I66" i="4"/>
  <c r="H66" i="4"/>
  <c r="F66" i="4"/>
  <c r="E66" i="4"/>
  <c r="G65" i="4"/>
  <c r="O65" i="4" s="1"/>
  <c r="O66" i="4" s="1"/>
  <c r="I64" i="4"/>
  <c r="H64" i="4"/>
  <c r="F64" i="4"/>
  <c r="E64" i="4"/>
  <c r="R63" i="4"/>
  <c r="P63" i="4"/>
  <c r="U63" i="4"/>
  <c r="U62" i="4"/>
  <c r="T62" i="4"/>
  <c r="J62" i="4"/>
  <c r="G62" i="4"/>
  <c r="O62" i="4" s="1"/>
  <c r="N62" i="4" s="1"/>
  <c r="J60" i="4"/>
  <c r="G60" i="4"/>
  <c r="I59" i="4"/>
  <c r="H59" i="4"/>
  <c r="F59" i="4"/>
  <c r="E59" i="4"/>
  <c r="J58" i="4"/>
  <c r="T58" i="4" s="1"/>
  <c r="G58" i="4"/>
  <c r="R58" i="4" s="1"/>
  <c r="U57" i="4"/>
  <c r="T57" i="4"/>
  <c r="J57" i="4"/>
  <c r="G57" i="4"/>
  <c r="O57" i="4" s="1"/>
  <c r="N57" i="4" s="1"/>
  <c r="U56" i="4"/>
  <c r="T56" i="4"/>
  <c r="J56" i="4"/>
  <c r="G56" i="4"/>
  <c r="O56" i="4" s="1"/>
  <c r="N56" i="4" s="1"/>
  <c r="U55" i="4"/>
  <c r="T55" i="4"/>
  <c r="J55" i="4"/>
  <c r="G55" i="4"/>
  <c r="O55" i="4" s="1"/>
  <c r="N55" i="4" s="1"/>
  <c r="J53" i="4"/>
  <c r="G53" i="4"/>
  <c r="I52" i="4"/>
  <c r="H52" i="4"/>
  <c r="H70" i="4" s="1"/>
  <c r="F52" i="4"/>
  <c r="E52" i="4"/>
  <c r="R51" i="4"/>
  <c r="P51" i="4"/>
  <c r="J51" i="4"/>
  <c r="U50" i="4"/>
  <c r="T50" i="4"/>
  <c r="J50" i="4"/>
  <c r="G50" i="4"/>
  <c r="O50" i="4" s="1"/>
  <c r="N50" i="4" s="1"/>
  <c r="U49" i="4"/>
  <c r="T49" i="4"/>
  <c r="J49" i="4"/>
  <c r="G49" i="4"/>
  <c r="O49" i="4" s="1"/>
  <c r="N49" i="4" s="1"/>
  <c r="U48" i="4"/>
  <c r="T48" i="4"/>
  <c r="J48" i="4"/>
  <c r="G48" i="4"/>
  <c r="O48" i="4" s="1"/>
  <c r="N48" i="4" s="1"/>
  <c r="U47" i="4"/>
  <c r="T47" i="4"/>
  <c r="J47" i="4"/>
  <c r="G47" i="4"/>
  <c r="O47" i="4" s="1"/>
  <c r="N47" i="4" s="1"/>
  <c r="U46" i="4"/>
  <c r="T46" i="4"/>
  <c r="J46" i="4"/>
  <c r="G46" i="4"/>
  <c r="O46" i="4" s="1"/>
  <c r="N46" i="4" s="1"/>
  <c r="J44" i="4"/>
  <c r="G44" i="4"/>
  <c r="O44" i="4" s="1"/>
  <c r="R38" i="4"/>
  <c r="P38" i="4"/>
  <c r="M38" i="4"/>
  <c r="I38" i="4"/>
  <c r="H38" i="4"/>
  <c r="F38" i="4"/>
  <c r="E38" i="4"/>
  <c r="J37" i="4"/>
  <c r="G37" i="4"/>
  <c r="G38" i="4" s="1"/>
  <c r="F36" i="4"/>
  <c r="E36" i="4"/>
  <c r="G36" i="4" s="1"/>
  <c r="H36" i="4" s="1"/>
  <c r="I36" i="4" s="1"/>
  <c r="U34" i="4"/>
  <c r="T34" i="4"/>
  <c r="U33" i="4"/>
  <c r="T33" i="4"/>
  <c r="J33" i="4"/>
  <c r="G33" i="4"/>
  <c r="O33" i="4" s="1"/>
  <c r="N33" i="4" s="1"/>
  <c r="J31" i="4"/>
  <c r="G31" i="4"/>
  <c r="P31" i="4" s="1"/>
  <c r="P36" i="4" s="1"/>
  <c r="I30" i="4"/>
  <c r="H30" i="4"/>
  <c r="F30" i="4"/>
  <c r="E30" i="4"/>
  <c r="J29" i="4"/>
  <c r="G29" i="4"/>
  <c r="R29" i="4" s="1"/>
  <c r="U28" i="4"/>
  <c r="T28" i="4"/>
  <c r="J28" i="4"/>
  <c r="G28" i="4"/>
  <c r="O28" i="4" s="1"/>
  <c r="N28" i="4" s="1"/>
  <c r="U27" i="4"/>
  <c r="T27" i="4"/>
  <c r="J27" i="4"/>
  <c r="G27" i="4"/>
  <c r="O27" i="4" s="1"/>
  <c r="N27" i="4" s="1"/>
  <c r="U26" i="4"/>
  <c r="T26" i="4"/>
  <c r="J26" i="4"/>
  <c r="G26" i="4"/>
  <c r="O26" i="4" s="1"/>
  <c r="N26" i="4" s="1"/>
  <c r="J24" i="4"/>
  <c r="G24" i="4"/>
  <c r="I23" i="4"/>
  <c r="H23" i="4"/>
  <c r="H43" i="4" s="1"/>
  <c r="F23" i="4"/>
  <c r="E23" i="4"/>
  <c r="J22" i="4"/>
  <c r="T22" i="4" s="1"/>
  <c r="G22" i="4"/>
  <c r="U21" i="4"/>
  <c r="T21" i="4"/>
  <c r="J21" i="4"/>
  <c r="G21" i="4"/>
  <c r="O21" i="4" s="1"/>
  <c r="N21" i="4" s="1"/>
  <c r="U20" i="4"/>
  <c r="T20" i="4"/>
  <c r="J20" i="4"/>
  <c r="G20" i="4"/>
  <c r="O20" i="4" s="1"/>
  <c r="N20" i="4" s="1"/>
  <c r="U19" i="4"/>
  <c r="T19" i="4"/>
  <c r="J19" i="4"/>
  <c r="G19" i="4"/>
  <c r="O19" i="4" s="1"/>
  <c r="N19" i="4" s="1"/>
  <c r="U18" i="4"/>
  <c r="T18" i="4"/>
  <c r="J18" i="4"/>
  <c r="G18" i="4"/>
  <c r="O18" i="4" s="1"/>
  <c r="N18" i="4" s="1"/>
  <c r="U17" i="4"/>
  <c r="T17" i="4"/>
  <c r="J17" i="4"/>
  <c r="G17" i="4"/>
  <c r="O17" i="4" s="1"/>
  <c r="N17" i="4" s="1"/>
  <c r="U16" i="4"/>
  <c r="T16" i="4"/>
  <c r="J16" i="4"/>
  <c r="G16" i="4"/>
  <c r="O16" i="4" s="1"/>
  <c r="N16" i="4" s="1"/>
  <c r="U15" i="4"/>
  <c r="T15" i="4"/>
  <c r="J15" i="4"/>
  <c r="G15" i="4"/>
  <c r="O15" i="4" s="1"/>
  <c r="N15" i="4" s="1"/>
  <c r="U14" i="4"/>
  <c r="T14" i="4"/>
  <c r="J14" i="4"/>
  <c r="G14" i="4"/>
  <c r="O14" i="4" s="1"/>
  <c r="N14" i="4" s="1"/>
  <c r="J12" i="4"/>
  <c r="G12" i="4"/>
  <c r="O12" i="4" s="1"/>
  <c r="Q22" i="3"/>
  <c r="O37" i="4" l="1"/>
  <c r="V122" i="6"/>
  <c r="V121" i="6" s="1"/>
  <c r="Q25" i="6"/>
  <c r="X25" i="6" s="1"/>
  <c r="Y25" i="6" s="1"/>
  <c r="I43" i="4"/>
  <c r="I163" i="4"/>
  <c r="T183" i="4"/>
  <c r="U183" i="4" s="1"/>
  <c r="I70" i="4"/>
  <c r="I129" i="4"/>
  <c r="R22" i="4"/>
  <c r="O22" i="4"/>
  <c r="R31" i="4"/>
  <c r="R36" i="4" s="1"/>
  <c r="R60" i="4"/>
  <c r="R64" i="4" s="1"/>
  <c r="P60" i="4"/>
  <c r="G109" i="4"/>
  <c r="G123" i="4"/>
  <c r="R119" i="4"/>
  <c r="P119" i="4"/>
  <c r="G140" i="4"/>
  <c r="G23" i="4"/>
  <c r="R12" i="4"/>
  <c r="R44" i="4"/>
  <c r="G66" i="4"/>
  <c r="R87" i="4"/>
  <c r="R92" i="4" s="1"/>
  <c r="P87" i="4"/>
  <c r="G94" i="4"/>
  <c r="G125" i="4"/>
  <c r="R151" i="4"/>
  <c r="P151" i="4"/>
  <c r="G158" i="4"/>
  <c r="N156" i="4"/>
  <c r="N158" i="4" s="1"/>
  <c r="P175" i="4"/>
  <c r="P177" i="4" s="1"/>
  <c r="G184" i="4"/>
  <c r="O39" i="6"/>
  <c r="N39" i="6"/>
  <c r="Q147" i="6"/>
  <c r="O147" i="6"/>
  <c r="O148" i="6"/>
  <c r="R155" i="6"/>
  <c r="O38" i="6"/>
  <c r="O35" i="6" s="1"/>
  <c r="Q83" i="6"/>
  <c r="O83" i="6"/>
  <c r="Q84" i="6"/>
  <c r="O84" i="6"/>
  <c r="O85" i="6"/>
  <c r="Q108" i="6"/>
  <c r="Q107" i="6" s="1"/>
  <c r="O108" i="6"/>
  <c r="O137" i="6"/>
  <c r="O50" i="6"/>
  <c r="O71" i="6"/>
  <c r="Q94" i="6"/>
  <c r="Q93" i="6" s="1"/>
  <c r="O94" i="6"/>
  <c r="Q122" i="6"/>
  <c r="O122" i="6"/>
  <c r="V153" i="6"/>
  <c r="G153" i="6"/>
  <c r="S154" i="6" s="1"/>
  <c r="G104" i="6"/>
  <c r="Q104" i="6" s="1"/>
  <c r="K24" i="5"/>
  <c r="L10" i="5"/>
  <c r="Q50" i="6"/>
  <c r="Q71" i="6"/>
  <c r="Q72" i="6"/>
  <c r="Q70" i="6" s="1"/>
  <c r="N72" i="6"/>
  <c r="Q146" i="6"/>
  <c r="O146" i="6"/>
  <c r="O145" i="6" s="1"/>
  <c r="V29" i="6"/>
  <c r="T29" i="6"/>
  <c r="U29" i="6"/>
  <c r="Q17" i="6"/>
  <c r="N17" i="6"/>
  <c r="Q18" i="6"/>
  <c r="Q85" i="6"/>
  <c r="U99" i="6"/>
  <c r="V99" i="6"/>
  <c r="Q137" i="6"/>
  <c r="Q133" i="6" s="1"/>
  <c r="O25" i="6"/>
  <c r="T28" i="6"/>
  <c r="T25" i="6" s="1"/>
  <c r="G118" i="6"/>
  <c r="Q118" i="6" s="1"/>
  <c r="T118" i="6" s="1"/>
  <c r="V130" i="6"/>
  <c r="G142" i="6"/>
  <c r="Q142" i="6" s="1"/>
  <c r="Q148" i="6"/>
  <c r="V18" i="6"/>
  <c r="U18" i="6"/>
  <c r="P155" i="6"/>
  <c r="U37" i="6"/>
  <c r="G79" i="4"/>
  <c r="R71" i="4"/>
  <c r="N71" i="4" s="1"/>
  <c r="T71" i="4" s="1"/>
  <c r="U71" i="4" s="1"/>
  <c r="U39" i="6"/>
  <c r="O51" i="4"/>
  <c r="N51" i="4" s="1"/>
  <c r="P85" i="4"/>
  <c r="P92" i="4"/>
  <c r="T139" i="4"/>
  <c r="O169" i="4"/>
  <c r="R169" i="4"/>
  <c r="P12" i="4"/>
  <c r="R52" i="4"/>
  <c r="J63" i="4"/>
  <c r="T63" i="4"/>
  <c r="P99" i="4"/>
  <c r="O147" i="4"/>
  <c r="N170" i="4"/>
  <c r="T170" i="4" s="1"/>
  <c r="R177" i="4"/>
  <c r="O17" i="6"/>
  <c r="O19" i="6"/>
  <c r="U36" i="6"/>
  <c r="G44" i="6"/>
  <c r="O49" i="6"/>
  <c r="Q58" i="6"/>
  <c r="O61" i="6"/>
  <c r="G67" i="6"/>
  <c r="Q67" i="6" s="1"/>
  <c r="O73" i="6"/>
  <c r="G79" i="6"/>
  <c r="O95" i="6"/>
  <c r="O97" i="6"/>
  <c r="O99" i="6"/>
  <c r="O109" i="6"/>
  <c r="O111" i="6"/>
  <c r="O113" i="6"/>
  <c r="O123" i="6"/>
  <c r="G130" i="6"/>
  <c r="O134" i="6"/>
  <c r="O48" i="6"/>
  <c r="O47" i="6" s="1"/>
  <c r="O60" i="6"/>
  <c r="O62" i="6"/>
  <c r="O72" i="6"/>
  <c r="O74" i="6"/>
  <c r="O96" i="6"/>
  <c r="O98" i="6"/>
  <c r="O110" i="6"/>
  <c r="O112" i="6"/>
  <c r="O125" i="6"/>
  <c r="O135" i="6"/>
  <c r="O79" i="6"/>
  <c r="U27" i="6"/>
  <c r="U26" i="6" s="1"/>
  <c r="O104" i="6"/>
  <c r="S105" i="6"/>
  <c r="N104" i="6"/>
  <c r="O118" i="6"/>
  <c r="S119" i="6"/>
  <c r="T119" i="6" s="1"/>
  <c r="N118" i="6"/>
  <c r="O142" i="6"/>
  <c r="S143" i="6"/>
  <c r="N142" i="6"/>
  <c r="Q47" i="6"/>
  <c r="Q46" i="6" s="1"/>
  <c r="X46" i="6" s="1"/>
  <c r="Y46" i="6" s="1"/>
  <c r="Q121" i="6"/>
  <c r="O153" i="6"/>
  <c r="N153" i="6"/>
  <c r="V17" i="6"/>
  <c r="V19" i="6"/>
  <c r="N36" i="6"/>
  <c r="Q36" i="6"/>
  <c r="N37" i="6"/>
  <c r="Q37" i="6"/>
  <c r="Q38" i="6"/>
  <c r="Q39" i="6"/>
  <c r="N44" i="6"/>
  <c r="V48" i="6"/>
  <c r="V62" i="6"/>
  <c r="N19" i="6"/>
  <c r="G20" i="6"/>
  <c r="N25" i="6"/>
  <c r="O44" i="6"/>
  <c r="N48" i="6"/>
  <c r="N49" i="6"/>
  <c r="T49" i="6" s="1"/>
  <c r="U49" i="6"/>
  <c r="G55" i="6"/>
  <c r="N60" i="6"/>
  <c r="U60" i="6"/>
  <c r="N61" i="6"/>
  <c r="T61" i="6" s="1"/>
  <c r="U61" i="6"/>
  <c r="N62" i="6"/>
  <c r="T62" i="6" s="1"/>
  <c r="T72" i="6"/>
  <c r="U72" i="6"/>
  <c r="V72" i="6" s="1"/>
  <c r="N73" i="6"/>
  <c r="T73" i="6" s="1"/>
  <c r="U73" i="6"/>
  <c r="N74" i="6"/>
  <c r="U74" i="6"/>
  <c r="N83" i="6"/>
  <c r="U83" i="6"/>
  <c r="N84" i="6"/>
  <c r="T84" i="6" s="1"/>
  <c r="U84" i="6"/>
  <c r="T85" i="6"/>
  <c r="W85" i="6" s="1"/>
  <c r="G90" i="6"/>
  <c r="N95" i="6"/>
  <c r="T95" i="6" s="1"/>
  <c r="U95" i="6"/>
  <c r="N96" i="6"/>
  <c r="U96" i="6"/>
  <c r="N97" i="6"/>
  <c r="T97" i="6" s="1"/>
  <c r="U97" i="6"/>
  <c r="N98" i="6"/>
  <c r="T98" i="6" s="1"/>
  <c r="U98" i="6"/>
  <c r="N99" i="6"/>
  <c r="T99" i="6" s="1"/>
  <c r="T108" i="6"/>
  <c r="N109" i="6"/>
  <c r="T109" i="6" s="1"/>
  <c r="U109" i="6"/>
  <c r="N110" i="6"/>
  <c r="T110" i="6" s="1"/>
  <c r="U110" i="6"/>
  <c r="N111" i="6"/>
  <c r="T111" i="6" s="1"/>
  <c r="U111" i="6"/>
  <c r="N112" i="6"/>
  <c r="T112" i="6" s="1"/>
  <c r="U112" i="6"/>
  <c r="N113" i="6"/>
  <c r="T113" i="6" s="1"/>
  <c r="U113" i="6"/>
  <c r="N123" i="6"/>
  <c r="T123" i="6" s="1"/>
  <c r="U123" i="6"/>
  <c r="U121" i="6" s="1"/>
  <c r="N125" i="6"/>
  <c r="T125" i="6" s="1"/>
  <c r="U125" i="6"/>
  <c r="N134" i="6"/>
  <c r="U134" i="6"/>
  <c r="N135" i="6"/>
  <c r="T135" i="6" s="1"/>
  <c r="U135" i="6"/>
  <c r="N146" i="6"/>
  <c r="U146" i="6"/>
  <c r="N147" i="6"/>
  <c r="T147" i="6" s="1"/>
  <c r="U147" i="6"/>
  <c r="G30" i="4"/>
  <c r="P29" i="4"/>
  <c r="G59" i="4"/>
  <c r="P58" i="4"/>
  <c r="P64" i="4"/>
  <c r="G64" i="4"/>
  <c r="G92" i="4"/>
  <c r="O94" i="4"/>
  <c r="G118" i="4"/>
  <c r="P117" i="4"/>
  <c r="O122" i="4"/>
  <c r="P138" i="4"/>
  <c r="G149" i="4"/>
  <c r="P147" i="4"/>
  <c r="T148" i="4"/>
  <c r="P150" i="4"/>
  <c r="P169" i="4"/>
  <c r="P188" i="4" s="1"/>
  <c r="N165" i="4"/>
  <c r="T165" i="4" s="1"/>
  <c r="U165" i="4" s="1"/>
  <c r="O180" i="4"/>
  <c r="N180" i="4" s="1"/>
  <c r="O158" i="4"/>
  <c r="T167" i="4"/>
  <c r="U167" i="4" s="1"/>
  <c r="O181" i="4"/>
  <c r="N181" i="4" s="1"/>
  <c r="U22" i="4"/>
  <c r="U24" i="4"/>
  <c r="T24" i="4"/>
  <c r="G52" i="4"/>
  <c r="P44" i="4"/>
  <c r="P52" i="4" s="1"/>
  <c r="U51" i="4"/>
  <c r="T51" i="4"/>
  <c r="U78" i="4"/>
  <c r="T78" i="4"/>
  <c r="U80" i="4"/>
  <c r="T80" i="4"/>
  <c r="T86" i="4" s="1"/>
  <c r="R23" i="4"/>
  <c r="P22" i="4"/>
  <c r="P23" i="4" s="1"/>
  <c r="P24" i="4"/>
  <c r="O29" i="4"/>
  <c r="O31" i="4"/>
  <c r="O36" i="4" s="1"/>
  <c r="P123" i="4"/>
  <c r="U53" i="4"/>
  <c r="T53" i="4"/>
  <c r="T59" i="4" s="1"/>
  <c r="T91" i="4"/>
  <c r="U91" i="4"/>
  <c r="U108" i="4"/>
  <c r="T108" i="4"/>
  <c r="U110" i="4"/>
  <c r="T110" i="4"/>
  <c r="T118" i="4" s="1"/>
  <c r="U142" i="4"/>
  <c r="T142" i="4"/>
  <c r="O24" i="4"/>
  <c r="R24" i="4"/>
  <c r="R30" i="4" s="1"/>
  <c r="P53" i="4"/>
  <c r="O58" i="4"/>
  <c r="N58" i="4" s="1"/>
  <c r="U58" i="4"/>
  <c r="O60" i="4"/>
  <c r="O63" i="4"/>
  <c r="N63" i="4" s="1"/>
  <c r="R79" i="4"/>
  <c r="P78" i="4"/>
  <c r="P79" i="4" s="1"/>
  <c r="P80" i="4"/>
  <c r="P86" i="4" s="1"/>
  <c r="O85" i="4"/>
  <c r="U85" i="4"/>
  <c r="O87" i="4"/>
  <c r="O91" i="4"/>
  <c r="N93" i="4"/>
  <c r="R99" i="4"/>
  <c r="R109" i="4" s="1"/>
  <c r="P108" i="4"/>
  <c r="P110" i="4"/>
  <c r="P118" i="4" s="1"/>
  <c r="O117" i="4"/>
  <c r="U117" i="4"/>
  <c r="O119" i="4"/>
  <c r="R123" i="4"/>
  <c r="J122" i="4"/>
  <c r="P130" i="4"/>
  <c r="P140" i="4" s="1"/>
  <c r="O138" i="4"/>
  <c r="U138" i="4"/>
  <c r="O141" i="4"/>
  <c r="R141" i="4"/>
  <c r="R149" i="4" s="1"/>
  <c r="U141" i="4"/>
  <c r="P142" i="4"/>
  <c r="P149" i="4" s="1"/>
  <c r="U147" i="4"/>
  <c r="O150" i="4"/>
  <c r="R150" i="4"/>
  <c r="U150" i="4"/>
  <c r="U154" i="4"/>
  <c r="N164" i="4"/>
  <c r="T164" i="4" s="1"/>
  <c r="U164" i="4" s="1"/>
  <c r="U170" i="4"/>
  <c r="N178" i="4"/>
  <c r="O53" i="4"/>
  <c r="R53" i="4"/>
  <c r="R59" i="4" s="1"/>
  <c r="O78" i="4"/>
  <c r="O80" i="4"/>
  <c r="R80" i="4"/>
  <c r="R86" i="4" s="1"/>
  <c r="O108" i="4"/>
  <c r="N108" i="4" s="1"/>
  <c r="O110" i="4"/>
  <c r="R110" i="4"/>
  <c r="R118" i="4" s="1"/>
  <c r="R130" i="4"/>
  <c r="R140" i="4" s="1"/>
  <c r="O142" i="4"/>
  <c r="O151" i="4"/>
  <c r="N151" i="4" s="1"/>
  <c r="O175" i="4"/>
  <c r="U241" i="3"/>
  <c r="T241" i="3"/>
  <c r="P98" i="4" l="1"/>
  <c r="R43" i="4"/>
  <c r="W23" i="4"/>
  <c r="R70" i="4"/>
  <c r="R188" i="4"/>
  <c r="T50" i="6"/>
  <c r="U50" i="6" s="1"/>
  <c r="V50" i="6" s="1"/>
  <c r="V47" i="6" s="1"/>
  <c r="O121" i="6"/>
  <c r="O93" i="6"/>
  <c r="O70" i="6"/>
  <c r="O82" i="6"/>
  <c r="T122" i="6"/>
  <c r="T121" i="6" s="1"/>
  <c r="P163" i="4"/>
  <c r="R129" i="4"/>
  <c r="R98" i="4"/>
  <c r="W98" i="4" s="1"/>
  <c r="X98" i="4" s="1"/>
  <c r="N133" i="6"/>
  <c r="S68" i="6"/>
  <c r="U68" i="6" s="1"/>
  <c r="O58" i="6"/>
  <c r="O133" i="6"/>
  <c r="O132" i="6" s="1"/>
  <c r="N70" i="6"/>
  <c r="O107" i="6"/>
  <c r="X156" i="4"/>
  <c r="U82" i="6"/>
  <c r="T107" i="6"/>
  <c r="T106" i="6" s="1"/>
  <c r="Q145" i="6"/>
  <c r="T137" i="6"/>
  <c r="N82" i="6"/>
  <c r="N81" i="6" s="1"/>
  <c r="N35" i="6"/>
  <c r="O15" i="6"/>
  <c r="N121" i="6"/>
  <c r="N107" i="6"/>
  <c r="U108" i="6"/>
  <c r="U107" i="6" s="1"/>
  <c r="T60" i="6"/>
  <c r="N58" i="6"/>
  <c r="S131" i="6"/>
  <c r="V131" i="6" s="1"/>
  <c r="Q130" i="6"/>
  <c r="Q120" i="6" s="1"/>
  <c r="X120" i="6" s="1"/>
  <c r="N145" i="6"/>
  <c r="N144" i="6" s="1"/>
  <c r="N47" i="6"/>
  <c r="N15" i="6"/>
  <c r="N93" i="6"/>
  <c r="N142" i="4"/>
  <c r="T151" i="4"/>
  <c r="U151" i="4" s="1"/>
  <c r="U155" i="4" s="1"/>
  <c r="R155" i="4"/>
  <c r="N117" i="4"/>
  <c r="N85" i="4"/>
  <c r="P30" i="4"/>
  <c r="P43" i="4" s="1"/>
  <c r="G70" i="4"/>
  <c r="N147" i="4"/>
  <c r="G43" i="4"/>
  <c r="G163" i="4"/>
  <c r="Y157" i="4" s="1"/>
  <c r="Z157" i="4" s="1"/>
  <c r="Z158" i="4" s="1"/>
  <c r="G98" i="4"/>
  <c r="N12" i="4"/>
  <c r="T12" i="4" s="1"/>
  <c r="G129" i="4"/>
  <c r="Q82" i="6"/>
  <c r="T71" i="6"/>
  <c r="S45" i="6"/>
  <c r="Q44" i="6"/>
  <c r="T44" i="6" s="1"/>
  <c r="U44" i="6" s="1"/>
  <c r="V44" i="6" s="1"/>
  <c r="Q90" i="6"/>
  <c r="S91" i="6"/>
  <c r="S21" i="6"/>
  <c r="Q20" i="6"/>
  <c r="S80" i="6"/>
  <c r="Q79" i="6"/>
  <c r="U28" i="6"/>
  <c r="V28" i="6" s="1"/>
  <c r="W36" i="4"/>
  <c r="N94" i="4"/>
  <c r="T94" i="4" s="1"/>
  <c r="U94" i="4" s="1"/>
  <c r="T93" i="4"/>
  <c r="U93" i="4" s="1"/>
  <c r="T19" i="6"/>
  <c r="N14" i="6"/>
  <c r="U137" i="6"/>
  <c r="U133" i="6" s="1"/>
  <c r="Q15" i="6"/>
  <c r="T17" i="6"/>
  <c r="Q153" i="6"/>
  <c r="T148" i="6"/>
  <c r="U148" i="6" s="1"/>
  <c r="V148" i="6" s="1"/>
  <c r="V145" i="6" s="1"/>
  <c r="N130" i="6"/>
  <c r="O130" i="6"/>
  <c r="N67" i="6"/>
  <c r="O67" i="6"/>
  <c r="O144" i="6"/>
  <c r="U80" i="6"/>
  <c r="V80" i="6"/>
  <c r="S69" i="6"/>
  <c r="T80" i="6"/>
  <c r="V45" i="6"/>
  <c r="T45" i="6"/>
  <c r="U45" i="6"/>
  <c r="S34" i="6"/>
  <c r="V21" i="6"/>
  <c r="T21" i="6"/>
  <c r="U21" i="6"/>
  <c r="S15" i="6"/>
  <c r="S14" i="6" s="1"/>
  <c r="V154" i="6"/>
  <c r="U154" i="6"/>
  <c r="T154" i="6"/>
  <c r="S144" i="6"/>
  <c r="V143" i="6"/>
  <c r="U143" i="6"/>
  <c r="S132" i="6"/>
  <c r="T143" i="6"/>
  <c r="V119" i="6"/>
  <c r="U119" i="6"/>
  <c r="S106" i="6"/>
  <c r="U105" i="6"/>
  <c r="V105" i="6"/>
  <c r="S92" i="6"/>
  <c r="T105" i="6"/>
  <c r="U131" i="6"/>
  <c r="S120" i="6"/>
  <c r="T96" i="6"/>
  <c r="N79" i="6"/>
  <c r="T59" i="6"/>
  <c r="T58" i="6" s="1"/>
  <c r="O34" i="6"/>
  <c r="V68" i="6"/>
  <c r="T68" i="6"/>
  <c r="T74" i="6"/>
  <c r="T158" i="4"/>
  <c r="T156" i="4"/>
  <c r="U156" i="4" s="1"/>
  <c r="U158" i="4" s="1"/>
  <c r="N182" i="4"/>
  <c r="U178" i="4"/>
  <c r="U182" i="4" s="1"/>
  <c r="T178" i="4"/>
  <c r="T182" i="4" s="1"/>
  <c r="U169" i="4"/>
  <c r="T18" i="6"/>
  <c r="T16" i="6"/>
  <c r="T15" i="6" s="1"/>
  <c r="T155" i="4"/>
  <c r="Q106" i="6"/>
  <c r="X106" i="6" s="1"/>
  <c r="Y106" i="6" s="1"/>
  <c r="P155" i="4"/>
  <c r="N138" i="4"/>
  <c r="P109" i="4"/>
  <c r="P129" i="4" s="1"/>
  <c r="P59" i="4"/>
  <c r="P70" i="4" s="1"/>
  <c r="N169" i="4"/>
  <c r="N29" i="4"/>
  <c r="T29" i="4" s="1"/>
  <c r="U29" i="4" s="1"/>
  <c r="U30" i="4" s="1"/>
  <c r="Q132" i="6"/>
  <c r="X132" i="6" s="1"/>
  <c r="Y132" i="6" s="1"/>
  <c r="Q69" i="6"/>
  <c r="X69" i="6" s="1"/>
  <c r="Y69" i="6" s="1"/>
  <c r="Q57" i="6"/>
  <c r="X57" i="6" s="1"/>
  <c r="Y57" i="6" s="1"/>
  <c r="N65" i="4"/>
  <c r="T149" i="4"/>
  <c r="O182" i="4"/>
  <c r="T39" i="6"/>
  <c r="T38" i="6"/>
  <c r="U38" i="6" s="1"/>
  <c r="V38" i="6" s="1"/>
  <c r="V35" i="6" s="1"/>
  <c r="T37" i="6"/>
  <c r="Q92" i="6"/>
  <c r="X92" i="6" s="1"/>
  <c r="Y92" i="6" s="1"/>
  <c r="T142" i="6"/>
  <c r="U142" i="6" s="1"/>
  <c r="V142" i="6" s="1"/>
  <c r="U118" i="6"/>
  <c r="V118" i="6" s="1"/>
  <c r="T104" i="6"/>
  <c r="U104" i="6" s="1"/>
  <c r="V104" i="6" s="1"/>
  <c r="O92" i="6"/>
  <c r="O106" i="6"/>
  <c r="O69" i="6"/>
  <c r="O90" i="6"/>
  <c r="O81" i="6" s="1"/>
  <c r="Q81" i="6"/>
  <c r="X81" i="6" s="1"/>
  <c r="Y81" i="6" s="1"/>
  <c r="T146" i="6"/>
  <c r="T145" i="6" s="1"/>
  <c r="T144" i="6" s="1"/>
  <c r="T134" i="6"/>
  <c r="T133" i="6" s="1"/>
  <c r="T132" i="6" s="1"/>
  <c r="N132" i="6"/>
  <c r="W122" i="6"/>
  <c r="N106" i="6"/>
  <c r="T94" i="6"/>
  <c r="N92" i="6"/>
  <c r="N57" i="6"/>
  <c r="O20" i="6"/>
  <c r="V27" i="6"/>
  <c r="V26" i="6" s="1"/>
  <c r="Q35" i="6"/>
  <c r="Q34" i="6" s="1"/>
  <c r="T153" i="6"/>
  <c r="T83" i="6"/>
  <c r="T82" i="6" s="1"/>
  <c r="O55" i="6"/>
  <c r="O46" i="6" s="1"/>
  <c r="S56" i="6"/>
  <c r="N55" i="6"/>
  <c r="T55" i="6" s="1"/>
  <c r="U55" i="6" s="1"/>
  <c r="V55" i="6" s="1"/>
  <c r="T48" i="6"/>
  <c r="T36" i="6"/>
  <c r="N34" i="6"/>
  <c r="N175" i="4"/>
  <c r="T175" i="4" s="1"/>
  <c r="U175" i="4" s="1"/>
  <c r="N78" i="4"/>
  <c r="N79" i="4" s="1"/>
  <c r="T79" i="4" s="1"/>
  <c r="T169" i="4"/>
  <c r="O118" i="4"/>
  <c r="N110" i="4"/>
  <c r="N118" i="4" s="1"/>
  <c r="O155" i="4"/>
  <c r="N150" i="4"/>
  <c r="N155" i="4" s="1"/>
  <c r="N99" i="4"/>
  <c r="O109" i="4"/>
  <c r="O79" i="4"/>
  <c r="O86" i="4"/>
  <c r="N80" i="4"/>
  <c r="N183" i="4"/>
  <c r="N184" i="4" s="1"/>
  <c r="T184" i="4" s="1"/>
  <c r="U184" i="4" s="1"/>
  <c r="O184" i="4"/>
  <c r="O149" i="4"/>
  <c r="N141" i="4"/>
  <c r="N124" i="4"/>
  <c r="O125" i="4"/>
  <c r="N119" i="4"/>
  <c r="O123" i="4"/>
  <c r="O92" i="4"/>
  <c r="N87" i="4"/>
  <c r="O64" i="4"/>
  <c r="N60" i="4"/>
  <c r="O38" i="4"/>
  <c r="N37" i="4"/>
  <c r="N31" i="4"/>
  <c r="N36" i="4" s="1"/>
  <c r="O23" i="4"/>
  <c r="O177" i="4"/>
  <c r="U149" i="4"/>
  <c r="W129" i="4"/>
  <c r="X129" i="4" s="1"/>
  <c r="N22" i="4"/>
  <c r="U118" i="4"/>
  <c r="U59" i="4"/>
  <c r="O140" i="4"/>
  <c r="N130" i="4"/>
  <c r="O59" i="4"/>
  <c r="N53" i="4"/>
  <c r="N59" i="4" s="1"/>
  <c r="U122" i="4"/>
  <c r="T122" i="4"/>
  <c r="O30" i="4"/>
  <c r="N24" i="4"/>
  <c r="O52" i="4"/>
  <c r="N44" i="4"/>
  <c r="U86" i="4"/>
  <c r="N22" i="3"/>
  <c r="V144" i="6" l="1"/>
  <c r="U47" i="6"/>
  <c r="O163" i="4"/>
  <c r="N86" i="4"/>
  <c r="T47" i="6"/>
  <c r="S57" i="6"/>
  <c r="T79" i="6"/>
  <c r="U79" i="6" s="1"/>
  <c r="V79" i="6" s="1"/>
  <c r="T131" i="6"/>
  <c r="T120" i="6"/>
  <c r="V160" i="4"/>
  <c r="R163" i="4"/>
  <c r="N163" i="4" s="1"/>
  <c r="N149" i="4"/>
  <c r="U35" i="6"/>
  <c r="T35" i="6"/>
  <c r="W35" i="6" s="1"/>
  <c r="T70" i="6"/>
  <c r="T93" i="6"/>
  <c r="Q144" i="6"/>
  <c r="X144" i="6" s="1"/>
  <c r="Y144" i="6" s="1"/>
  <c r="U145" i="6"/>
  <c r="U144" i="6" s="1"/>
  <c r="O129" i="4"/>
  <c r="N129" i="4" s="1"/>
  <c r="U79" i="4"/>
  <c r="V25" i="6"/>
  <c r="U94" i="6"/>
  <c r="U93" i="6" s="1"/>
  <c r="T92" i="6"/>
  <c r="O14" i="6"/>
  <c r="X34" i="6"/>
  <c r="Y34" i="6" s="1"/>
  <c r="U71" i="6"/>
  <c r="U70" i="6" s="1"/>
  <c r="V108" i="6"/>
  <c r="V107" i="6" s="1"/>
  <c r="Y120" i="6"/>
  <c r="W70" i="4"/>
  <c r="X70" i="4" s="1"/>
  <c r="P189" i="4"/>
  <c r="W188" i="4"/>
  <c r="X188" i="4" s="1"/>
  <c r="U12" i="4"/>
  <c r="U23" i="4" s="1"/>
  <c r="T23" i="4"/>
  <c r="Q14" i="6"/>
  <c r="X14" i="6" s="1"/>
  <c r="Y14" i="6" s="1"/>
  <c r="U25" i="6"/>
  <c r="N46" i="6"/>
  <c r="T67" i="6"/>
  <c r="U67" i="6" s="1"/>
  <c r="V67" i="6" s="1"/>
  <c r="W43" i="4"/>
  <c r="X43" i="4" s="1"/>
  <c r="V106" i="6"/>
  <c r="U16" i="6"/>
  <c r="N140" i="4"/>
  <c r="T130" i="4"/>
  <c r="N125" i="4"/>
  <c r="T125" i="4" s="1"/>
  <c r="U125" i="4" s="1"/>
  <c r="T124" i="4"/>
  <c r="U124" i="4" s="1"/>
  <c r="N109" i="4"/>
  <c r="T99" i="4"/>
  <c r="U99" i="4" s="1"/>
  <c r="N66" i="4"/>
  <c r="T66" i="4" s="1"/>
  <c r="U66" i="4" s="1"/>
  <c r="T65" i="4"/>
  <c r="U65" i="4" s="1"/>
  <c r="N52" i="4"/>
  <c r="T44" i="4"/>
  <c r="W58" i="6"/>
  <c r="U59" i="6"/>
  <c r="U58" i="6" s="1"/>
  <c r="U34" i="6"/>
  <c r="V34" i="6"/>
  <c r="V137" i="6"/>
  <c r="V133" i="6" s="1"/>
  <c r="U132" i="6"/>
  <c r="U120" i="6"/>
  <c r="V120" i="6"/>
  <c r="N92" i="4"/>
  <c r="T87" i="4"/>
  <c r="N64" i="4"/>
  <c r="T60" i="4"/>
  <c r="T31" i="4"/>
  <c r="T36" i="4" s="1"/>
  <c r="N23" i="4"/>
  <c r="N38" i="4"/>
  <c r="T37" i="4"/>
  <c r="N120" i="6"/>
  <c r="O57" i="6"/>
  <c r="O120" i="6"/>
  <c r="T130" i="6"/>
  <c r="N69" i="6"/>
  <c r="U56" i="6"/>
  <c r="U46" i="6" s="1"/>
  <c r="V56" i="6"/>
  <c r="V46" i="6" s="1"/>
  <c r="T56" i="6"/>
  <c r="S46" i="6"/>
  <c r="U91" i="6"/>
  <c r="V91" i="6"/>
  <c r="T91" i="6"/>
  <c r="S81" i="6"/>
  <c r="T20" i="6"/>
  <c r="U20" i="6" s="1"/>
  <c r="V20" i="6" s="1"/>
  <c r="T69" i="6"/>
  <c r="U106" i="6"/>
  <c r="T30" i="4"/>
  <c r="N30" i="4"/>
  <c r="N123" i="4"/>
  <c r="T119" i="4"/>
  <c r="U119" i="4" s="1"/>
  <c r="U123" i="4" s="1"/>
  <c r="O70" i="4"/>
  <c r="N70" i="4" s="1"/>
  <c r="O43" i="4"/>
  <c r="N43" i="4" s="1"/>
  <c r="T90" i="6"/>
  <c r="N177" i="4"/>
  <c r="O188" i="4"/>
  <c r="O98" i="4"/>
  <c r="N98" i="4" s="1"/>
  <c r="U255" i="3"/>
  <c r="T255" i="3"/>
  <c r="T259" i="3" s="1"/>
  <c r="Q255" i="3"/>
  <c r="Q259" i="3" s="1"/>
  <c r="U248" i="3"/>
  <c r="T248" i="3"/>
  <c r="Q248" i="3"/>
  <c r="U247" i="3"/>
  <c r="T247" i="3"/>
  <c r="Q247" i="3"/>
  <c r="T46" i="6" l="1"/>
  <c r="V16" i="6"/>
  <c r="V15" i="6" s="1"/>
  <c r="U15" i="6"/>
  <c r="U14" i="6" s="1"/>
  <c r="V155" i="4"/>
  <c r="W155" i="4" s="1"/>
  <c r="R189" i="4"/>
  <c r="W163" i="4"/>
  <c r="X163" i="4" s="1"/>
  <c r="T34" i="6"/>
  <c r="T109" i="4"/>
  <c r="V126" i="4"/>
  <c r="V132" i="6"/>
  <c r="V71" i="6"/>
  <c r="U69" i="6"/>
  <c r="V94" i="6"/>
  <c r="U92" i="6"/>
  <c r="T14" i="6"/>
  <c r="Q155" i="6"/>
  <c r="N155" i="6"/>
  <c r="T57" i="6"/>
  <c r="O155" i="6"/>
  <c r="V14" i="6"/>
  <c r="T81" i="6"/>
  <c r="U90" i="6"/>
  <c r="V90" i="6" s="1"/>
  <c r="V81" i="6" s="1"/>
  <c r="U130" i="4"/>
  <c r="U140" i="4" s="1"/>
  <c r="U163" i="4" s="1"/>
  <c r="T140" i="4"/>
  <c r="T163" i="4" s="1"/>
  <c r="U44" i="4"/>
  <c r="U52" i="4" s="1"/>
  <c r="T52" i="4"/>
  <c r="V59" i="6"/>
  <c r="V58" i="6" s="1"/>
  <c r="U57" i="6"/>
  <c r="U87" i="4"/>
  <c r="U92" i="4" s="1"/>
  <c r="U98" i="4" s="1"/>
  <c r="T92" i="4"/>
  <c r="T98" i="4" s="1"/>
  <c r="U60" i="4"/>
  <c r="U64" i="4" s="1"/>
  <c r="T64" i="4"/>
  <c r="U31" i="4"/>
  <c r="U36" i="4" s="1"/>
  <c r="U37" i="4"/>
  <c r="U38" i="4" s="1"/>
  <c r="T38" i="4"/>
  <c r="T43" i="4" s="1"/>
  <c r="S155" i="6"/>
  <c r="O189" i="4"/>
  <c r="N188" i="4"/>
  <c r="N189" i="4" s="1"/>
  <c r="T177" i="4"/>
  <c r="T188" i="4" s="1"/>
  <c r="T123" i="4"/>
  <c r="U242" i="3"/>
  <c r="T242" i="3"/>
  <c r="Q242" i="3"/>
  <c r="V241" i="3"/>
  <c r="Q241" i="3"/>
  <c r="V214" i="3"/>
  <c r="U214" i="3"/>
  <c r="V199" i="3"/>
  <c r="V200" i="3"/>
  <c r="U199" i="3"/>
  <c r="U200" i="3"/>
  <c r="V190" i="3"/>
  <c r="V188" i="3"/>
  <c r="U190" i="3"/>
  <c r="U188" i="3"/>
  <c r="V140" i="3"/>
  <c r="U140" i="3"/>
  <c r="V137" i="3"/>
  <c r="U137" i="3"/>
  <c r="O255" i="3"/>
  <c r="O248" i="3"/>
  <c r="O247" i="3"/>
  <c r="O242" i="3"/>
  <c r="O241" i="3"/>
  <c r="G14" i="3"/>
  <c r="V70" i="6" l="1"/>
  <c r="V69" i="6" s="1"/>
  <c r="V93" i="6"/>
  <c r="V92" i="6" s="1"/>
  <c r="T155" i="6"/>
  <c r="U109" i="4"/>
  <c r="U129" i="4" s="1"/>
  <c r="V125" i="4"/>
  <c r="T129" i="4"/>
  <c r="T70" i="4"/>
  <c r="U70" i="4"/>
  <c r="U43" i="4"/>
  <c r="V57" i="6"/>
  <c r="U81" i="6"/>
  <c r="U155" i="6" s="1"/>
  <c r="U177" i="4"/>
  <c r="U188" i="4" s="1"/>
  <c r="Q14" i="3"/>
  <c r="N14" i="3"/>
  <c r="G257" i="3"/>
  <c r="U257" i="3" s="1"/>
  <c r="J268" i="3"/>
  <c r="J267" i="3"/>
  <c r="V155" i="6" l="1"/>
  <c r="T189" i="4"/>
  <c r="U189" i="4"/>
  <c r="V257" i="3"/>
  <c r="N241" i="3"/>
  <c r="F133" i="3"/>
  <c r="T154" i="3"/>
  <c r="T142" i="3"/>
  <c r="Q142" i="3"/>
  <c r="G260" i="3"/>
  <c r="O260" i="3" s="1"/>
  <c r="G132" i="3"/>
  <c r="G133" i="3" s="1"/>
  <c r="G129" i="3"/>
  <c r="O257" i="3"/>
  <c r="G258" i="3"/>
  <c r="J258" i="3"/>
  <c r="J257" i="3"/>
  <c r="O252" i="3"/>
  <c r="G252" i="3"/>
  <c r="T252" i="3" s="1"/>
  <c r="G253" i="3"/>
  <c r="O253" i="3" s="1"/>
  <c r="K252" i="3"/>
  <c r="G251" i="3"/>
  <c r="O251" i="3" s="1"/>
  <c r="G250" i="3"/>
  <c r="O250" i="3" s="1"/>
  <c r="G245" i="3"/>
  <c r="O245" i="3" s="1"/>
  <c r="G244" i="3"/>
  <c r="J244" i="3"/>
  <c r="K236" i="3"/>
  <c r="K233" i="3"/>
  <c r="K232" i="3"/>
  <c r="G238" i="3"/>
  <c r="O238" i="3" s="1"/>
  <c r="G236" i="3"/>
  <c r="G235" i="3"/>
  <c r="O235" i="3" s="1"/>
  <c r="G233" i="3"/>
  <c r="G232" i="3"/>
  <c r="T232" i="3" s="1"/>
  <c r="K229" i="3"/>
  <c r="K224" i="3"/>
  <c r="K223" i="3"/>
  <c r="G227" i="3"/>
  <c r="O227" i="3" s="1"/>
  <c r="G228" i="3"/>
  <c r="O228" i="3" s="1"/>
  <c r="G229" i="3"/>
  <c r="Q229" i="3" s="1"/>
  <c r="G230" i="3"/>
  <c r="G226" i="3"/>
  <c r="O226" i="3" s="1"/>
  <c r="G224" i="3"/>
  <c r="Q224" i="3" s="1"/>
  <c r="G223" i="3"/>
  <c r="T223" i="3" s="1"/>
  <c r="K220" i="3"/>
  <c r="J214" i="3"/>
  <c r="G214" i="3"/>
  <c r="O214" i="3" s="1"/>
  <c r="N214" i="3" s="1"/>
  <c r="K212" i="3"/>
  <c r="G216" i="3"/>
  <c r="O216" i="3" s="1"/>
  <c r="G217" i="3"/>
  <c r="O217" i="3" s="1"/>
  <c r="G218" i="3"/>
  <c r="O218" i="3" s="1"/>
  <c r="G219" i="3"/>
  <c r="O219" i="3" s="1"/>
  <c r="G220" i="3"/>
  <c r="T220" i="3" s="1"/>
  <c r="G221" i="3"/>
  <c r="O221" i="3" s="1"/>
  <c r="G215" i="3"/>
  <c r="O215" i="3" s="1"/>
  <c r="G212" i="3"/>
  <c r="T212" i="3" s="1"/>
  <c r="G209" i="3"/>
  <c r="O209" i="3" s="1"/>
  <c r="K207" i="3"/>
  <c r="K204" i="3"/>
  <c r="J204" i="3" s="1"/>
  <c r="G206" i="3"/>
  <c r="O206" i="3" s="1"/>
  <c r="G204" i="3"/>
  <c r="Q204" i="3" s="1"/>
  <c r="J200" i="3"/>
  <c r="G200" i="3"/>
  <c r="O200" i="3" s="1"/>
  <c r="N200" i="3" s="1"/>
  <c r="J199" i="3"/>
  <c r="G199" i="3"/>
  <c r="O199" i="3" s="1"/>
  <c r="N199" i="3" s="1"/>
  <c r="K202" i="3"/>
  <c r="K195" i="3"/>
  <c r="G198" i="3"/>
  <c r="O198" i="3" s="1"/>
  <c r="G201" i="3"/>
  <c r="O201" i="3" s="1"/>
  <c r="G202" i="3"/>
  <c r="T202" i="3" s="1"/>
  <c r="G197" i="3"/>
  <c r="O197" i="3" s="1"/>
  <c r="G195" i="3"/>
  <c r="O195" i="3" s="1"/>
  <c r="J190" i="3"/>
  <c r="G190" i="3"/>
  <c r="O190" i="3" s="1"/>
  <c r="N190" i="3" s="1"/>
  <c r="G188" i="3"/>
  <c r="O188" i="3" s="1"/>
  <c r="N188" i="3" s="1"/>
  <c r="J188" i="3"/>
  <c r="K193" i="3"/>
  <c r="G193" i="3"/>
  <c r="T193" i="3" s="1"/>
  <c r="G187" i="3"/>
  <c r="O187" i="3" s="1"/>
  <c r="G189" i="3"/>
  <c r="O189" i="3" s="1"/>
  <c r="G191" i="3"/>
  <c r="O191" i="3" s="1"/>
  <c r="G192" i="3"/>
  <c r="O192" i="3" s="1"/>
  <c r="G186" i="3"/>
  <c r="O186" i="3" s="1"/>
  <c r="K184" i="3"/>
  <c r="G184" i="3"/>
  <c r="K179" i="3"/>
  <c r="K175" i="3"/>
  <c r="G181" i="3"/>
  <c r="O181" i="3" s="1"/>
  <c r="G179" i="3"/>
  <c r="G178" i="3"/>
  <c r="O178" i="3" s="1"/>
  <c r="G177" i="3"/>
  <c r="O177" i="3" s="1"/>
  <c r="G175" i="3"/>
  <c r="O175" i="3" s="1"/>
  <c r="K173" i="3"/>
  <c r="G171" i="3"/>
  <c r="O171" i="3" s="1"/>
  <c r="G172" i="3"/>
  <c r="O172" i="3" s="1"/>
  <c r="G173" i="3"/>
  <c r="O173" i="3" s="1"/>
  <c r="G170" i="3"/>
  <c r="O170" i="3" s="1"/>
  <c r="K168" i="3"/>
  <c r="G168" i="3"/>
  <c r="K166" i="3"/>
  <c r="G166" i="3"/>
  <c r="G162" i="3"/>
  <c r="O162" i="3" s="1"/>
  <c r="G163" i="3"/>
  <c r="O163" i="3" s="1"/>
  <c r="G164" i="3"/>
  <c r="O164" i="3" s="1"/>
  <c r="G165" i="3"/>
  <c r="O165" i="3" s="1"/>
  <c r="G161" i="3"/>
  <c r="O161" i="3" s="1"/>
  <c r="K159" i="3"/>
  <c r="G159" i="3"/>
  <c r="O159" i="3" s="1"/>
  <c r="G156" i="3"/>
  <c r="O156" i="3" s="1"/>
  <c r="K154" i="3"/>
  <c r="O154" i="3" s="1"/>
  <c r="K151" i="3"/>
  <c r="G153" i="3"/>
  <c r="O153" i="3" s="1"/>
  <c r="G151" i="3"/>
  <c r="O151" i="3" s="1"/>
  <c r="K149" i="3"/>
  <c r="K144" i="3"/>
  <c r="G149" i="3"/>
  <c r="O149" i="3" s="1"/>
  <c r="G147" i="3"/>
  <c r="O147" i="3" s="1"/>
  <c r="G148" i="3"/>
  <c r="O148" i="3" s="1"/>
  <c r="G146" i="3"/>
  <c r="O146" i="3" s="1"/>
  <c r="G144" i="3"/>
  <c r="O144" i="3" s="1"/>
  <c r="G138" i="3"/>
  <c r="O138" i="3" s="1"/>
  <c r="G139" i="3"/>
  <c r="O139" i="3" s="1"/>
  <c r="G140" i="3"/>
  <c r="O140" i="3" s="1"/>
  <c r="N140" i="3" s="1"/>
  <c r="G141" i="3"/>
  <c r="O141" i="3" s="1"/>
  <c r="G137" i="3"/>
  <c r="O137" i="3" s="1"/>
  <c r="N137" i="3" s="1"/>
  <c r="G135" i="3"/>
  <c r="O135" i="3" s="1"/>
  <c r="K135" i="3"/>
  <c r="K142" i="3"/>
  <c r="O142" i="3" s="1"/>
  <c r="J140" i="3"/>
  <c r="J137" i="3"/>
  <c r="K125" i="3"/>
  <c r="K127" i="3"/>
  <c r="K120" i="3"/>
  <c r="K118" i="3"/>
  <c r="K108" i="3"/>
  <c r="J108" i="3" s="1"/>
  <c r="I131" i="3"/>
  <c r="H131" i="3"/>
  <c r="F131" i="3"/>
  <c r="E131" i="3"/>
  <c r="O129" i="3"/>
  <c r="G127" i="3"/>
  <c r="G125" i="3"/>
  <c r="O125" i="3" s="1"/>
  <c r="G123" i="3"/>
  <c r="O123" i="3" s="1"/>
  <c r="G124" i="3"/>
  <c r="O124" i="3" s="1"/>
  <c r="G122" i="3"/>
  <c r="O122" i="3" s="1"/>
  <c r="G120" i="3"/>
  <c r="O120" i="3" s="1"/>
  <c r="G118" i="3"/>
  <c r="G111" i="3"/>
  <c r="O111" i="3" s="1"/>
  <c r="G112" i="3"/>
  <c r="O112" i="3" s="1"/>
  <c r="G113" i="3"/>
  <c r="O113" i="3" s="1"/>
  <c r="G114" i="3"/>
  <c r="O114" i="3" s="1"/>
  <c r="G115" i="3"/>
  <c r="O115" i="3" s="1"/>
  <c r="N115" i="3" s="1"/>
  <c r="G116" i="3"/>
  <c r="O116" i="3" s="1"/>
  <c r="G117" i="3"/>
  <c r="O117" i="3" s="1"/>
  <c r="G110" i="3"/>
  <c r="O110" i="3" s="1"/>
  <c r="V115" i="3"/>
  <c r="U115" i="3"/>
  <c r="J115" i="3"/>
  <c r="G108" i="3"/>
  <c r="T108" i="3" s="1"/>
  <c r="O244" i="3" l="1"/>
  <c r="U244" i="3"/>
  <c r="V244" i="3" s="1"/>
  <c r="O258" i="3"/>
  <c r="N258" i="3" s="1"/>
  <c r="U258" i="3"/>
  <c r="O118" i="3"/>
  <c r="O127" i="3"/>
  <c r="O166" i="3"/>
  <c r="O168" i="3"/>
  <c r="O179" i="3"/>
  <c r="O184" i="3"/>
  <c r="O233" i="3"/>
  <c r="O220" i="3"/>
  <c r="Q166" i="3"/>
  <c r="Q195" i="3"/>
  <c r="Q220" i="3"/>
  <c r="T173" i="3"/>
  <c r="N257" i="3"/>
  <c r="Q149" i="3"/>
  <c r="Q173" i="3"/>
  <c r="Q252" i="3"/>
  <c r="T149" i="3"/>
  <c r="T166" i="3"/>
  <c r="T195" i="3"/>
  <c r="Q233" i="3"/>
  <c r="T233" i="3"/>
  <c r="Q232" i="3"/>
  <c r="O232" i="3"/>
  <c r="O229" i="3"/>
  <c r="O224" i="3"/>
  <c r="T224" i="3"/>
  <c r="O223" i="3"/>
  <c r="Q223" i="3"/>
  <c r="O212" i="3"/>
  <c r="Q212" i="3"/>
  <c r="T204" i="3"/>
  <c r="O204" i="3"/>
  <c r="O202" i="3"/>
  <c r="Q202" i="3"/>
  <c r="Q193" i="3"/>
  <c r="O193" i="3"/>
  <c r="Q184" i="3"/>
  <c r="T184" i="3"/>
  <c r="Q175" i="3"/>
  <c r="T175" i="3"/>
  <c r="Q168" i="3"/>
  <c r="T168" i="3"/>
  <c r="Q159" i="3"/>
  <c r="T159" i="3"/>
  <c r="Q151" i="3"/>
  <c r="T151" i="3"/>
  <c r="Q144" i="3"/>
  <c r="T144" i="3"/>
  <c r="Q135" i="3"/>
  <c r="T135" i="3"/>
  <c r="Q127" i="3"/>
  <c r="T127" i="3"/>
  <c r="T125" i="3"/>
  <c r="Q125" i="3"/>
  <c r="Q120" i="3"/>
  <c r="T120" i="3"/>
  <c r="G119" i="3"/>
  <c r="T118" i="3"/>
  <c r="Q118" i="3"/>
  <c r="Q108" i="3"/>
  <c r="O14" i="3"/>
  <c r="O108" i="3"/>
  <c r="G126" i="3"/>
  <c r="V258" i="3" l="1"/>
  <c r="U259" i="3"/>
  <c r="O259" i="3"/>
  <c r="O22" i="3"/>
  <c r="K267" i="3"/>
  <c r="M22" i="3"/>
  <c r="M14" i="3"/>
  <c r="U14" i="3" s="1"/>
  <c r="I81" i="3"/>
  <c r="H81" i="3"/>
  <c r="F81" i="3"/>
  <c r="E81" i="3"/>
  <c r="G15" i="3"/>
  <c r="J177" i="3" l="1"/>
  <c r="J178" i="3"/>
  <c r="H38" i="3"/>
  <c r="U38" i="3" s="1"/>
  <c r="I102" i="3" l="1"/>
  <c r="I95" i="3"/>
  <c r="I88" i="3"/>
  <c r="I71" i="3"/>
  <c r="I61" i="3"/>
  <c r="I54" i="3"/>
  <c r="I46" i="3"/>
  <c r="I38" i="3"/>
  <c r="I31" i="3"/>
  <c r="I18" i="3"/>
  <c r="H102" i="3"/>
  <c r="H95" i="3"/>
  <c r="H88" i="3"/>
  <c r="H71" i="3"/>
  <c r="H61" i="3"/>
  <c r="H54" i="3"/>
  <c r="H46" i="3"/>
  <c r="H31" i="3"/>
  <c r="H18" i="3"/>
  <c r="M15" i="3"/>
  <c r="O21" i="3"/>
  <c r="M16" i="3"/>
  <c r="U16" i="3" s="1"/>
  <c r="M18" i="3"/>
  <c r="G23" i="3"/>
  <c r="E102" i="3"/>
  <c r="E95" i="3"/>
  <c r="E88" i="3"/>
  <c r="E71" i="3"/>
  <c r="E61" i="3"/>
  <c r="E54" i="3"/>
  <c r="E46" i="3"/>
  <c r="E38" i="3"/>
  <c r="E31" i="3"/>
  <c r="E18" i="3"/>
  <c r="F18" i="3"/>
  <c r="G16" i="3"/>
  <c r="O16" i="3" s="1"/>
  <c r="Q23" i="3" l="1"/>
  <c r="S24" i="3"/>
  <c r="S25" i="3" s="1"/>
  <c r="Q38" i="3"/>
  <c r="T22" i="3"/>
  <c r="U22" i="3" s="1"/>
  <c r="V248" i="3"/>
  <c r="V247" i="3"/>
  <c r="V255" i="3"/>
  <c r="V259" i="3" s="1"/>
  <c r="N260" i="3"/>
  <c r="Q154" i="3"/>
  <c r="G167" i="3"/>
  <c r="G150" i="3"/>
  <c r="N108" i="3"/>
  <c r="U21" i="3" l="1"/>
  <c r="V22" i="3"/>
  <c r="N125" i="3"/>
  <c r="U125" i="3" s="1"/>
  <c r="V125" i="3" s="1"/>
  <c r="J125" i="3"/>
  <c r="F102" i="3" l="1"/>
  <c r="F95" i="3"/>
  <c r="F88" i="3"/>
  <c r="M76" i="3"/>
  <c r="G80" i="3" l="1"/>
  <c r="O80" i="3" s="1"/>
  <c r="G79" i="3"/>
  <c r="O79" i="3" s="1"/>
  <c r="M79" i="3"/>
  <c r="U79" i="3" s="1"/>
  <c r="N79" i="3"/>
  <c r="V79" i="3"/>
  <c r="M80" i="3"/>
  <c r="U80" i="3" s="1"/>
  <c r="M74" i="3"/>
  <c r="F71" i="3"/>
  <c r="G70" i="3"/>
  <c r="Q70" i="3" s="1"/>
  <c r="M70" i="3"/>
  <c r="U70" i="3" s="1"/>
  <c r="M68" i="3"/>
  <c r="V68" i="3" s="1"/>
  <c r="G68" i="3"/>
  <c r="Q68" i="3" s="1"/>
  <c r="M69" i="3"/>
  <c r="V69" i="3" s="1"/>
  <c r="G69" i="3"/>
  <c r="F61" i="3"/>
  <c r="F54" i="3"/>
  <c r="G52" i="3"/>
  <c r="Q52" i="3" s="1"/>
  <c r="G51" i="3"/>
  <c r="O51" i="3" s="1"/>
  <c r="M52" i="3"/>
  <c r="U52" i="3" s="1"/>
  <c r="F46" i="3"/>
  <c r="F38" i="3"/>
  <c r="G38" i="3" s="1"/>
  <c r="S39" i="3" s="1"/>
  <c r="S40" i="3" s="1"/>
  <c r="F31" i="3"/>
  <c r="G31" i="3" s="1"/>
  <c r="G17" i="3"/>
  <c r="M17" i="3"/>
  <c r="V16" i="3"/>
  <c r="V15" i="3"/>
  <c r="Q31" i="3" l="1"/>
  <c r="S32" i="3"/>
  <c r="S33" i="3" s="1"/>
  <c r="Q69" i="3"/>
  <c r="N69" i="3"/>
  <c r="N80" i="3"/>
  <c r="Q80" i="3"/>
  <c r="Q79" i="3"/>
  <c r="T79" i="3" s="1"/>
  <c r="N70" i="3"/>
  <c r="N16" i="3"/>
  <c r="Q15" i="3"/>
  <c r="O15" i="3"/>
  <c r="N15" i="3"/>
  <c r="N17" i="3"/>
  <c r="O17" i="3"/>
  <c r="G18" i="3"/>
  <c r="N51" i="3"/>
  <c r="O70" i="3"/>
  <c r="G71" i="3"/>
  <c r="V80" i="3"/>
  <c r="G54" i="3"/>
  <c r="S55" i="3" s="1"/>
  <c r="S56" i="3" s="1"/>
  <c r="Q16" i="3"/>
  <c r="O68" i="3"/>
  <c r="Q51" i="3"/>
  <c r="V52" i="3"/>
  <c r="N68" i="3"/>
  <c r="U68" i="3"/>
  <c r="V70" i="3"/>
  <c r="U69" i="3"/>
  <c r="U15" i="3"/>
  <c r="N52" i="3"/>
  <c r="O52" i="3"/>
  <c r="O69" i="3"/>
  <c r="U18" i="3"/>
  <c r="K268" i="3"/>
  <c r="I259" i="3"/>
  <c r="H259" i="3"/>
  <c r="N71" i="3" l="1"/>
  <c r="S72" i="3"/>
  <c r="S73" i="3" s="1"/>
  <c r="Q18" i="3"/>
  <c r="S19" i="3"/>
  <c r="S20" i="3" s="1"/>
  <c r="T69" i="3"/>
  <c r="O13" i="3"/>
  <c r="T80" i="3"/>
  <c r="T15" i="3"/>
  <c r="T51" i="3"/>
  <c r="T16" i="3"/>
  <c r="N13" i="3"/>
  <c r="T70" i="3"/>
  <c r="T52" i="3"/>
  <c r="T68" i="3"/>
  <c r="V18" i="3"/>
  <c r="T14" i="3"/>
  <c r="G259" i="3"/>
  <c r="F259" i="3"/>
  <c r="E259" i="3"/>
  <c r="V218" i="3"/>
  <c r="U218" i="3"/>
  <c r="J218" i="3"/>
  <c r="N218" i="3"/>
  <c r="V217" i="3"/>
  <c r="U217" i="3"/>
  <c r="J217" i="3"/>
  <c r="N217" i="3"/>
  <c r="V186" i="3"/>
  <c r="V187" i="3"/>
  <c r="U186" i="3"/>
  <c r="U187" i="3"/>
  <c r="J186" i="3"/>
  <c r="N186" i="3"/>
  <c r="J187" i="3"/>
  <c r="N187" i="3"/>
  <c r="V162" i="3"/>
  <c r="U162" i="3"/>
  <c r="J162" i="3"/>
  <c r="N162" i="3"/>
  <c r="E155" i="3"/>
  <c r="J144" i="3"/>
  <c r="J142" i="3"/>
  <c r="V129" i="3"/>
  <c r="U129" i="3"/>
  <c r="J129" i="3"/>
  <c r="N129" i="3"/>
  <c r="V116" i="3"/>
  <c r="U116" i="3"/>
  <c r="J116" i="3"/>
  <c r="N116" i="3"/>
  <c r="V111" i="3"/>
  <c r="U111" i="3"/>
  <c r="J111" i="3"/>
  <c r="N111" i="3"/>
  <c r="G81" i="3"/>
  <c r="G30" i="3"/>
  <c r="N255" i="3"/>
  <c r="N259" i="3" s="1"/>
  <c r="V227" i="3"/>
  <c r="U227" i="3"/>
  <c r="J227" i="3"/>
  <c r="N227" i="3"/>
  <c r="E133" i="3"/>
  <c r="G78" i="3"/>
  <c r="G76" i="3"/>
  <c r="N76" i="3" s="1"/>
  <c r="G77" i="3"/>
  <c r="G53" i="3"/>
  <c r="Q53" i="3" s="1"/>
  <c r="N81" i="3" l="1"/>
  <c r="S82" i="3"/>
  <c r="S83" i="3" s="1"/>
  <c r="V253" i="3"/>
  <c r="U253" i="3"/>
  <c r="J253" i="3"/>
  <c r="N253" i="3"/>
  <c r="V245" i="3"/>
  <c r="U245" i="3"/>
  <c r="N245" i="3"/>
  <c r="J245" i="3"/>
  <c r="V215" i="3" l="1"/>
  <c r="U215" i="3"/>
  <c r="U216" i="3"/>
  <c r="U219" i="3"/>
  <c r="J215" i="3"/>
  <c r="N215" i="3"/>
  <c r="G100" i="3"/>
  <c r="G101" i="3"/>
  <c r="Q101" i="3" s="1"/>
  <c r="G102" i="3"/>
  <c r="G99" i="3"/>
  <c r="G93" i="3"/>
  <c r="G94" i="3"/>
  <c r="G95" i="3"/>
  <c r="G92" i="3"/>
  <c r="M87" i="3"/>
  <c r="U87" i="3" s="1"/>
  <c r="G87" i="3"/>
  <c r="Q87" i="3" s="1"/>
  <c r="G86" i="3"/>
  <c r="Q86" i="3" s="1"/>
  <c r="G88" i="3"/>
  <c r="G85" i="3"/>
  <c r="O85" i="3" s="1"/>
  <c r="Q76" i="3"/>
  <c r="Q78" i="3"/>
  <c r="N78" i="3"/>
  <c r="O76" i="3"/>
  <c r="Q77" i="3"/>
  <c r="O78" i="3"/>
  <c r="G75" i="3"/>
  <c r="Q75" i="3" s="1"/>
  <c r="G67" i="3"/>
  <c r="M67" i="3"/>
  <c r="U67" i="3" s="1"/>
  <c r="G66" i="3"/>
  <c r="Q71" i="3"/>
  <c r="G65" i="3"/>
  <c r="G60" i="3"/>
  <c r="Q60" i="3" s="1"/>
  <c r="G59" i="3"/>
  <c r="N59" i="3" s="1"/>
  <c r="G58" i="3"/>
  <c r="N58" i="3" s="1"/>
  <c r="N53" i="3"/>
  <c r="O53" i="3"/>
  <c r="G50" i="3"/>
  <c r="G45" i="3"/>
  <c r="O45" i="3" s="1"/>
  <c r="G44" i="3"/>
  <c r="Q44" i="3" s="1"/>
  <c r="G43" i="3"/>
  <c r="O43" i="3" s="1"/>
  <c r="G42" i="3"/>
  <c r="O42" i="3" s="1"/>
  <c r="G37" i="3"/>
  <c r="O37" i="3" s="1"/>
  <c r="G36" i="3"/>
  <c r="Q36" i="3" s="1"/>
  <c r="G35" i="3"/>
  <c r="Q35" i="3" s="1"/>
  <c r="Q30" i="3"/>
  <c r="G29" i="3"/>
  <c r="Q29" i="3" s="1"/>
  <c r="G28" i="3"/>
  <c r="Q28" i="3" s="1"/>
  <c r="G27" i="3"/>
  <c r="Q27" i="3" s="1"/>
  <c r="N18" i="3"/>
  <c r="N12" i="3" s="1"/>
  <c r="Q81" i="3"/>
  <c r="G61" i="3"/>
  <c r="Q54" i="3"/>
  <c r="G46" i="3"/>
  <c r="Q61" i="3" l="1"/>
  <c r="S62" i="3"/>
  <c r="S63" i="3" s="1"/>
  <c r="Q88" i="3"/>
  <c r="S89" i="3"/>
  <c r="S90" i="3" s="1"/>
  <c r="Q46" i="3"/>
  <c r="S47" i="3"/>
  <c r="S48" i="3" s="1"/>
  <c r="Q95" i="3"/>
  <c r="S96" i="3"/>
  <c r="S97" i="3" s="1"/>
  <c r="S103" i="3"/>
  <c r="Q102" i="3"/>
  <c r="O99" i="3"/>
  <c r="Q99" i="3"/>
  <c r="N99" i="3"/>
  <c r="Q93" i="3"/>
  <c r="O93" i="3"/>
  <c r="Q92" i="3"/>
  <c r="O92" i="3"/>
  <c r="Q94" i="3"/>
  <c r="O94" i="3"/>
  <c r="Q100" i="3"/>
  <c r="Q98" i="3" s="1"/>
  <c r="N100" i="3"/>
  <c r="O75" i="3"/>
  <c r="N75" i="3"/>
  <c r="O67" i="3"/>
  <c r="N67" i="3"/>
  <c r="O66" i="3"/>
  <c r="N66" i="3"/>
  <c r="O65" i="3"/>
  <c r="O64" i="3" s="1"/>
  <c r="N65" i="3"/>
  <c r="N64" i="3" s="1"/>
  <c r="N63" i="3" s="1"/>
  <c r="Q26" i="3"/>
  <c r="Q25" i="3" s="1"/>
  <c r="O27" i="3"/>
  <c r="M53" i="3"/>
  <c r="V53" i="3" s="1"/>
  <c r="N35" i="3"/>
  <c r="O35" i="3"/>
  <c r="N45" i="3"/>
  <c r="Q45" i="3"/>
  <c r="O58" i="3"/>
  <c r="O71" i="3"/>
  <c r="Q66" i="3"/>
  <c r="N85" i="3"/>
  <c r="Q85" i="3"/>
  <c r="Q84" i="3" s="1"/>
  <c r="Q83" i="3" s="1"/>
  <c r="O50" i="3"/>
  <c r="O49" i="3" s="1"/>
  <c r="Q50" i="3"/>
  <c r="Q49" i="3" s="1"/>
  <c r="Q48" i="3" s="1"/>
  <c r="U53" i="3"/>
  <c r="N38" i="3"/>
  <c r="T38" i="3" s="1"/>
  <c r="O38" i="3"/>
  <c r="Q37" i="3"/>
  <c r="Q34" i="3" s="1"/>
  <c r="N43" i="3"/>
  <c r="Q43" i="3"/>
  <c r="O60" i="3"/>
  <c r="Q67" i="3"/>
  <c r="T53" i="3"/>
  <c r="N54" i="3"/>
  <c r="O54" i="3"/>
  <c r="O81" i="3"/>
  <c r="O77" i="3"/>
  <c r="Q74" i="3"/>
  <c r="N87" i="3"/>
  <c r="O87" i="3"/>
  <c r="N95" i="3"/>
  <c r="N93" i="3"/>
  <c r="O95" i="3"/>
  <c r="N102" i="3"/>
  <c r="O102" i="3"/>
  <c r="O100" i="3"/>
  <c r="N29" i="3"/>
  <c r="N42" i="3"/>
  <c r="O46" i="3"/>
  <c r="O44" i="3"/>
  <c r="O41" i="3" s="1"/>
  <c r="Q42" i="3"/>
  <c r="N50" i="3"/>
  <c r="N49" i="3" s="1"/>
  <c r="V67" i="3"/>
  <c r="Q65" i="3"/>
  <c r="Q64" i="3" s="1"/>
  <c r="O29" i="3"/>
  <c r="N27" i="3"/>
  <c r="N36" i="3"/>
  <c r="N37" i="3"/>
  <c r="O36" i="3"/>
  <c r="N46" i="3"/>
  <c r="N44" i="3"/>
  <c r="O61" i="3"/>
  <c r="N77" i="3"/>
  <c r="N88" i="3"/>
  <c r="N86" i="3"/>
  <c r="O88" i="3"/>
  <c r="O86" i="3"/>
  <c r="N92" i="3"/>
  <c r="N94" i="3"/>
  <c r="N101" i="3"/>
  <c r="O101" i="3"/>
  <c r="V87" i="3"/>
  <c r="Q58" i="3"/>
  <c r="N60" i="3"/>
  <c r="N57" i="3" s="1"/>
  <c r="O59" i="3"/>
  <c r="Q59" i="3"/>
  <c r="O28" i="3"/>
  <c r="O30" i="3"/>
  <c r="N28" i="3"/>
  <c r="N30" i="3"/>
  <c r="Q91" i="3" l="1"/>
  <c r="Q90" i="3" s="1"/>
  <c r="N98" i="3"/>
  <c r="O91" i="3"/>
  <c r="O90" i="3" s="1"/>
  <c r="O74" i="3"/>
  <c r="N74" i="3"/>
  <c r="N73" i="3" s="1"/>
  <c r="N97" i="3"/>
  <c r="O63" i="3"/>
  <c r="N48" i="3"/>
  <c r="T66" i="3"/>
  <c r="Q41" i="3"/>
  <c r="T67" i="3"/>
  <c r="T71" i="3"/>
  <c r="O84" i="3"/>
  <c r="O83" i="3" s="1"/>
  <c r="Q63" i="3"/>
  <c r="O98" i="3"/>
  <c r="O26" i="3"/>
  <c r="N84" i="3"/>
  <c r="N83" i="3" s="1"/>
  <c r="O34" i="3"/>
  <c r="Q57" i="3"/>
  <c r="T87" i="3"/>
  <c r="O57" i="3"/>
  <c r="O48" i="3"/>
  <c r="U17" i="3"/>
  <c r="U13" i="3" s="1"/>
  <c r="U12" i="3" s="1"/>
  <c r="V17" i="3"/>
  <c r="Q17" i="3"/>
  <c r="Q13" i="3" s="1"/>
  <c r="Q12" i="3" s="1"/>
  <c r="O18" i="3"/>
  <c r="O12" i="3" s="1"/>
  <c r="V198" i="3"/>
  <c r="V201" i="3"/>
  <c r="U198" i="3"/>
  <c r="U201" i="3"/>
  <c r="U197" i="3"/>
  <c r="U189" i="3"/>
  <c r="T18" i="3" l="1"/>
  <c r="T17" i="3"/>
  <c r="T13" i="3" s="1"/>
  <c r="V251" i="3"/>
  <c r="V250" i="3"/>
  <c r="U251" i="3"/>
  <c r="U250" i="3"/>
  <c r="N251" i="3"/>
  <c r="J251" i="3"/>
  <c r="J250" i="3"/>
  <c r="F261" i="3"/>
  <c r="H261" i="3"/>
  <c r="I261" i="3"/>
  <c r="N261" i="3"/>
  <c r="F222" i="3"/>
  <c r="H222" i="3"/>
  <c r="I222" i="3"/>
  <c r="J233" i="3"/>
  <c r="U233" i="3" s="1"/>
  <c r="F239" i="3"/>
  <c r="H239" i="3"/>
  <c r="I239" i="3"/>
  <c r="F231" i="3"/>
  <c r="H231" i="3"/>
  <c r="I231" i="3"/>
  <c r="F237" i="3"/>
  <c r="H237" i="3"/>
  <c r="I237" i="3"/>
  <c r="V235" i="3"/>
  <c r="U235" i="3"/>
  <c r="N235" i="3"/>
  <c r="J235" i="3"/>
  <c r="G237" i="3"/>
  <c r="V228" i="3"/>
  <c r="V226" i="3"/>
  <c r="U228" i="3"/>
  <c r="U226" i="3"/>
  <c r="N228" i="3"/>
  <c r="N226" i="3"/>
  <c r="J228" i="3"/>
  <c r="J226" i="3"/>
  <c r="N221" i="3"/>
  <c r="V219" i="3"/>
  <c r="V216" i="3"/>
  <c r="N216" i="3"/>
  <c r="J216" i="3"/>
  <c r="J219" i="3"/>
  <c r="G207" i="3"/>
  <c r="J198" i="3"/>
  <c r="J201" i="3"/>
  <c r="N209" i="3"/>
  <c r="F210" i="3"/>
  <c r="H210" i="3"/>
  <c r="I210" i="3"/>
  <c r="F208" i="3"/>
  <c r="H208" i="3"/>
  <c r="I208" i="3"/>
  <c r="V206" i="3"/>
  <c r="U206" i="3"/>
  <c r="N206" i="3"/>
  <c r="J206" i="3"/>
  <c r="F203" i="3"/>
  <c r="H203" i="3"/>
  <c r="I203" i="3"/>
  <c r="V197" i="3"/>
  <c r="J197" i="3"/>
  <c r="F194" i="3"/>
  <c r="H194" i="3"/>
  <c r="I194" i="3"/>
  <c r="V191" i="3"/>
  <c r="V192" i="3"/>
  <c r="V189" i="3"/>
  <c r="U191" i="3"/>
  <c r="U192" i="3"/>
  <c r="J191" i="3"/>
  <c r="J192" i="3"/>
  <c r="J189" i="3"/>
  <c r="V154" i="3"/>
  <c r="F155" i="3"/>
  <c r="H155" i="3"/>
  <c r="I155" i="3"/>
  <c r="J123" i="3"/>
  <c r="J124" i="3"/>
  <c r="J122" i="3"/>
  <c r="F182" i="3"/>
  <c r="H182" i="3"/>
  <c r="I182" i="3"/>
  <c r="V178" i="3"/>
  <c r="V177" i="3"/>
  <c r="U178" i="3"/>
  <c r="U177" i="3"/>
  <c r="F180" i="3"/>
  <c r="H180" i="3"/>
  <c r="I180" i="3"/>
  <c r="N177" i="3"/>
  <c r="N178" i="3"/>
  <c r="F167" i="3"/>
  <c r="H167" i="3"/>
  <c r="I167" i="3"/>
  <c r="F174" i="3"/>
  <c r="H174" i="3"/>
  <c r="I174" i="3"/>
  <c r="J170" i="3"/>
  <c r="J171" i="3"/>
  <c r="V171" i="3"/>
  <c r="V172" i="3"/>
  <c r="V170" i="3"/>
  <c r="U171" i="3"/>
  <c r="U172" i="3"/>
  <c r="U170" i="3"/>
  <c r="J172" i="3"/>
  <c r="N171" i="3"/>
  <c r="N170" i="3"/>
  <c r="N172" i="3"/>
  <c r="V163" i="3"/>
  <c r="V164" i="3"/>
  <c r="V165" i="3"/>
  <c r="V161" i="3"/>
  <c r="U163" i="3"/>
  <c r="U164" i="3"/>
  <c r="U165" i="3"/>
  <c r="U161" i="3"/>
  <c r="N163" i="3"/>
  <c r="N164" i="3"/>
  <c r="N165" i="3"/>
  <c r="N161" i="3"/>
  <c r="J161" i="3"/>
  <c r="J163" i="3"/>
  <c r="J164" i="3"/>
  <c r="J165" i="3"/>
  <c r="F157" i="3"/>
  <c r="H157" i="3"/>
  <c r="I157" i="3"/>
  <c r="V153" i="3"/>
  <c r="U153" i="3"/>
  <c r="N153" i="3"/>
  <c r="J153" i="3"/>
  <c r="F150" i="3"/>
  <c r="H150" i="3"/>
  <c r="I150" i="3"/>
  <c r="E150" i="3"/>
  <c r="V146" i="3"/>
  <c r="V147" i="3"/>
  <c r="V148" i="3"/>
  <c r="U146" i="3"/>
  <c r="U147" i="3"/>
  <c r="U148" i="3"/>
  <c r="J146" i="3"/>
  <c r="J147" i="3"/>
  <c r="J148" i="3"/>
  <c r="N146" i="3"/>
  <c r="N147" i="3"/>
  <c r="N148" i="3"/>
  <c r="H143" i="3"/>
  <c r="I143" i="3"/>
  <c r="F143" i="3"/>
  <c r="V138" i="3"/>
  <c r="V139" i="3"/>
  <c r="V141" i="3"/>
  <c r="U138" i="3"/>
  <c r="U139" i="3"/>
  <c r="U141" i="3"/>
  <c r="J138" i="3"/>
  <c r="J139" i="3"/>
  <c r="J141" i="3"/>
  <c r="N138" i="3"/>
  <c r="N139" i="3"/>
  <c r="N141" i="3"/>
  <c r="N123" i="3"/>
  <c r="N124" i="3"/>
  <c r="N122" i="3"/>
  <c r="N112" i="3"/>
  <c r="N113" i="3"/>
  <c r="N114" i="3"/>
  <c r="N117" i="3"/>
  <c r="N110" i="3"/>
  <c r="Q133" i="3"/>
  <c r="T133" i="3"/>
  <c r="T131" i="3"/>
  <c r="F126" i="3"/>
  <c r="V123" i="3"/>
  <c r="V124" i="3"/>
  <c r="V122" i="3"/>
  <c r="U123" i="3"/>
  <c r="U124" i="3"/>
  <c r="U122" i="3"/>
  <c r="V112" i="3"/>
  <c r="V113" i="3"/>
  <c r="V114" i="3"/>
  <c r="V117" i="3"/>
  <c r="V110" i="3"/>
  <c r="U112" i="3"/>
  <c r="U113" i="3"/>
  <c r="U114" i="3"/>
  <c r="U117" i="3"/>
  <c r="U110" i="3"/>
  <c r="J112" i="3"/>
  <c r="J113" i="3"/>
  <c r="J114" i="3"/>
  <c r="J117" i="3"/>
  <c r="J110" i="3"/>
  <c r="F119" i="3"/>
  <c r="L268" i="3"/>
  <c r="L267" i="3"/>
  <c r="T261" i="3"/>
  <c r="Q261" i="3"/>
  <c r="M261" i="3"/>
  <c r="E261" i="3"/>
  <c r="J260" i="3"/>
  <c r="V260" i="3" s="1"/>
  <c r="J252" i="3"/>
  <c r="V242" i="3"/>
  <c r="T246" i="3"/>
  <c r="Q246" i="3"/>
  <c r="T239" i="3"/>
  <c r="Q239" i="3"/>
  <c r="M239" i="3"/>
  <c r="E239" i="3"/>
  <c r="J238" i="3"/>
  <c r="V238" i="3" s="1"/>
  <c r="E237" i="3"/>
  <c r="J236" i="3"/>
  <c r="E231" i="3"/>
  <c r="T229" i="3"/>
  <c r="E222" i="3"/>
  <c r="J221" i="3"/>
  <c r="V221" i="3" s="1"/>
  <c r="T210" i="3"/>
  <c r="Q210" i="3"/>
  <c r="M210" i="3"/>
  <c r="E210" i="3"/>
  <c r="J209" i="3"/>
  <c r="V209" i="3" s="1"/>
  <c r="E208" i="3"/>
  <c r="J207" i="3"/>
  <c r="U207" i="3" s="1"/>
  <c r="E203" i="3"/>
  <c r="J202" i="3"/>
  <c r="E194" i="3"/>
  <c r="T182" i="3"/>
  <c r="Q182" i="3"/>
  <c r="M182" i="3"/>
  <c r="E182" i="3"/>
  <c r="J181" i="3"/>
  <c r="V181" i="3" s="1"/>
  <c r="E180" i="3"/>
  <c r="J179" i="3"/>
  <c r="E174" i="3"/>
  <c r="E167" i="3"/>
  <c r="T157" i="3"/>
  <c r="Q157" i="3"/>
  <c r="M157" i="3"/>
  <c r="E157" i="3"/>
  <c r="N156" i="3"/>
  <c r="J156" i="3"/>
  <c r="V156" i="3" s="1"/>
  <c r="V157" i="3" s="1"/>
  <c r="J151" i="3"/>
  <c r="U151" i="3" s="1"/>
  <c r="E143" i="3"/>
  <c r="U142" i="3"/>
  <c r="M133" i="3"/>
  <c r="I133" i="3"/>
  <c r="H133" i="3"/>
  <c r="J132" i="3"/>
  <c r="O132" i="3" s="1"/>
  <c r="V130" i="3"/>
  <c r="U130" i="3"/>
  <c r="I126" i="3"/>
  <c r="H126" i="3"/>
  <c r="E126" i="3"/>
  <c r="I119" i="3"/>
  <c r="H119" i="3"/>
  <c r="E119" i="3"/>
  <c r="M102" i="3"/>
  <c r="V102" i="3" s="1"/>
  <c r="M101" i="3"/>
  <c r="V101" i="3" s="1"/>
  <c r="M100" i="3"/>
  <c r="V100" i="3" s="1"/>
  <c r="O97" i="3"/>
  <c r="M99" i="3"/>
  <c r="M98" i="3"/>
  <c r="M97" i="3"/>
  <c r="M95" i="3"/>
  <c r="V95" i="3" s="1"/>
  <c r="M94" i="3"/>
  <c r="V94" i="3" s="1"/>
  <c r="M93" i="3"/>
  <c r="V93" i="3" s="1"/>
  <c r="M92" i="3"/>
  <c r="V92" i="3" s="1"/>
  <c r="M91" i="3"/>
  <c r="M90" i="3"/>
  <c r="M88" i="3"/>
  <c r="V88" i="3" s="1"/>
  <c r="M86" i="3"/>
  <c r="V86" i="3" s="1"/>
  <c r="M85" i="3"/>
  <c r="V85" i="3" s="1"/>
  <c r="M84" i="3"/>
  <c r="M83" i="3"/>
  <c r="M81" i="3"/>
  <c r="V81" i="3" s="1"/>
  <c r="M78" i="3"/>
  <c r="V78" i="3" s="1"/>
  <c r="M77" i="3"/>
  <c r="V77" i="3" s="1"/>
  <c r="V76" i="3"/>
  <c r="Q73" i="3"/>
  <c r="M75" i="3"/>
  <c r="V75" i="3" s="1"/>
  <c r="M73" i="3"/>
  <c r="M71" i="3"/>
  <c r="V71" i="3" s="1"/>
  <c r="M66" i="3"/>
  <c r="U66" i="3" s="1"/>
  <c r="M65" i="3"/>
  <c r="V65" i="3" s="1"/>
  <c r="M64" i="3"/>
  <c r="M63" i="3"/>
  <c r="N61" i="3"/>
  <c r="M61" i="3"/>
  <c r="U61" i="3" s="1"/>
  <c r="M60" i="3"/>
  <c r="V60" i="3" s="1"/>
  <c r="M59" i="3"/>
  <c r="U59" i="3" s="1"/>
  <c r="Q56" i="3"/>
  <c r="O56" i="3"/>
  <c r="M58" i="3"/>
  <c r="V58" i="3" s="1"/>
  <c r="M57" i="3"/>
  <c r="M56" i="3"/>
  <c r="M54" i="3"/>
  <c r="V54" i="3" s="1"/>
  <c r="M51" i="3"/>
  <c r="M50" i="3"/>
  <c r="V50" i="3" s="1"/>
  <c r="M49" i="3"/>
  <c r="M48" i="3"/>
  <c r="M46" i="3"/>
  <c r="V46" i="3" s="1"/>
  <c r="M45" i="3"/>
  <c r="V45" i="3" s="1"/>
  <c r="M44" i="3"/>
  <c r="V44" i="3" s="1"/>
  <c r="M43" i="3"/>
  <c r="V43" i="3" s="1"/>
  <c r="Q40" i="3"/>
  <c r="O40" i="3"/>
  <c r="M42" i="3"/>
  <c r="V42" i="3" s="1"/>
  <c r="M41" i="3"/>
  <c r="M40" i="3"/>
  <c r="M38" i="3"/>
  <c r="V38" i="3" s="1"/>
  <c r="M37" i="3"/>
  <c r="V37" i="3" s="1"/>
  <c r="M36" i="3"/>
  <c r="V36" i="3" s="1"/>
  <c r="O33" i="3"/>
  <c r="M35" i="3"/>
  <c r="V35" i="3" s="1"/>
  <c r="M34" i="3"/>
  <c r="M33" i="3"/>
  <c r="O31" i="3"/>
  <c r="O25" i="3" s="1"/>
  <c r="N31" i="3"/>
  <c r="M31" i="3"/>
  <c r="M30" i="3"/>
  <c r="V30" i="3" s="1"/>
  <c r="M29" i="3"/>
  <c r="V29" i="3" s="1"/>
  <c r="M28" i="3"/>
  <c r="V28" i="3" s="1"/>
  <c r="M27" i="3"/>
  <c r="M26" i="3"/>
  <c r="M25" i="3"/>
  <c r="O23" i="3"/>
  <c r="N23" i="3"/>
  <c r="M23" i="3"/>
  <c r="N21" i="3"/>
  <c r="Q21" i="3"/>
  <c r="Q20" i="3" s="1"/>
  <c r="M21" i="3"/>
  <c r="M20" i="3"/>
  <c r="H205" i="1"/>
  <c r="I205" i="1" s="1"/>
  <c r="J205" i="1" s="1"/>
  <c r="H204" i="1"/>
  <c r="H203" i="1"/>
  <c r="I203" i="1" s="1"/>
  <c r="J203" i="1" s="1"/>
  <c r="F202" i="1"/>
  <c r="E202" i="1"/>
  <c r="D202" i="1"/>
  <c r="O196" i="1"/>
  <c r="N196" i="1"/>
  <c r="K196" i="1"/>
  <c r="G196" i="1"/>
  <c r="F196" i="1"/>
  <c r="E196" i="1"/>
  <c r="Q195" i="1"/>
  <c r="P195" i="1"/>
  <c r="M195" i="1"/>
  <c r="L195" i="1" s="1"/>
  <c r="M194" i="1"/>
  <c r="L194" i="1" s="1"/>
  <c r="H194" i="1"/>
  <c r="P194" i="1" s="1"/>
  <c r="Q192" i="1"/>
  <c r="Q193" i="1" s="1"/>
  <c r="P192" i="1"/>
  <c r="P193" i="1" s="1"/>
  <c r="O192" i="1"/>
  <c r="O193" i="1" s="1"/>
  <c r="N192" i="1"/>
  <c r="N193" i="1" s="1"/>
  <c r="M192" i="1"/>
  <c r="M193" i="1" s="1"/>
  <c r="O190" i="1"/>
  <c r="N190" i="1"/>
  <c r="M190" i="1"/>
  <c r="H190" i="1"/>
  <c r="Q190" i="1" s="1"/>
  <c r="M189" i="1"/>
  <c r="L189" i="1" s="1"/>
  <c r="H189" i="1"/>
  <c r="P189" i="1" s="1"/>
  <c r="Q188" i="1"/>
  <c r="P188" i="1"/>
  <c r="O188" i="1"/>
  <c r="N188" i="1"/>
  <c r="M188" i="1"/>
  <c r="Q187" i="1"/>
  <c r="P187" i="1"/>
  <c r="O187" i="1"/>
  <c r="N187" i="1"/>
  <c r="M187" i="1"/>
  <c r="Q185" i="1"/>
  <c r="P185" i="1"/>
  <c r="M185" i="1"/>
  <c r="L185" i="1" s="1"/>
  <c r="P184" i="1"/>
  <c r="Q184" i="1" s="1"/>
  <c r="O184" i="1"/>
  <c r="N184" i="1"/>
  <c r="M184" i="1"/>
  <c r="Q183" i="1"/>
  <c r="P183" i="1"/>
  <c r="O183" i="1"/>
  <c r="N183" i="1"/>
  <c r="M183" i="1"/>
  <c r="O181" i="1"/>
  <c r="N181" i="1"/>
  <c r="K181" i="1"/>
  <c r="G181" i="1"/>
  <c r="F181" i="1"/>
  <c r="E181" i="1"/>
  <c r="Q180" i="1"/>
  <c r="P180" i="1"/>
  <c r="I180" i="1"/>
  <c r="M180" i="1" s="1"/>
  <c r="L180" i="1" s="1"/>
  <c r="M179" i="1"/>
  <c r="H179" i="1"/>
  <c r="P179" i="1" s="1"/>
  <c r="G178" i="1"/>
  <c r="F178" i="1"/>
  <c r="E178" i="1"/>
  <c r="I177" i="1"/>
  <c r="H177" i="1" s="1"/>
  <c r="Q176" i="1"/>
  <c r="P176" i="1"/>
  <c r="M176" i="1"/>
  <c r="L176" i="1" s="1"/>
  <c r="O175" i="1"/>
  <c r="O178" i="1" s="1"/>
  <c r="N175" i="1"/>
  <c r="N178" i="1" s="1"/>
  <c r="I175" i="1"/>
  <c r="H175" i="1" s="1"/>
  <c r="G174" i="1"/>
  <c r="F174" i="1"/>
  <c r="E174" i="1"/>
  <c r="Q173" i="1"/>
  <c r="P173" i="1"/>
  <c r="I173" i="1"/>
  <c r="M173" i="1" s="1"/>
  <c r="L173" i="1" s="1"/>
  <c r="O172" i="1"/>
  <c r="N172" i="1"/>
  <c r="I172" i="1"/>
  <c r="H172" i="1" s="1"/>
  <c r="Q171" i="1"/>
  <c r="P171" i="1"/>
  <c r="M171" i="1"/>
  <c r="L171" i="1" s="1"/>
  <c r="O170" i="1"/>
  <c r="N170" i="1"/>
  <c r="I170" i="1"/>
  <c r="H170" i="1" s="1"/>
  <c r="O169" i="1"/>
  <c r="N169" i="1"/>
  <c r="I169" i="1"/>
  <c r="H169" i="1" s="1"/>
  <c r="G168" i="1"/>
  <c r="F168" i="1"/>
  <c r="E168" i="1"/>
  <c r="M167" i="1"/>
  <c r="L167" i="1" s="1"/>
  <c r="H167" i="1"/>
  <c r="Q167" i="1" s="1"/>
  <c r="O166" i="1"/>
  <c r="N166" i="1"/>
  <c r="I166" i="1"/>
  <c r="H166" i="1" s="1"/>
  <c r="Q165" i="1"/>
  <c r="P165" i="1"/>
  <c r="M165" i="1"/>
  <c r="L165" i="1" s="1"/>
  <c r="O164" i="1"/>
  <c r="N164" i="1"/>
  <c r="I164" i="1"/>
  <c r="H164" i="1" s="1"/>
  <c r="O162" i="1"/>
  <c r="N162" i="1"/>
  <c r="K162" i="1"/>
  <c r="G162" i="1"/>
  <c r="F162" i="1"/>
  <c r="E162" i="1"/>
  <c r="Q161" i="1"/>
  <c r="P161" i="1"/>
  <c r="I161" i="1"/>
  <c r="M161" i="1" s="1"/>
  <c r="M160" i="1"/>
  <c r="L160" i="1" s="1"/>
  <c r="H160" i="1"/>
  <c r="Q160" i="1" s="1"/>
  <c r="Q162" i="1" s="1"/>
  <c r="G159" i="1"/>
  <c r="F159" i="1"/>
  <c r="E159" i="1"/>
  <c r="I158" i="1"/>
  <c r="H158" i="1" s="1"/>
  <c r="Q158" i="1" s="1"/>
  <c r="Q157" i="1"/>
  <c r="P157" i="1"/>
  <c r="M157" i="1"/>
  <c r="L157" i="1" s="1"/>
  <c r="O156" i="1"/>
  <c r="O159" i="1" s="1"/>
  <c r="N156" i="1"/>
  <c r="N159" i="1" s="1"/>
  <c r="I156" i="1"/>
  <c r="M156" i="1" s="1"/>
  <c r="G155" i="1"/>
  <c r="F155" i="1"/>
  <c r="E155" i="1"/>
  <c r="O154" i="1"/>
  <c r="N154" i="1"/>
  <c r="I154" i="1"/>
  <c r="H154" i="1" s="1"/>
  <c r="Q153" i="1"/>
  <c r="P153" i="1"/>
  <c r="M153" i="1"/>
  <c r="L153" i="1" s="1"/>
  <c r="O152" i="1"/>
  <c r="N152" i="1"/>
  <c r="N155" i="1" s="1"/>
  <c r="I152" i="1"/>
  <c r="H152" i="1" s="1"/>
  <c r="G151" i="1"/>
  <c r="F151" i="1"/>
  <c r="E151" i="1"/>
  <c r="O150" i="1"/>
  <c r="N150" i="1"/>
  <c r="I150" i="1"/>
  <c r="M150" i="1" s="1"/>
  <c r="Q149" i="1"/>
  <c r="P149" i="1"/>
  <c r="M149" i="1"/>
  <c r="L149" i="1" s="1"/>
  <c r="O148" i="1"/>
  <c r="N148" i="1"/>
  <c r="N151" i="1" s="1"/>
  <c r="I148" i="1"/>
  <c r="M148" i="1" s="1"/>
  <c r="O146" i="1"/>
  <c r="N146" i="1"/>
  <c r="K146" i="1"/>
  <c r="G146" i="1"/>
  <c r="F146" i="1"/>
  <c r="E146" i="1"/>
  <c r="Q145" i="1"/>
  <c r="P145" i="1"/>
  <c r="I145" i="1"/>
  <c r="M145" i="1" s="1"/>
  <c r="L145" i="1" s="1"/>
  <c r="M144" i="1"/>
  <c r="H144" i="1"/>
  <c r="P144" i="1" s="1"/>
  <c r="G143" i="1"/>
  <c r="F143" i="1"/>
  <c r="E143" i="1"/>
  <c r="I142" i="1"/>
  <c r="H142" i="1" s="1"/>
  <c r="P142" i="1" s="1"/>
  <c r="Q141" i="1"/>
  <c r="P141" i="1"/>
  <c r="M141" i="1"/>
  <c r="L141" i="1" s="1"/>
  <c r="O140" i="1"/>
  <c r="O143" i="1" s="1"/>
  <c r="N140" i="1"/>
  <c r="N143" i="1" s="1"/>
  <c r="I140" i="1"/>
  <c r="H140" i="1" s="1"/>
  <c r="P140" i="1" s="1"/>
  <c r="G139" i="1"/>
  <c r="F139" i="1"/>
  <c r="E139" i="1"/>
  <c r="O138" i="1"/>
  <c r="N138" i="1"/>
  <c r="I138" i="1"/>
  <c r="M138" i="1" s="1"/>
  <c r="Q137" i="1"/>
  <c r="P137" i="1"/>
  <c r="M137" i="1"/>
  <c r="L137" i="1" s="1"/>
  <c r="O136" i="1"/>
  <c r="O139" i="1" s="1"/>
  <c r="N136" i="1"/>
  <c r="I136" i="1"/>
  <c r="M136" i="1" s="1"/>
  <c r="G135" i="1"/>
  <c r="F135" i="1"/>
  <c r="E135" i="1"/>
  <c r="O134" i="1"/>
  <c r="N134" i="1"/>
  <c r="I134" i="1"/>
  <c r="H134" i="1" s="1"/>
  <c r="P134" i="1" s="1"/>
  <c r="Q133" i="1"/>
  <c r="P133" i="1"/>
  <c r="M133" i="1"/>
  <c r="L133" i="1" s="1"/>
  <c r="O132" i="1"/>
  <c r="O135" i="1" s="1"/>
  <c r="N132" i="1"/>
  <c r="N135" i="1" s="1"/>
  <c r="I132" i="1"/>
  <c r="H132" i="1" s="1"/>
  <c r="P132" i="1" s="1"/>
  <c r="O130" i="1"/>
  <c r="N130" i="1"/>
  <c r="K130" i="1"/>
  <c r="G130" i="1"/>
  <c r="F130" i="1"/>
  <c r="E130" i="1"/>
  <c r="Q129" i="1"/>
  <c r="P129" i="1"/>
  <c r="I129" i="1"/>
  <c r="M129" i="1" s="1"/>
  <c r="M128" i="1"/>
  <c r="L128" i="1" s="1"/>
  <c r="H128" i="1"/>
  <c r="Q128" i="1" s="1"/>
  <c r="Q130" i="1" s="1"/>
  <c r="G127" i="1"/>
  <c r="F127" i="1"/>
  <c r="E127" i="1"/>
  <c r="Q126" i="1"/>
  <c r="P126" i="1"/>
  <c r="Q125" i="1"/>
  <c r="P125" i="1"/>
  <c r="M125" i="1"/>
  <c r="L125" i="1" s="1"/>
  <c r="O124" i="1"/>
  <c r="O127" i="1" s="1"/>
  <c r="N124" i="1"/>
  <c r="N127" i="1" s="1"/>
  <c r="I124" i="1"/>
  <c r="M124" i="1" s="1"/>
  <c r="G123" i="1"/>
  <c r="F123" i="1"/>
  <c r="E123" i="1"/>
  <c r="O122" i="1"/>
  <c r="N122" i="1"/>
  <c r="I122" i="1"/>
  <c r="H122" i="1" s="1"/>
  <c r="P122" i="1" s="1"/>
  <c r="Q121" i="1"/>
  <c r="P121" i="1"/>
  <c r="M121" i="1"/>
  <c r="L121" i="1" s="1"/>
  <c r="O120" i="1"/>
  <c r="N120" i="1"/>
  <c r="I120" i="1"/>
  <c r="H120" i="1" s="1"/>
  <c r="P120" i="1" s="1"/>
  <c r="P123" i="1" s="1"/>
  <c r="G119" i="1"/>
  <c r="F119" i="1"/>
  <c r="E119" i="1"/>
  <c r="O118" i="1"/>
  <c r="N118" i="1"/>
  <c r="I118" i="1"/>
  <c r="M118" i="1" s="1"/>
  <c r="Q117" i="1"/>
  <c r="P117" i="1"/>
  <c r="M117" i="1"/>
  <c r="L117" i="1" s="1"/>
  <c r="O116" i="1"/>
  <c r="N116" i="1"/>
  <c r="I116" i="1"/>
  <c r="M116" i="1" s="1"/>
  <c r="O114" i="1"/>
  <c r="N114" i="1"/>
  <c r="K114" i="1"/>
  <c r="G114" i="1"/>
  <c r="F114" i="1"/>
  <c r="E114" i="1"/>
  <c r="Q113" i="1"/>
  <c r="P113" i="1"/>
  <c r="I113" i="1"/>
  <c r="M113" i="1" s="1"/>
  <c r="L113" i="1" s="1"/>
  <c r="M112" i="1"/>
  <c r="H112" i="1"/>
  <c r="P112" i="1" s="1"/>
  <c r="G111" i="1"/>
  <c r="F111" i="1"/>
  <c r="E111" i="1"/>
  <c r="Q110" i="1"/>
  <c r="P110" i="1"/>
  <c r="Q109" i="1"/>
  <c r="P109" i="1"/>
  <c r="M109" i="1"/>
  <c r="L109" i="1" s="1"/>
  <c r="O108" i="1"/>
  <c r="O111" i="1" s="1"/>
  <c r="N108" i="1"/>
  <c r="N111" i="1" s="1"/>
  <c r="I108" i="1"/>
  <c r="H108" i="1" s="1"/>
  <c r="P108" i="1" s="1"/>
  <c r="G107" i="1"/>
  <c r="F107" i="1"/>
  <c r="E107" i="1"/>
  <c r="Q106" i="1"/>
  <c r="P106" i="1"/>
  <c r="Q105" i="1"/>
  <c r="P105" i="1"/>
  <c r="M105" i="1"/>
  <c r="L105" i="1" s="1"/>
  <c r="O104" i="1"/>
  <c r="O107" i="1" s="1"/>
  <c r="N104" i="1"/>
  <c r="N107" i="1" s="1"/>
  <c r="I104" i="1"/>
  <c r="M104" i="1" s="1"/>
  <c r="G103" i="1"/>
  <c r="F103" i="1"/>
  <c r="E103" i="1"/>
  <c r="O102" i="1"/>
  <c r="N102" i="1"/>
  <c r="I102" i="1"/>
  <c r="H102" i="1" s="1"/>
  <c r="P102" i="1" s="1"/>
  <c r="Q101" i="1"/>
  <c r="P101" i="1"/>
  <c r="M101" i="1"/>
  <c r="L101" i="1" s="1"/>
  <c r="O100" i="1"/>
  <c r="N100" i="1"/>
  <c r="N103" i="1" s="1"/>
  <c r="I100" i="1"/>
  <c r="H100" i="1" s="1"/>
  <c r="P100" i="1" s="1"/>
  <c r="P103" i="1" s="1"/>
  <c r="Q207" i="3" l="1"/>
  <c r="O207" i="3"/>
  <c r="N20" i="3"/>
  <c r="V27" i="3"/>
  <c r="V26" i="3" s="1"/>
  <c r="U27" i="3"/>
  <c r="V23" i="3"/>
  <c r="U23" i="3"/>
  <c r="V99" i="3"/>
  <c r="V98" i="3" s="1"/>
  <c r="V97" i="3" s="1"/>
  <c r="U99" i="3"/>
  <c r="V132" i="3"/>
  <c r="V133" i="3" s="1"/>
  <c r="O133" i="3"/>
  <c r="V74" i="3"/>
  <c r="V73" i="3" s="1"/>
  <c r="T31" i="3"/>
  <c r="V14" i="3"/>
  <c r="V13" i="3" s="1"/>
  <c r="U51" i="3"/>
  <c r="V51" i="3"/>
  <c r="V49" i="3" s="1"/>
  <c r="V48" i="3" s="1"/>
  <c r="V31" i="3"/>
  <c r="U31" i="3"/>
  <c r="Q254" i="3"/>
  <c r="N174" i="1"/>
  <c r="M186" i="1"/>
  <c r="O186" i="1"/>
  <c r="O230" i="3"/>
  <c r="V182" i="3"/>
  <c r="V34" i="3"/>
  <c r="V33" i="3" s="1"/>
  <c r="V91" i="3"/>
  <c r="V90" i="3" s="1"/>
  <c r="V239" i="3"/>
  <c r="O246" i="3"/>
  <c r="N246" i="3" s="1"/>
  <c r="V246" i="3"/>
  <c r="G222" i="3"/>
  <c r="T126" i="3"/>
  <c r="Q126" i="3"/>
  <c r="V41" i="3"/>
  <c r="V40" i="3" s="1"/>
  <c r="V84" i="3"/>
  <c r="V83" i="3" s="1"/>
  <c r="N250" i="3"/>
  <c r="U246" i="3"/>
  <c r="G261" i="3"/>
  <c r="N219" i="3"/>
  <c r="N198" i="3"/>
  <c r="N191" i="3"/>
  <c r="Q222" i="3"/>
  <c r="T254" i="3"/>
  <c r="T262" i="3" s="1"/>
  <c r="N189" i="3"/>
  <c r="N201" i="3"/>
  <c r="N192" i="3"/>
  <c r="T222" i="3"/>
  <c r="Q237" i="3"/>
  <c r="G231" i="3"/>
  <c r="N197" i="3"/>
  <c r="V261" i="3"/>
  <c r="V233" i="3"/>
  <c r="G239" i="3"/>
  <c r="O73" i="3"/>
  <c r="Q97" i="3"/>
  <c r="O261" i="3"/>
  <c r="O208" i="3"/>
  <c r="N242" i="3"/>
  <c r="N248" i="3"/>
  <c r="G182" i="3"/>
  <c r="G157" i="3"/>
  <c r="T194" i="3"/>
  <c r="G194" i="3"/>
  <c r="G203" i="3"/>
  <c r="G208" i="3"/>
  <c r="Q208" i="3"/>
  <c r="T208" i="3"/>
  <c r="G155" i="3"/>
  <c r="G174" i="3"/>
  <c r="G210" i="3"/>
  <c r="Q167" i="3"/>
  <c r="U154" i="3"/>
  <c r="U155" i="3" s="1"/>
  <c r="J154" i="3"/>
  <c r="G143" i="3"/>
  <c r="N26" i="3"/>
  <c r="N25" i="3" s="1"/>
  <c r="O155" i="1"/>
  <c r="N168" i="1"/>
  <c r="L187" i="1"/>
  <c r="G180" i="3"/>
  <c r="O103" i="1"/>
  <c r="O151" i="1"/>
  <c r="T50" i="3"/>
  <c r="T49" i="3" s="1"/>
  <c r="O167" i="3"/>
  <c r="T180" i="3"/>
  <c r="G131" i="3"/>
  <c r="T167" i="3"/>
  <c r="Q174" i="3"/>
  <c r="Q180" i="3"/>
  <c r="Q33" i="3"/>
  <c r="P111" i="1"/>
  <c r="O119" i="1"/>
  <c r="P143" i="1"/>
  <c r="O168" i="1"/>
  <c r="T59" i="3"/>
  <c r="U204" i="3"/>
  <c r="U208" i="3" s="1"/>
  <c r="T231" i="3"/>
  <c r="Q119" i="3"/>
  <c r="Q150" i="3"/>
  <c r="Q131" i="3"/>
  <c r="T29" i="3"/>
  <c r="T35" i="3"/>
  <c r="T37" i="3"/>
  <c r="T78" i="3"/>
  <c r="T88" i="3"/>
  <c r="T92" i="3"/>
  <c r="T94" i="3"/>
  <c r="T101" i="3"/>
  <c r="J135" i="3"/>
  <c r="U135" i="3" s="1"/>
  <c r="U143" i="3" s="1"/>
  <c r="U156" i="3"/>
  <c r="U157" i="3" s="1"/>
  <c r="N166" i="3"/>
  <c r="N224" i="3"/>
  <c r="N229" i="3"/>
  <c r="T100" i="3"/>
  <c r="T21" i="3"/>
  <c r="T28" i="3"/>
  <c r="T36" i="3"/>
  <c r="T42" i="3"/>
  <c r="T44" i="3"/>
  <c r="T46" i="3"/>
  <c r="T60" i="3"/>
  <c r="T75" i="3"/>
  <c r="T77" i="3"/>
  <c r="T81" i="3"/>
  <c r="T86" i="3"/>
  <c r="T95" i="3"/>
  <c r="T99" i="3"/>
  <c r="T23" i="3"/>
  <c r="T27" i="3"/>
  <c r="U28" i="3"/>
  <c r="T30" i="3"/>
  <c r="U37" i="3"/>
  <c r="U42" i="3"/>
  <c r="T45" i="3"/>
  <c r="U46" i="3"/>
  <c r="T54" i="3"/>
  <c r="T58" i="3"/>
  <c r="T61" i="3"/>
  <c r="V61" i="3"/>
  <c r="U65" i="3"/>
  <c r="U64" i="3" s="1"/>
  <c r="T76" i="3"/>
  <c r="U77" i="3"/>
  <c r="T85" i="3"/>
  <c r="U86" i="3"/>
  <c r="U92" i="3"/>
  <c r="U101" i="3"/>
  <c r="J120" i="3"/>
  <c r="U120" i="3" s="1"/>
  <c r="U126" i="3" s="1"/>
  <c r="J168" i="3"/>
  <c r="U168" i="3" s="1"/>
  <c r="J173" i="3"/>
  <c r="U173" i="3" s="1"/>
  <c r="J184" i="3"/>
  <c r="U184" i="3" s="1"/>
  <c r="J193" i="3"/>
  <c r="U193" i="3" s="1"/>
  <c r="U209" i="3"/>
  <c r="U221" i="3"/>
  <c r="U30" i="3"/>
  <c r="U35" i="3"/>
  <c r="T43" i="3"/>
  <c r="U44" i="3"/>
  <c r="U60" i="3"/>
  <c r="U75" i="3"/>
  <c r="U81" i="3"/>
  <c r="T93" i="3"/>
  <c r="U94" i="3"/>
  <c r="T102" i="3"/>
  <c r="N247" i="3"/>
  <c r="O157" i="3"/>
  <c r="N157" i="3"/>
  <c r="V179" i="3"/>
  <c r="U179" i="3"/>
  <c r="V236" i="3"/>
  <c r="U236" i="3"/>
  <c r="O20" i="3"/>
  <c r="U29" i="3"/>
  <c r="N34" i="3"/>
  <c r="N33" i="3" s="1"/>
  <c r="U36" i="3"/>
  <c r="N41" i="3"/>
  <c r="N40" i="3" s="1"/>
  <c r="U43" i="3"/>
  <c r="U45" i="3"/>
  <c r="U50" i="3"/>
  <c r="U54" i="3"/>
  <c r="N56" i="3"/>
  <c r="U58" i="3"/>
  <c r="V59" i="3"/>
  <c r="V57" i="3" s="1"/>
  <c r="V66" i="3"/>
  <c r="V64" i="3" s="1"/>
  <c r="T65" i="3"/>
  <c r="U71" i="3"/>
  <c r="U76" i="3"/>
  <c r="U78" i="3"/>
  <c r="U85" i="3"/>
  <c r="U88" i="3"/>
  <c r="N91" i="3"/>
  <c r="N90" i="3" s="1"/>
  <c r="U93" i="3"/>
  <c r="U95" i="3"/>
  <c r="U100" i="3"/>
  <c r="U102" i="3"/>
  <c r="J118" i="3"/>
  <c r="J127" i="3"/>
  <c r="U127" i="3" s="1"/>
  <c r="N132" i="3"/>
  <c r="U132" i="3"/>
  <c r="U133" i="3" s="1"/>
  <c r="V142" i="3"/>
  <c r="J149" i="3"/>
  <c r="V151" i="3"/>
  <c r="V155" i="3" s="1"/>
  <c r="J159" i="3"/>
  <c r="J166" i="3"/>
  <c r="J175" i="3"/>
  <c r="N181" i="3"/>
  <c r="U181" i="3"/>
  <c r="U182" i="3" s="1"/>
  <c r="J195" i="3"/>
  <c r="V207" i="3"/>
  <c r="J212" i="3"/>
  <c r="J220" i="3"/>
  <c r="J223" i="3"/>
  <c r="J224" i="3"/>
  <c r="U224" i="3" s="1"/>
  <c r="J229" i="3"/>
  <c r="J232" i="3"/>
  <c r="U232" i="3" s="1"/>
  <c r="N238" i="3"/>
  <c r="U238" i="3"/>
  <c r="U239" i="3" s="1"/>
  <c r="U260" i="3"/>
  <c r="U261" i="3" s="1"/>
  <c r="H104" i="1"/>
  <c r="Q104" i="1" s="1"/>
  <c r="Q107" i="1" s="1"/>
  <c r="P114" i="1"/>
  <c r="H118" i="1"/>
  <c r="Q118" i="1" s="1"/>
  <c r="N123" i="1"/>
  <c r="M122" i="1"/>
  <c r="L122" i="1" s="1"/>
  <c r="M127" i="1"/>
  <c r="L136" i="1"/>
  <c r="P146" i="1"/>
  <c r="M132" i="1"/>
  <c r="H136" i="1"/>
  <c r="Q136" i="1" s="1"/>
  <c r="L138" i="1"/>
  <c r="N191" i="1"/>
  <c r="L188" i="1"/>
  <c r="L190" i="1"/>
  <c r="H202" i="1"/>
  <c r="I204" i="1"/>
  <c r="J204" i="1" s="1"/>
  <c r="J202" i="1" s="1"/>
  <c r="L116" i="1"/>
  <c r="L150" i="1"/>
  <c r="H156" i="1"/>
  <c r="Q156" i="1" s="1"/>
  <c r="Q159" i="1" s="1"/>
  <c r="P181" i="1"/>
  <c r="N186" i="1"/>
  <c r="L186" i="1" s="1"/>
  <c r="L184" i="1"/>
  <c r="L192" i="1"/>
  <c r="L193" i="1" s="1"/>
  <c r="P196" i="1"/>
  <c r="N115" i="1"/>
  <c r="L104" i="1"/>
  <c r="L107" i="1" s="1"/>
  <c r="M108" i="1"/>
  <c r="M111" i="1" s="1"/>
  <c r="H116" i="1"/>
  <c r="N119" i="1"/>
  <c r="N131" i="1" s="1"/>
  <c r="L118" i="1"/>
  <c r="M120" i="1"/>
  <c r="M123" i="1" s="1"/>
  <c r="O123" i="1"/>
  <c r="H124" i="1"/>
  <c r="Q124" i="1" s="1"/>
  <c r="Q127" i="1" s="1"/>
  <c r="L124" i="1"/>
  <c r="L127" i="1" s="1"/>
  <c r="P128" i="1"/>
  <c r="P130" i="1" s="1"/>
  <c r="P135" i="1"/>
  <c r="M134" i="1"/>
  <c r="L134" i="1" s="1"/>
  <c r="M139" i="1"/>
  <c r="N139" i="1"/>
  <c r="N147" i="1" s="1"/>
  <c r="H138" i="1"/>
  <c r="Q138" i="1" s="1"/>
  <c r="H148" i="1"/>
  <c r="Q148" i="1" s="1"/>
  <c r="N163" i="1"/>
  <c r="H150" i="1"/>
  <c r="Q150" i="1" s="1"/>
  <c r="P160" i="1"/>
  <c r="P162" i="1" s="1"/>
  <c r="P167" i="1"/>
  <c r="O174" i="1"/>
  <c r="O182" i="1" s="1"/>
  <c r="M181" i="1"/>
  <c r="L183" i="1"/>
  <c r="N197" i="1"/>
  <c r="P186" i="1"/>
  <c r="M191" i="1"/>
  <c r="O191" i="1"/>
  <c r="O197" i="1" s="1"/>
  <c r="P190" i="1"/>
  <c r="P191" i="1" s="1"/>
  <c r="L196" i="1"/>
  <c r="P104" i="1"/>
  <c r="P107" i="1" s="1"/>
  <c r="P115" i="1" s="1"/>
  <c r="O147" i="1"/>
  <c r="L139" i="1"/>
  <c r="N182" i="1"/>
  <c r="L129" i="1"/>
  <c r="L130" i="1" s="1"/>
  <c r="M130" i="1"/>
  <c r="L108" i="1"/>
  <c r="L111" i="1" s="1"/>
  <c r="M114" i="1"/>
  <c r="L112" i="1"/>
  <c r="L114" i="1" s="1"/>
  <c r="L132" i="1"/>
  <c r="P152" i="1"/>
  <c r="Q152" i="1"/>
  <c r="P154" i="1"/>
  <c r="Q154" i="1"/>
  <c r="M159" i="1"/>
  <c r="L156" i="1"/>
  <c r="L159" i="1" s="1"/>
  <c r="P164" i="1"/>
  <c r="Q164" i="1"/>
  <c r="P166" i="1"/>
  <c r="Q166" i="1"/>
  <c r="P169" i="1"/>
  <c r="Q169" i="1"/>
  <c r="P175" i="1"/>
  <c r="Q175" i="1"/>
  <c r="P177" i="1"/>
  <c r="Q177" i="1"/>
  <c r="M146" i="1"/>
  <c r="L144" i="1"/>
  <c r="L146" i="1" s="1"/>
  <c r="M151" i="1"/>
  <c r="L148" i="1"/>
  <c r="L161" i="1"/>
  <c r="L162" i="1" s="1"/>
  <c r="M162" i="1"/>
  <c r="P170" i="1"/>
  <c r="Q170" i="1"/>
  <c r="P172" i="1"/>
  <c r="Q172" i="1"/>
  <c r="Q102" i="1"/>
  <c r="M107" i="1"/>
  <c r="M119" i="1"/>
  <c r="Q140" i="1"/>
  <c r="Q144" i="1"/>
  <c r="Q146" i="1" s="1"/>
  <c r="M100" i="1"/>
  <c r="O115" i="1"/>
  <c r="M102" i="1"/>
  <c r="L102" i="1" s="1"/>
  <c r="Q108" i="1"/>
  <c r="Q111" i="1" s="1"/>
  <c r="Q112" i="1"/>
  <c r="Q114" i="1" s="1"/>
  <c r="Q120" i="1"/>
  <c r="Q123" i="1" s="1"/>
  <c r="Q122" i="1"/>
  <c r="P124" i="1"/>
  <c r="P127" i="1" s="1"/>
  <c r="Q132" i="1"/>
  <c r="Q134" i="1"/>
  <c r="P138" i="1"/>
  <c r="M140" i="1"/>
  <c r="Q142" i="1"/>
  <c r="O163" i="1"/>
  <c r="Q186" i="1"/>
  <c r="Q100" i="1"/>
  <c r="M152" i="1"/>
  <c r="M154" i="1"/>
  <c r="L154" i="1" s="1"/>
  <c r="P158" i="1"/>
  <c r="M164" i="1"/>
  <c r="M166" i="1"/>
  <c r="L166" i="1" s="1"/>
  <c r="M169" i="1"/>
  <c r="M170" i="1"/>
  <c r="L170" i="1" s="1"/>
  <c r="M172" i="1"/>
  <c r="L172" i="1" s="1"/>
  <c r="M175" i="1"/>
  <c r="Q179" i="1"/>
  <c r="Q181" i="1" s="1"/>
  <c r="Q189" i="1"/>
  <c r="Q191" i="1" s="1"/>
  <c r="Q194" i="1"/>
  <c r="Q196" i="1" s="1"/>
  <c r="M196" i="1"/>
  <c r="M197" i="1" s="1"/>
  <c r="L179" i="1"/>
  <c r="L181" i="1" s="1"/>
  <c r="Q104" i="3" l="1"/>
  <c r="P148" i="1"/>
  <c r="T98" i="3"/>
  <c r="T97" i="3" s="1"/>
  <c r="U108" i="3"/>
  <c r="V108" i="3"/>
  <c r="U74" i="3"/>
  <c r="U73" i="3" s="1"/>
  <c r="T74" i="3"/>
  <c r="T73" i="3" s="1"/>
  <c r="T64" i="3"/>
  <c r="T63" i="3" s="1"/>
  <c r="N220" i="3"/>
  <c r="N223" i="3"/>
  <c r="V63" i="3"/>
  <c r="U57" i="3"/>
  <c r="U56" i="3" s="1"/>
  <c r="V204" i="3"/>
  <c r="V208" i="3" s="1"/>
  <c r="O182" i="3"/>
  <c r="U49" i="3"/>
  <c r="U48" i="3" s="1"/>
  <c r="N182" i="3"/>
  <c r="V25" i="3"/>
  <c r="T12" i="3"/>
  <c r="N212" i="3"/>
  <c r="T48" i="3"/>
  <c r="T155" i="3"/>
  <c r="Q231" i="3"/>
  <c r="Q240" i="3" s="1"/>
  <c r="V12" i="3"/>
  <c r="O222" i="3"/>
  <c r="N233" i="3"/>
  <c r="O237" i="3"/>
  <c r="N232" i="3"/>
  <c r="N237" i="3" s="1"/>
  <c r="O239" i="3"/>
  <c r="N154" i="3"/>
  <c r="U84" i="3"/>
  <c r="U83" i="3" s="1"/>
  <c r="T84" i="3"/>
  <c r="T83" i="3" s="1"/>
  <c r="T237" i="3"/>
  <c r="T240" i="3" s="1"/>
  <c r="U26" i="3"/>
  <c r="U25" i="3" s="1"/>
  <c r="N118" i="3"/>
  <c r="N119" i="3" s="1"/>
  <c r="N120" i="3"/>
  <c r="O126" i="3"/>
  <c r="U98" i="3"/>
  <c r="U34" i="3"/>
  <c r="U33" i="3" s="1"/>
  <c r="U63" i="3"/>
  <c r="U41" i="3"/>
  <c r="U40" i="3" s="1"/>
  <c r="Q134" i="3"/>
  <c r="Q155" i="3"/>
  <c r="L135" i="1"/>
  <c r="U91" i="3"/>
  <c r="U90" i="3" s="1"/>
  <c r="T57" i="3"/>
  <c r="T56" i="3" s="1"/>
  <c r="T26" i="3"/>
  <c r="T25" i="3" s="1"/>
  <c r="T41" i="3"/>
  <c r="T40" i="3" s="1"/>
  <c r="T91" i="3"/>
  <c r="T90" i="3" s="1"/>
  <c r="T34" i="3"/>
  <c r="T33" i="3" s="1"/>
  <c r="N252" i="3"/>
  <c r="U252" i="3" s="1"/>
  <c r="O254" i="3"/>
  <c r="N254" i="3" s="1"/>
  <c r="N262" i="3" s="1"/>
  <c r="Q262" i="3"/>
  <c r="O180" i="3"/>
  <c r="O203" i="3"/>
  <c r="O194" i="3"/>
  <c r="Q194" i="3"/>
  <c r="Q203" i="3"/>
  <c r="T203" i="3"/>
  <c r="T211" i="3" s="1"/>
  <c r="N239" i="3"/>
  <c r="U194" i="3"/>
  <c r="N193" i="3"/>
  <c r="U20" i="3"/>
  <c r="N195" i="3"/>
  <c r="N144" i="3"/>
  <c r="N184" i="3"/>
  <c r="T174" i="3"/>
  <c r="T183" i="3" s="1"/>
  <c r="V120" i="3"/>
  <c r="V126" i="3" s="1"/>
  <c r="N204" i="3"/>
  <c r="N208" i="3" s="1"/>
  <c r="N202" i="3"/>
  <c r="N149" i="3"/>
  <c r="N168" i="3"/>
  <c r="V168" i="3"/>
  <c r="N135" i="3"/>
  <c r="V135" i="3"/>
  <c r="V143" i="3" s="1"/>
  <c r="N133" i="3"/>
  <c r="O174" i="3"/>
  <c r="N175" i="3"/>
  <c r="N180" i="3" s="1"/>
  <c r="V184" i="3"/>
  <c r="O143" i="3"/>
  <c r="Q183" i="3"/>
  <c r="N173" i="3"/>
  <c r="N159" i="3"/>
  <c r="N167" i="3" s="1"/>
  <c r="Q143" i="3"/>
  <c r="T150" i="3"/>
  <c r="N142" i="3"/>
  <c r="O119" i="3"/>
  <c r="N151" i="3"/>
  <c r="N127" i="3"/>
  <c r="N131" i="3" s="1"/>
  <c r="T143" i="3"/>
  <c r="L151" i="1"/>
  <c r="O150" i="3"/>
  <c r="V173" i="3"/>
  <c r="U97" i="3"/>
  <c r="O155" i="3"/>
  <c r="P118" i="1"/>
  <c r="O131" i="1"/>
  <c r="T20" i="3"/>
  <c r="O131" i="3"/>
  <c r="T119" i="3"/>
  <c r="T134" i="3" s="1"/>
  <c r="V193" i="3"/>
  <c r="V56" i="3"/>
  <c r="U174" i="3"/>
  <c r="V232" i="3"/>
  <c r="V237" i="3" s="1"/>
  <c r="U237" i="3"/>
  <c r="V224" i="3"/>
  <c r="V220" i="3"/>
  <c r="U220" i="3"/>
  <c r="V202" i="3"/>
  <c r="U202" i="3"/>
  <c r="V175" i="3"/>
  <c r="V180" i="3" s="1"/>
  <c r="U175" i="3"/>
  <c r="U180" i="3" s="1"/>
  <c r="V159" i="3"/>
  <c r="U159" i="3"/>
  <c r="V149" i="3"/>
  <c r="U149" i="3"/>
  <c r="V127" i="3"/>
  <c r="V131" i="3" s="1"/>
  <c r="U131" i="3"/>
  <c r="V118" i="3"/>
  <c r="U118" i="3"/>
  <c r="V229" i="3"/>
  <c r="U229" i="3"/>
  <c r="V223" i="3"/>
  <c r="U223" i="3"/>
  <c r="V212" i="3"/>
  <c r="U212" i="3"/>
  <c r="V195" i="3"/>
  <c r="U195" i="3"/>
  <c r="U203" i="3" s="1"/>
  <c r="V166" i="3"/>
  <c r="U166" i="3"/>
  <c r="V144" i="3"/>
  <c r="U144" i="3"/>
  <c r="L119" i="1"/>
  <c r="I202" i="1"/>
  <c r="Q139" i="1"/>
  <c r="P156" i="1"/>
  <c r="P136" i="1"/>
  <c r="L120" i="1"/>
  <c r="L123" i="1" s="1"/>
  <c r="P197" i="1"/>
  <c r="P159" i="1"/>
  <c r="P139" i="1"/>
  <c r="P147" i="1" s="1"/>
  <c r="Q135" i="1"/>
  <c r="Q143" i="1"/>
  <c r="Q116" i="1"/>
  <c r="Q119" i="1" s="1"/>
  <c r="Q131" i="1" s="1"/>
  <c r="P116" i="1"/>
  <c r="P119" i="1" s="1"/>
  <c r="P131" i="1" s="1"/>
  <c r="P150" i="1"/>
  <c r="P151" i="1" s="1"/>
  <c r="M135" i="1"/>
  <c r="L191" i="1"/>
  <c r="L197" i="1" s="1"/>
  <c r="Q151" i="1"/>
  <c r="L169" i="1"/>
  <c r="L174" i="1" s="1"/>
  <c r="M174" i="1"/>
  <c r="M155" i="1"/>
  <c r="M163" i="1" s="1"/>
  <c r="L163" i="1" s="1"/>
  <c r="L152" i="1"/>
  <c r="L155" i="1" s="1"/>
  <c r="M178" i="1"/>
  <c r="L175" i="1"/>
  <c r="L178" i="1" s="1"/>
  <c r="M103" i="1"/>
  <c r="M115" i="1" s="1"/>
  <c r="L115" i="1" s="1"/>
  <c r="L100" i="1"/>
  <c r="L103" i="1" s="1"/>
  <c r="Q103" i="1"/>
  <c r="Q115" i="1" s="1"/>
  <c r="M131" i="1"/>
  <c r="Q178" i="1"/>
  <c r="Q174" i="1"/>
  <c r="Q168" i="1"/>
  <c r="Q155" i="1"/>
  <c r="Q163" i="1" s="1"/>
  <c r="L164" i="1"/>
  <c r="L168" i="1" s="1"/>
  <c r="M168" i="1"/>
  <c r="M143" i="1"/>
  <c r="L140" i="1"/>
  <c r="L143" i="1" s="1"/>
  <c r="Q197" i="1"/>
  <c r="P178" i="1"/>
  <c r="P174" i="1"/>
  <c r="P168" i="1"/>
  <c r="P155" i="1"/>
  <c r="V203" i="3" l="1"/>
  <c r="O134" i="3"/>
  <c r="N134" i="3" s="1"/>
  <c r="W33" i="3"/>
  <c r="U254" i="3"/>
  <c r="U262" i="3" s="1"/>
  <c r="V252" i="3"/>
  <c r="V254" i="3" s="1"/>
  <c r="V262" i="3" s="1"/>
  <c r="N126" i="3"/>
  <c r="N222" i="3"/>
  <c r="M147" i="1"/>
  <c r="L147" i="1" s="1"/>
  <c r="Q211" i="3"/>
  <c r="N155" i="3"/>
  <c r="Q158" i="3"/>
  <c r="O183" i="3"/>
  <c r="N183" i="3" s="1"/>
  <c r="O262" i="3"/>
  <c r="N194" i="3"/>
  <c r="N203" i="3"/>
  <c r="V222" i="3"/>
  <c r="V21" i="3"/>
  <c r="V20" i="3" s="1"/>
  <c r="V194" i="3"/>
  <c r="O158" i="3"/>
  <c r="N150" i="3"/>
  <c r="N174" i="3"/>
  <c r="N143" i="3"/>
  <c r="V174" i="3"/>
  <c r="T158" i="3"/>
  <c r="L131" i="1"/>
  <c r="V119" i="3"/>
  <c r="V134" i="3" s="1"/>
  <c r="V150" i="3"/>
  <c r="V158" i="3" s="1"/>
  <c r="U167" i="3"/>
  <c r="U183" i="3" s="1"/>
  <c r="U119" i="3"/>
  <c r="U134" i="3" s="1"/>
  <c r="U150" i="3"/>
  <c r="U158" i="3" s="1"/>
  <c r="U222" i="3"/>
  <c r="V167" i="3"/>
  <c r="Q147" i="1"/>
  <c r="P163" i="1"/>
  <c r="P182" i="1"/>
  <c r="L182" i="1"/>
  <c r="Q182" i="1"/>
  <c r="M182" i="1"/>
  <c r="N158" i="3" l="1"/>
  <c r="V183" i="3"/>
  <c r="L26" i="1"/>
  <c r="M41" i="1"/>
  <c r="M40" i="1"/>
  <c r="M39" i="1"/>
  <c r="M33" i="1"/>
  <c r="M32" i="1"/>
  <c r="M26" i="1"/>
  <c r="M25" i="1"/>
  <c r="M24" i="1"/>
  <c r="M18" i="1"/>
  <c r="N92" i="1"/>
  <c r="N91" i="1"/>
  <c r="M92" i="1"/>
  <c r="M91" i="1"/>
  <c r="L92" i="1"/>
  <c r="L91" i="1"/>
  <c r="N85" i="1"/>
  <c r="N86" i="1"/>
  <c r="N87" i="1"/>
  <c r="N84" i="1"/>
  <c r="M85" i="1"/>
  <c r="M84" i="1"/>
  <c r="L85" i="1"/>
  <c r="L84" i="1"/>
  <c r="N78" i="1"/>
  <c r="N76" i="1" s="1"/>
  <c r="N77" i="1"/>
  <c r="M78" i="1"/>
  <c r="M77" i="1"/>
  <c r="L78" i="1"/>
  <c r="L79" i="1"/>
  <c r="L80" i="1"/>
  <c r="L81" i="1"/>
  <c r="L77" i="1"/>
  <c r="N70" i="1"/>
  <c r="N71" i="1"/>
  <c r="N69" i="1"/>
  <c r="M70" i="1"/>
  <c r="M71" i="1"/>
  <c r="M69" i="1"/>
  <c r="L70" i="1"/>
  <c r="L71" i="1"/>
  <c r="L69" i="1"/>
  <c r="N62" i="1"/>
  <c r="N63" i="1"/>
  <c r="N61" i="1"/>
  <c r="M62" i="1"/>
  <c r="M63" i="1"/>
  <c r="M61" i="1"/>
  <c r="L62" i="1"/>
  <c r="L63" i="1"/>
  <c r="L61" i="1"/>
  <c r="N55" i="1"/>
  <c r="N54" i="1"/>
  <c r="M55" i="1"/>
  <c r="M54" i="1"/>
  <c r="L55" i="1"/>
  <c r="L54" i="1"/>
  <c r="N48" i="1"/>
  <c r="M48" i="1"/>
  <c r="L48" i="1"/>
  <c r="N47" i="1"/>
  <c r="M47" i="1"/>
  <c r="L47" i="1"/>
  <c r="N44" i="1"/>
  <c r="N40" i="1"/>
  <c r="N41" i="1"/>
  <c r="N39" i="1"/>
  <c r="L40" i="1"/>
  <c r="L41" i="1"/>
  <c r="L39" i="1"/>
  <c r="N36" i="1"/>
  <c r="N33" i="1"/>
  <c r="N32" i="1"/>
  <c r="L32" i="1"/>
  <c r="N25" i="1"/>
  <c r="N26" i="1"/>
  <c r="L25" i="1"/>
  <c r="L24" i="1"/>
  <c r="N46" i="1" l="1"/>
  <c r="N83" i="1"/>
  <c r="N53" i="1"/>
  <c r="M38" i="1"/>
  <c r="M23" i="1"/>
  <c r="M68" i="1"/>
  <c r="M31" i="1"/>
  <c r="M53" i="1"/>
  <c r="N38" i="1"/>
  <c r="N37" i="1" s="1"/>
  <c r="M60" i="1"/>
  <c r="N90" i="1"/>
  <c r="M46" i="1"/>
  <c r="N68" i="1"/>
  <c r="M76" i="1"/>
  <c r="M90" i="1"/>
  <c r="M83" i="1"/>
  <c r="N60" i="1"/>
  <c r="N31" i="1"/>
  <c r="N30" i="1" s="1"/>
  <c r="N24" i="1" l="1"/>
  <c r="N23" i="1" s="1"/>
  <c r="O25" i="1"/>
  <c r="P25" i="1" s="1"/>
  <c r="Q25" i="1" s="1"/>
  <c r="M17" i="1"/>
  <c r="L90" i="1"/>
  <c r="L83" i="1"/>
  <c r="O83" i="1" s="1"/>
  <c r="P83" i="1" s="1"/>
  <c r="Q83" i="1" s="1"/>
  <c r="L76" i="1"/>
  <c r="L75" i="1" s="1"/>
  <c r="N18" i="1"/>
  <c r="N17" i="1" s="1"/>
  <c r="O77" i="1"/>
  <c r="P77" i="1" s="1"/>
  <c r="Q77" i="1" s="1"/>
  <c r="O78" i="1"/>
  <c r="P78" i="1" s="1"/>
  <c r="Q78" i="1" s="1"/>
  <c r="O84" i="1"/>
  <c r="P84" i="1" s="1"/>
  <c r="Q84" i="1" s="1"/>
  <c r="O85" i="1"/>
  <c r="P85" i="1" s="1"/>
  <c r="Q85" i="1" s="1"/>
  <c r="O90" i="1"/>
  <c r="P90" i="1" s="1"/>
  <c r="Q90" i="1" s="1"/>
  <c r="O91" i="1"/>
  <c r="P91" i="1" s="1"/>
  <c r="Q91" i="1" s="1"/>
  <c r="O92" i="1"/>
  <c r="P92" i="1" s="1"/>
  <c r="Q92" i="1" s="1"/>
  <c r="N12" i="1"/>
  <c r="N13" i="1"/>
  <c r="N14" i="1"/>
  <c r="N15" i="1"/>
  <c r="N19" i="1"/>
  <c r="N20" i="1"/>
  <c r="N21" i="1"/>
  <c r="N27" i="1"/>
  <c r="N28" i="1"/>
  <c r="N29" i="1"/>
  <c r="N34" i="1"/>
  <c r="N35" i="1"/>
  <c r="N42" i="1"/>
  <c r="N43" i="1"/>
  <c r="N49" i="1"/>
  <c r="N50" i="1"/>
  <c r="N51" i="1"/>
  <c r="N45" i="1" s="1"/>
  <c r="N56" i="1"/>
  <c r="N57" i="1"/>
  <c r="N58" i="1"/>
  <c r="N52" i="1" s="1"/>
  <c r="N64" i="1"/>
  <c r="N65" i="1"/>
  <c r="N66" i="1"/>
  <c r="N59" i="1" s="1"/>
  <c r="N72" i="1"/>
  <c r="N73" i="1"/>
  <c r="N74" i="1"/>
  <c r="N67" i="1" s="1"/>
  <c r="N79" i="1"/>
  <c r="N80" i="1"/>
  <c r="N81" i="1"/>
  <c r="N75" i="1" s="1"/>
  <c r="N88" i="1"/>
  <c r="N82" i="1" s="1"/>
  <c r="N93" i="1"/>
  <c r="N94" i="1"/>
  <c r="N95" i="1"/>
  <c r="N89" i="1" s="1"/>
  <c r="N11" i="1"/>
  <c r="M12" i="1"/>
  <c r="M13" i="1"/>
  <c r="M14" i="1"/>
  <c r="M15" i="1"/>
  <c r="M19" i="1"/>
  <c r="M20" i="1"/>
  <c r="M21" i="1"/>
  <c r="M27" i="1"/>
  <c r="M28" i="1"/>
  <c r="M29" i="1"/>
  <c r="M34" i="1"/>
  <c r="M35" i="1"/>
  <c r="M36" i="1"/>
  <c r="M30" i="1" s="1"/>
  <c r="M42" i="1"/>
  <c r="M43" i="1"/>
  <c r="M44" i="1"/>
  <c r="M37" i="1" s="1"/>
  <c r="M49" i="1"/>
  <c r="M50" i="1"/>
  <c r="M51" i="1"/>
  <c r="M45" i="1" s="1"/>
  <c r="M56" i="1"/>
  <c r="M57" i="1"/>
  <c r="M58" i="1"/>
  <c r="M52" i="1" s="1"/>
  <c r="M64" i="1"/>
  <c r="M65" i="1"/>
  <c r="M66" i="1"/>
  <c r="M59" i="1" s="1"/>
  <c r="M72" i="1"/>
  <c r="M73" i="1"/>
  <c r="M74" i="1"/>
  <c r="M67" i="1" s="1"/>
  <c r="M79" i="1"/>
  <c r="O79" i="1" s="1"/>
  <c r="P79" i="1" s="1"/>
  <c r="Q79" i="1" s="1"/>
  <c r="M80" i="1"/>
  <c r="O80" i="1" s="1"/>
  <c r="P80" i="1" s="1"/>
  <c r="Q80" i="1" s="1"/>
  <c r="M81" i="1"/>
  <c r="M75" i="1" s="1"/>
  <c r="M86" i="1"/>
  <c r="M87" i="1"/>
  <c r="M88" i="1"/>
  <c r="M82" i="1" s="1"/>
  <c r="M93" i="1"/>
  <c r="M94" i="1"/>
  <c r="M95" i="1"/>
  <c r="M89" i="1" s="1"/>
  <c r="M11" i="1"/>
  <c r="L12" i="1"/>
  <c r="O12" i="1" s="1"/>
  <c r="P12" i="1" s="1"/>
  <c r="Q12" i="1" s="1"/>
  <c r="L13" i="1"/>
  <c r="O13" i="1" s="1"/>
  <c r="P13" i="1" s="1"/>
  <c r="Q13" i="1" s="1"/>
  <c r="L14" i="1"/>
  <c r="O14" i="1" s="1"/>
  <c r="P14" i="1" s="1"/>
  <c r="Q14" i="1" s="1"/>
  <c r="L15" i="1"/>
  <c r="L18" i="1"/>
  <c r="L17" i="1" s="1"/>
  <c r="L19" i="1"/>
  <c r="L20" i="1"/>
  <c r="L21" i="1"/>
  <c r="L27" i="1"/>
  <c r="L28" i="1"/>
  <c r="L29" i="1"/>
  <c r="L33" i="1"/>
  <c r="O33" i="1" s="1"/>
  <c r="P33" i="1" s="1"/>
  <c r="Q33" i="1" s="1"/>
  <c r="L34" i="1"/>
  <c r="O34" i="1" s="1"/>
  <c r="P34" i="1" s="1"/>
  <c r="Q34" i="1" s="1"/>
  <c r="L35" i="1"/>
  <c r="O35" i="1" s="1"/>
  <c r="P35" i="1" s="1"/>
  <c r="Q35" i="1" s="1"/>
  <c r="L36" i="1"/>
  <c r="O36" i="1" s="1"/>
  <c r="P36" i="1" s="1"/>
  <c r="Q36" i="1" s="1"/>
  <c r="L38" i="1"/>
  <c r="O40" i="1"/>
  <c r="P40" i="1" s="1"/>
  <c r="Q40" i="1" s="1"/>
  <c r="O41" i="1"/>
  <c r="P41" i="1" s="1"/>
  <c r="Q41" i="1" s="1"/>
  <c r="L42" i="1"/>
  <c r="O42" i="1" s="1"/>
  <c r="P42" i="1" s="1"/>
  <c r="Q42" i="1" s="1"/>
  <c r="L43" i="1"/>
  <c r="L44" i="1"/>
  <c r="L46" i="1"/>
  <c r="O48" i="1"/>
  <c r="P48" i="1" s="1"/>
  <c r="Q48" i="1" s="1"/>
  <c r="L49" i="1"/>
  <c r="L50" i="1"/>
  <c r="O50" i="1" s="1"/>
  <c r="P50" i="1" s="1"/>
  <c r="Q50" i="1" s="1"/>
  <c r="L51" i="1"/>
  <c r="L53" i="1"/>
  <c r="O55" i="1"/>
  <c r="P55" i="1" s="1"/>
  <c r="Q55" i="1" s="1"/>
  <c r="L56" i="1"/>
  <c r="L57" i="1"/>
  <c r="L58" i="1"/>
  <c r="O58" i="1" s="1"/>
  <c r="P58" i="1" s="1"/>
  <c r="Q58" i="1" s="1"/>
  <c r="O61" i="1"/>
  <c r="P61" i="1" s="1"/>
  <c r="Q61" i="1" s="1"/>
  <c r="O62" i="1"/>
  <c r="P62" i="1" s="1"/>
  <c r="Q62" i="1" s="1"/>
  <c r="O63" i="1"/>
  <c r="P63" i="1" s="1"/>
  <c r="Q63" i="1" s="1"/>
  <c r="L64" i="1"/>
  <c r="O64" i="1" s="1"/>
  <c r="P64" i="1" s="1"/>
  <c r="Q64" i="1" s="1"/>
  <c r="L65" i="1"/>
  <c r="L66" i="1"/>
  <c r="O66" i="1" s="1"/>
  <c r="P66" i="1" s="1"/>
  <c r="Q66" i="1" s="1"/>
  <c r="L68" i="1"/>
  <c r="O70" i="1"/>
  <c r="P70" i="1" s="1"/>
  <c r="Q70" i="1" s="1"/>
  <c r="O71" i="1"/>
  <c r="P71" i="1" s="1"/>
  <c r="Q71" i="1" s="1"/>
  <c r="L72" i="1"/>
  <c r="O72" i="1" s="1"/>
  <c r="P72" i="1" s="1"/>
  <c r="Q72" i="1" s="1"/>
  <c r="L73" i="1"/>
  <c r="L74" i="1"/>
  <c r="L86" i="1"/>
  <c r="L87" i="1"/>
  <c r="O87" i="1" s="1"/>
  <c r="P87" i="1" s="1"/>
  <c r="Q87" i="1" s="1"/>
  <c r="L88" i="1"/>
  <c r="O88" i="1" s="1"/>
  <c r="P88" i="1" s="1"/>
  <c r="Q88" i="1" s="1"/>
  <c r="L93" i="1"/>
  <c r="O93" i="1" s="1"/>
  <c r="P93" i="1" s="1"/>
  <c r="Q93" i="1" s="1"/>
  <c r="L94" i="1"/>
  <c r="L95" i="1"/>
  <c r="O95" i="1" s="1"/>
  <c r="P95" i="1" s="1"/>
  <c r="Q95" i="1" s="1"/>
  <c r="L11" i="1"/>
  <c r="O11" i="1" s="1"/>
  <c r="P11" i="1" s="1"/>
  <c r="Q11" i="1" s="1"/>
  <c r="O73" i="1" l="1"/>
  <c r="P73" i="1" s="1"/>
  <c r="Q73" i="1" s="1"/>
  <c r="O29" i="1"/>
  <c r="P29" i="1" s="1"/>
  <c r="Q29" i="1" s="1"/>
  <c r="O20" i="1"/>
  <c r="P20" i="1" s="1"/>
  <c r="Q20" i="1" s="1"/>
  <c r="O74" i="1"/>
  <c r="P74" i="1" s="1"/>
  <c r="Q74" i="1" s="1"/>
  <c r="O94" i="1"/>
  <c r="P94" i="1" s="1"/>
  <c r="Q94" i="1" s="1"/>
  <c r="O86" i="1"/>
  <c r="P86" i="1" s="1"/>
  <c r="Q86" i="1" s="1"/>
  <c r="O65" i="1"/>
  <c r="P65" i="1" s="1"/>
  <c r="Q65" i="1" s="1"/>
  <c r="O15" i="1"/>
  <c r="P15" i="1" s="1"/>
  <c r="Q15" i="1" s="1"/>
  <c r="O56" i="1"/>
  <c r="P56" i="1" s="1"/>
  <c r="Q56" i="1" s="1"/>
  <c r="O44" i="1"/>
  <c r="P44" i="1" s="1"/>
  <c r="Q44" i="1" s="1"/>
  <c r="O27" i="1"/>
  <c r="P27" i="1" s="1"/>
  <c r="Q27" i="1" s="1"/>
  <c r="L16" i="1"/>
  <c r="O57" i="1"/>
  <c r="P57" i="1" s="1"/>
  <c r="Q57" i="1" s="1"/>
  <c r="O51" i="1"/>
  <c r="P51" i="1" s="1"/>
  <c r="Q51" i="1" s="1"/>
  <c r="O49" i="1"/>
  <c r="P49" i="1" s="1"/>
  <c r="Q49" i="1" s="1"/>
  <c r="O43" i="1"/>
  <c r="P43" i="1" s="1"/>
  <c r="Q43" i="1" s="1"/>
  <c r="O28" i="1"/>
  <c r="P28" i="1" s="1"/>
  <c r="Q28" i="1" s="1"/>
  <c r="O21" i="1"/>
  <c r="P21" i="1" s="1"/>
  <c r="Q21" i="1" s="1"/>
  <c r="O19" i="1"/>
  <c r="P19" i="1" s="1"/>
  <c r="Q19" i="1" s="1"/>
  <c r="N16" i="1"/>
  <c r="M10" i="1"/>
  <c r="M9" i="1" s="1"/>
  <c r="N10" i="1"/>
  <c r="N9" i="1" s="1"/>
  <c r="O81" i="1"/>
  <c r="P81" i="1" s="1"/>
  <c r="Q81" i="1" s="1"/>
  <c r="O75" i="1"/>
  <c r="P75" i="1" s="1"/>
  <c r="Q75" i="1" s="1"/>
  <c r="L89" i="1"/>
  <c r="L31" i="1"/>
  <c r="L30" i="1" s="1"/>
  <c r="O30" i="1" s="1"/>
  <c r="P30" i="1" s="1"/>
  <c r="Q30" i="1" s="1"/>
  <c r="N22" i="1"/>
  <c r="O76" i="1"/>
  <c r="P76" i="1" s="1"/>
  <c r="Q76" i="1" s="1"/>
  <c r="L82" i="1"/>
  <c r="O82" i="1" s="1"/>
  <c r="P82" i="1" s="1"/>
  <c r="Q82" i="1" s="1"/>
  <c r="L67" i="1"/>
  <c r="O67" i="1" s="1"/>
  <c r="P67" i="1" s="1"/>
  <c r="Q67" i="1" s="1"/>
  <c r="O68" i="1"/>
  <c r="P68" i="1" s="1"/>
  <c r="Q68" i="1" s="1"/>
  <c r="L45" i="1"/>
  <c r="O45" i="1" s="1"/>
  <c r="P45" i="1" s="1"/>
  <c r="Q45" i="1" s="1"/>
  <c r="O46" i="1"/>
  <c r="P46" i="1" s="1"/>
  <c r="Q46" i="1" s="1"/>
  <c r="O38" i="1"/>
  <c r="O37" i="1" s="1"/>
  <c r="L37" i="1"/>
  <c r="L52" i="1"/>
  <c r="O52" i="1" s="1"/>
  <c r="P52" i="1" s="1"/>
  <c r="Q52" i="1" s="1"/>
  <c r="O53" i="1"/>
  <c r="P53" i="1" s="1"/>
  <c r="Q53" i="1" s="1"/>
  <c r="O31" i="1"/>
  <c r="P31" i="1" s="1"/>
  <c r="Q31" i="1" s="1"/>
  <c r="O69" i="1"/>
  <c r="P69" i="1" s="1"/>
  <c r="Q69" i="1" s="1"/>
  <c r="O39" i="1"/>
  <c r="P39" i="1" s="1"/>
  <c r="Q39" i="1" s="1"/>
  <c r="O32" i="1"/>
  <c r="P32" i="1" s="1"/>
  <c r="Q32" i="1" s="1"/>
  <c r="L10" i="1"/>
  <c r="L60" i="1"/>
  <c r="M16" i="1"/>
  <c r="O54" i="1"/>
  <c r="P54" i="1" s="1"/>
  <c r="Q54" i="1" s="1"/>
  <c r="O47" i="1"/>
  <c r="P47" i="1" s="1"/>
  <c r="Q47" i="1" s="1"/>
  <c r="M22" i="1"/>
  <c r="O24" i="1"/>
  <c r="P24" i="1" s="1"/>
  <c r="Q24" i="1" s="1"/>
  <c r="L23" i="1"/>
  <c r="L22" i="1" s="1"/>
  <c r="O26" i="1"/>
  <c r="P26" i="1" s="1"/>
  <c r="Q26" i="1" s="1"/>
  <c r="O23" i="1"/>
  <c r="P23" i="1" s="1"/>
  <c r="Q23" i="1" s="1"/>
  <c r="O17" i="1"/>
  <c r="P17" i="1" s="1"/>
  <c r="Q17" i="1" s="1"/>
  <c r="O89" i="1"/>
  <c r="P89" i="1" s="1"/>
  <c r="Q89" i="1" s="1"/>
  <c r="O18" i="1"/>
  <c r="P18" i="1" s="1"/>
  <c r="Q18" i="1" s="1"/>
  <c r="K12" i="1"/>
  <c r="K13" i="1"/>
  <c r="K14" i="1"/>
  <c r="K15" i="1"/>
  <c r="K16" i="1"/>
  <c r="K17" i="1"/>
  <c r="K18" i="1"/>
  <c r="K19" i="1"/>
  <c r="K20" i="1"/>
  <c r="K21" i="1"/>
  <c r="K22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11" i="1"/>
  <c r="O16" i="1" l="1"/>
  <c r="P16" i="1" s="1"/>
  <c r="Q16" i="1" s="1"/>
  <c r="P38" i="1"/>
  <c r="P37" i="1" s="1"/>
  <c r="O22" i="1"/>
  <c r="P22" i="1" s="1"/>
  <c r="Q22" i="1" s="1"/>
  <c r="L59" i="1"/>
  <c r="O59" i="1" s="1"/>
  <c r="P59" i="1" s="1"/>
  <c r="Q59" i="1" s="1"/>
  <c r="O60" i="1"/>
  <c r="P60" i="1" s="1"/>
  <c r="Q60" i="1" s="1"/>
  <c r="O10" i="1"/>
  <c r="P10" i="1" s="1"/>
  <c r="Q10" i="1" s="1"/>
  <c r="L9" i="1"/>
  <c r="O9" i="1" s="1"/>
  <c r="K23" i="1"/>
  <c r="Q38" i="1" l="1"/>
  <c r="Q37" i="1" s="1"/>
  <c r="P9" i="1"/>
  <c r="Q9" i="1"/>
  <c r="U210" i="3"/>
  <c r="U211" i="3" s="1"/>
  <c r="O210" i="3"/>
  <c r="O211" i="3" s="1"/>
  <c r="N211" i="3" l="1"/>
  <c r="N210" i="3"/>
  <c r="V210" i="3"/>
  <c r="V211" i="3" s="1"/>
  <c r="O231" i="3"/>
  <c r="O240" i="3" s="1"/>
  <c r="J230" i="3"/>
  <c r="U230" i="3" s="1"/>
  <c r="U231" i="3" s="1"/>
  <c r="U240" i="3" s="1"/>
  <c r="N230" i="3" l="1"/>
  <c r="V230" i="3"/>
  <c r="V231" i="3" s="1"/>
  <c r="V240" i="3" s="1"/>
  <c r="N231" i="3" l="1"/>
  <c r="N240" i="3" s="1"/>
  <c r="J12" i="5"/>
  <c r="K12" i="5" s="1"/>
  <c r="J15" i="5" l="1"/>
  <c r="N16" i="5" s="1"/>
  <c r="L12" i="5"/>
  <c r="L15" i="5" s="1"/>
  <c r="L21" i="5" s="1"/>
  <c r="L25" i="5" s="1"/>
  <c r="K15" i="5"/>
  <c r="K21" i="5" s="1"/>
  <c r="K25" i="5" s="1"/>
  <c r="M15" i="5" l="1"/>
  <c r="J21" i="5"/>
  <c r="O15" i="5"/>
  <c r="P15" i="5" s="1"/>
  <c r="I15" i="5"/>
  <c r="J25" i="5" l="1"/>
  <c r="N21" i="5"/>
  <c r="O21" i="5" s="1"/>
</calcChain>
</file>

<file path=xl/comments1.xml><?xml version="1.0" encoding="utf-8"?>
<comments xmlns="http://schemas.openxmlformats.org/spreadsheetml/2006/main">
  <authors>
    <author>Бецку</author>
  </authors>
  <commentList>
    <comment ref="N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2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-0,35</t>
        </r>
      </text>
    </comment>
    <comment ref="N3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3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5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5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5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5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7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8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8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94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94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0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0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22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22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3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3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4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4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<sst xmlns="http://schemas.openxmlformats.org/spreadsheetml/2006/main" count="3568" uniqueCount="287">
  <si>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</si>
  <si>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</si>
  <si>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</si>
  <si>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</si>
  <si>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</si>
  <si>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</si>
  <si>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</si>
  <si>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</si>
  <si>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</si>
  <si>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</si>
  <si>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</si>
  <si>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</si>
  <si>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</si>
  <si>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</si>
  <si>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</si>
  <si>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</si>
  <si>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</si>
  <si>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</si>
  <si>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</si>
  <si>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</si>
  <si>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</si>
  <si>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</si>
  <si>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</si>
  <si>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</si>
  <si>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</si>
  <si>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</si>
  <si>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</si>
  <si>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</si>
  <si>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</si>
  <si>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</si>
  <si>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</si>
  <si>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</si>
  <si>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</si>
  <si>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</si>
  <si>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</si>
  <si>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</si>
  <si>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</si>
  <si>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</si>
  <si>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</si>
  <si>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</si>
  <si>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</si>
  <si>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</si>
  <si>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</si>
  <si>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</si>
  <si>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</si>
  <si>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</si>
  <si>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</si>
  <si>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</si>
  <si>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</si>
  <si>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</si>
  <si>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</si>
  <si>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</si>
  <si>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</si>
  <si>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</si>
  <si>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</si>
  <si>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</si>
  <si>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</si>
  <si>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</si>
  <si>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</si>
  <si>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</si>
  <si>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</si>
  <si>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</si>
  <si>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</si>
  <si>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</si>
  <si>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</si>
  <si>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</si>
  <si>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</si>
  <si>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</si>
  <si>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</si>
  <si>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</si>
  <si>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</si>
  <si>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</si>
  <si>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</si>
  <si>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</si>
  <si>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</si>
  <si>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</si>
  <si>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</si>
  <si>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</si>
  <si>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</si>
  <si>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</si>
  <si>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</si>
  <si>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</si>
  <si>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</si>
  <si>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</si>
  <si>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</si>
  <si>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</si>
  <si>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</si>
  <si>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</si>
  <si>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</si>
  <si>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</si>
  <si>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</si>
  <si>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</si>
  <si>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</si>
  <si>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</si>
  <si>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</si>
  <si>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</si>
  <si>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</si>
  <si>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</si>
  <si>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</si>
  <si>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</si>
  <si>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</si>
  <si>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</si>
  <si>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</si>
  <si>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</si>
  <si>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</si>
  <si>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</si>
  <si>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</si>
  <si>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</si>
  <si>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</si>
  <si>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</si>
  <si>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</si>
  <si>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</si>
  <si>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</si>
  <si>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</si>
  <si>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</si>
  <si>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</si>
  <si>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</si>
  <si>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</si>
  <si>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</si>
  <si>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</si>
  <si>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</si>
  <si>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</si>
  <si>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</si>
  <si>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</si>
  <si>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</si>
  <si>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</si>
  <si>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</si>
  <si>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</si>
  <si>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</si>
  <si>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</si>
  <si>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</si>
  <si>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</si>
  <si>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</si>
  <si>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</si>
  <si>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</si>
  <si>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</si>
  <si>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</si>
  <si>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</si>
  <si>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</si>
  <si>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</si>
  <si>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</si>
  <si>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</si>
  <si>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</si>
  <si>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</si>
  <si>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</si>
  <si>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</si>
  <si>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</si>
  <si>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</si>
  <si>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</si>
  <si>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</si>
  <si>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</si>
  <si>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</si>
  <si>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</si>
  <si>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</si>
  <si>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</si>
  <si>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</si>
  <si>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</si>
  <si>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</si>
  <si>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</si>
  <si>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</si>
  <si>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</si>
  <si>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</si>
  <si>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</si>
  <si>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</si>
  <si>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</si>
  <si>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</si>
  <si>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</si>
  <si>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</si>
  <si>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</si>
  <si>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</si>
  <si>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</si>
  <si>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</si>
  <si>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</si>
  <si>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</si>
  <si>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</si>
  <si>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</si>
  <si>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</si>
  <si>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</si>
  <si>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</si>
  <si>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</si>
  <si>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</si>
  <si>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</si>
  <si>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</si>
  <si>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</si>
  <si>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</si>
  <si>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</si>
  <si>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</si>
  <si>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</si>
  <si>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</si>
  <si>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</si>
  <si>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</si>
  <si>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</si>
  <si>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</si>
  <si>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</si>
  <si>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</si>
  <si>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</si>
  <si>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</si>
  <si>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</si>
  <si>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</si>
  <si>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</si>
  <si>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</si>
  <si>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</si>
  <si>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</si>
  <si>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</si>
  <si>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</si>
  <si>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</si>
  <si>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</si>
  <si>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</si>
  <si>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</si>
  <si>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</si>
  <si>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</si>
  <si>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</si>
  <si>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</si>
  <si>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</si>
  <si>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</si>
  <si>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</si>
  <si>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</si>
  <si>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</si>
  <si>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</si>
  <si>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</si>
  <si>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</si>
  <si>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</si>
  <si>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</si>
  <si>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</si>
  <si>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</si>
  <si>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</si>
  <si>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</si>
  <si>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</si>
  <si>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</si>
  <si>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</si>
  <si>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ВСЕГО</t>
  </si>
  <si>
    <t>Итого по учреждению:</t>
  </si>
  <si>
    <t>ВСЕГО:</t>
  </si>
  <si>
    <t>4001,99*2,3654- на 1 человека</t>
  </si>
  <si>
    <t>ИТОГО</t>
  </si>
  <si>
    <t>Гайлит Светлана Геннадьевна (39144)3-79-43</t>
  </si>
  <si>
    <t xml:space="preserve"> договоров (штук)</t>
  </si>
  <si>
    <t>Повышение оплаты труда молодым специалистам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</si>
  <si>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</si>
  <si>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</si>
  <si>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</si>
  <si>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</si>
  <si>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</si>
  <si>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</si>
  <si>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</si>
  <si>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(социально-педагогическое направление) 804200О.99.0.ББ52АЖ24000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</si>
  <si>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</si>
  <si>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(туристическо-краеведческое направление) 804200О.99.0.ББ52А368000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</si>
  <si>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</si>
  <si>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</si>
  <si>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</si>
  <si>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</si>
  <si>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</si>
  <si>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</si>
  <si>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</si>
  <si>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</si>
  <si>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к Приказу от 26.12.2018 г. № 251</t>
  </si>
  <si>
    <t>12601,86- на 1 человека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</si>
  <si>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</si>
  <si>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</si>
  <si>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Кучмистова Марина Александровна (39144)3-79-43</t>
  </si>
  <si>
    <t>841148,96 на 1 класс+ 23463,21 на 1 человека</t>
  </si>
  <si>
    <t>993246,1- на 1 класс+ 23116,,46 на 1 человека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</si>
  <si>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</si>
  <si>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</si>
  <si>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</si>
  <si>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Учреждение</t>
  </si>
  <si>
    <t>Численность</t>
  </si>
  <si>
    <t xml:space="preserve"> Норматив</t>
  </si>
  <si>
    <t>Сумма местный бюджет</t>
  </si>
  <si>
    <t>Норматив по эффективному учреждению СОШ 5</t>
  </si>
  <si>
    <t>Отклонение (- уменьшение; +увеличение)</t>
  </si>
  <si>
    <t>шк 2</t>
  </si>
  <si>
    <t>шк 4</t>
  </si>
  <si>
    <t>шк 5</t>
  </si>
  <si>
    <t>шк 7</t>
  </si>
  <si>
    <t>шк 9</t>
  </si>
  <si>
    <t>гим 10</t>
  </si>
  <si>
    <t>снять с сш 4</t>
  </si>
  <si>
    <t>доступно для снятия -137809</t>
  </si>
  <si>
    <t>повышение 4,3%</t>
  </si>
  <si>
    <t>АУП 4,3%</t>
  </si>
  <si>
    <t>11423,78835- на 1 человека</t>
  </si>
  <si>
    <t>668575,57- на 1 класс+22820,48 на 1 человека</t>
  </si>
  <si>
    <t>628912,16- на 1 класс+22820,48 на 1 человека</t>
  </si>
  <si>
    <t>к Приказу от 11.11.2019 г. № 228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</si>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</sst>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000"/>
    <numFmt numFmtId="166" formatCode="#,##0.000000000"/>
  </numFmts>
  <fonts count="22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indexed="8"/>
      <name val="Times New Roman"/>
      <family val="1"/>
      <charset val="204"/>
    </font>
    <font>
      <sz val="14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303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2" fillId="6" borderId="4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vertical="top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right"/>
    </xf>
    <xf numFmtId="0" fontId="2" fillId="0" borderId="4" xfId="0" applyFont="1" applyFill="1" applyBorder="1"/>
    <xf numFmtId="4" fontId="2" fillId="0" borderId="4" xfId="0" applyNumberFormat="1" applyFont="1" applyFill="1" applyBorder="1"/>
    <xf numFmtId="0" fontId="2" fillId="0" borderId="4" xfId="0" applyFont="1" applyFill="1" applyBorder="1" applyAlignment="1">
      <alignment horizontal="left" vertical="center"/>
    </xf>
    <xf numFmtId="4" fontId="17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/>
    <xf numFmtId="4" fontId="1" fillId="0" borderId="3" xfId="0" applyNumberFormat="1" applyFont="1" applyFill="1" applyBorder="1"/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7" fillId="0" borderId="4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/>
    <xf numFmtId="4" fontId="8" fillId="0" borderId="4" xfId="0" applyNumberFormat="1" applyFont="1" applyFill="1" applyBorder="1" applyAlignment="1">
      <alignment horizontal="right"/>
    </xf>
    <xf numFmtId="4" fontId="20" fillId="0" borderId="4" xfId="0" applyNumberFormat="1" applyFont="1" applyFill="1" applyBorder="1" applyAlignment="1">
      <alignment horizontal="right"/>
    </xf>
    <xf numFmtId="4" fontId="2" fillId="0" borderId="0" xfId="0" applyNumberFormat="1" applyFont="1" applyFill="1"/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2" fontId="1" fillId="0" borderId="0" xfId="0" applyNumberFormat="1" applyFont="1" applyFill="1"/>
    <xf numFmtId="3" fontId="1" fillId="0" borderId="0" xfId="0" applyNumberFormat="1" applyFont="1" applyFill="1"/>
    <xf numFmtId="4" fontId="7" fillId="3" borderId="4" xfId="0" applyNumberFormat="1" applyFont="1" applyFill="1" applyBorder="1" applyAlignment="1">
      <alignment horizontal="right"/>
    </xf>
    <xf numFmtId="4" fontId="8" fillId="3" borderId="4" xfId="0" applyNumberFormat="1" applyFont="1" applyFill="1" applyBorder="1" applyAlignment="1">
      <alignment horizontal="center" wrapText="1"/>
    </xf>
    <xf numFmtId="4" fontId="4" fillId="3" borderId="4" xfId="0" applyNumberFormat="1" applyFont="1" applyFill="1" applyBorder="1" applyAlignment="1">
      <alignment horizontal="right" wrapText="1"/>
    </xf>
    <xf numFmtId="0" fontId="1" fillId="3" borderId="0" xfId="0" applyFont="1" applyFill="1"/>
    <xf numFmtId="4" fontId="4" fillId="3" borderId="4" xfId="0" applyNumberFormat="1" applyFont="1" applyFill="1" applyBorder="1" applyAlignment="1">
      <alignment horizontal="center" wrapText="1"/>
    </xf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4" fontId="16" fillId="3" borderId="4" xfId="0" applyNumberFormat="1" applyFont="1" applyFill="1" applyBorder="1" applyAlignment="1">
      <alignment horizontal="left"/>
    </xf>
    <xf numFmtId="0" fontId="1" fillId="3" borderId="3" xfId="0" applyFont="1" applyFill="1" applyBorder="1" applyAlignment="1">
      <alignment vertical="top"/>
    </xf>
    <xf numFmtId="4" fontId="9" fillId="3" borderId="4" xfId="0" applyNumberFormat="1" applyFont="1" applyFill="1" applyBorder="1" applyAlignment="1">
      <alignment horizontal="right" wrapText="1"/>
    </xf>
    <xf numFmtId="4" fontId="1" fillId="3" borderId="0" xfId="0" applyNumberFormat="1" applyFont="1" applyFill="1"/>
    <xf numFmtId="4" fontId="7" fillId="5" borderId="4" xfId="0" applyNumberFormat="1" applyFont="1" applyFill="1" applyBorder="1" applyAlignment="1"/>
    <xf numFmtId="4" fontId="1" fillId="5" borderId="4" xfId="0" applyNumberFormat="1" applyFont="1" applyFill="1" applyBorder="1" applyAlignment="1">
      <alignment horizontal="center"/>
    </xf>
    <xf numFmtId="4" fontId="4" fillId="5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horizontal="center" wrapText="1"/>
    </xf>
    <xf numFmtId="2" fontId="21" fillId="0" borderId="4" xfId="0" applyNumberFormat="1" applyFont="1" applyBorder="1" applyAlignment="1">
      <alignment horizontal="center" wrapText="1"/>
    </xf>
    <xf numFmtId="0" fontId="0" fillId="0" borderId="3" xfId="0" applyBorder="1"/>
    <xf numFmtId="4" fontId="21" fillId="0" borderId="4" xfId="0" applyNumberFormat="1" applyFont="1" applyBorder="1" applyAlignment="1">
      <alignment horizontal="center"/>
    </xf>
    <xf numFmtId="4" fontId="21" fillId="0" borderId="4" xfId="0" applyNumberFormat="1" applyFont="1" applyBorder="1" applyAlignment="1">
      <alignment horizontal="center" wrapText="1"/>
    </xf>
    <xf numFmtId="4" fontId="21" fillId="0" borderId="4" xfId="0" applyNumberFormat="1" applyFont="1" applyFill="1" applyBorder="1" applyAlignment="1">
      <alignment horizontal="center" wrapText="1"/>
    </xf>
    <xf numFmtId="4" fontId="0" fillId="0" borderId="3" xfId="0" applyNumberFormat="1" applyBorder="1"/>
    <xf numFmtId="0" fontId="21" fillId="0" borderId="4" xfId="0" applyFont="1" applyBorder="1"/>
    <xf numFmtId="0" fontId="21" fillId="0" borderId="3" xfId="0" applyFont="1" applyBorder="1"/>
    <xf numFmtId="4" fontId="21" fillId="0" borderId="3" xfId="0" applyNumberFormat="1" applyFont="1" applyBorder="1"/>
    <xf numFmtId="4" fontId="21" fillId="0" borderId="3" xfId="0" applyNumberFormat="1" applyFont="1" applyBorder="1" applyAlignment="1">
      <alignment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166" fontId="1" fillId="0" borderId="0" xfId="0" applyNumberFormat="1" applyFont="1" applyFill="1"/>
    <xf numFmtId="0" fontId="1" fillId="5" borderId="0" xfId="0" applyFont="1" applyFill="1"/>
    <xf numFmtId="4" fontId="11" fillId="6" borderId="4" xfId="0" applyNumberFormat="1" applyFont="1" applyFill="1" applyBorder="1" applyAlignment="1"/>
    <xf numFmtId="4" fontId="2" fillId="6" borderId="4" xfId="0" applyNumberFormat="1" applyFont="1" applyFill="1" applyBorder="1"/>
    <xf numFmtId="4" fontId="2" fillId="6" borderId="4" xfId="0" applyNumberFormat="1" applyFont="1" applyFill="1" applyBorder="1" applyAlignment="1"/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0" fillId="0" borderId="9" xfId="0" applyFill="1" applyBorder="1"/>
    <xf numFmtId="0" fontId="0" fillId="0" borderId="10" xfId="0" applyFill="1" applyBorder="1"/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2.75" x14ac:dyDescent="0.2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3.28515625" customWidth="1"/>
    <col min="15" max="15" width="14.28515625" customWidth="1"/>
    <col min="16" max="16" width="13.140625" customWidth="1"/>
    <col min="17" max="17" width="14.85546875" bestFit="1" customWidth="1"/>
    <col min="19" max="19" width="13.5703125" bestFit="1" customWidth="1"/>
  </cols>
  <sheetData>
    <row r="1" spans="1:19" ht="15" x14ac:dyDescent="0.2">
      <c r="A1" s="1"/>
      <c r="O1" s="3" t="s">
        <v>2</v>
      </c>
    </row>
    <row r="2" spans="1:19" ht="15" x14ac:dyDescent="0.2">
      <c r="O2" s="3" t="s">
        <v>153</v>
      </c>
    </row>
    <row r="3" spans="1:19" ht="18.75" x14ac:dyDescent="0.2">
      <c r="A3" s="266" t="s">
        <v>1</v>
      </c>
      <c r="B3" s="266"/>
      <c r="C3" s="267"/>
      <c r="D3" s="266"/>
      <c r="E3" s="266"/>
      <c r="F3" s="266"/>
      <c r="G3" s="266"/>
      <c r="H3" s="266"/>
      <c r="I3" s="267"/>
      <c r="J3" s="266"/>
      <c r="K3" s="266"/>
      <c r="L3" s="266"/>
      <c r="M3" s="266"/>
      <c r="N3" s="267"/>
      <c r="O3" s="266"/>
      <c r="P3" s="266"/>
      <c r="Q3" s="266"/>
    </row>
    <row r="4" spans="1:19" ht="36.75" customHeight="1" x14ac:dyDescent="0.3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.75" hidden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 x14ac:dyDescent="0.2">
      <c r="A6" s="38" t="s">
        <v>3</v>
      </c>
      <c r="B6" s="38" t="s">
        <v>81</v>
      </c>
      <c r="C6" s="38" t="s">
        <v>152</v>
      </c>
      <c r="D6" s="38" t="s">
        <v>4</v>
      </c>
      <c r="E6" s="260" t="s">
        <v>5</v>
      </c>
      <c r="F6" s="260"/>
      <c r="G6" s="260"/>
      <c r="H6" s="261" t="s">
        <v>6</v>
      </c>
      <c r="I6" s="261"/>
      <c r="J6" s="261"/>
      <c r="K6" s="261"/>
      <c r="L6" s="261" t="s">
        <v>7</v>
      </c>
      <c r="M6" s="261"/>
      <c r="N6" s="261"/>
      <c r="O6" s="261"/>
      <c r="P6" s="261"/>
      <c r="Q6" s="261"/>
    </row>
    <row r="7" spans="1:19" ht="60" x14ac:dyDescent="0.25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265" t="s">
        <v>8</v>
      </c>
      <c r="M7" s="265"/>
      <c r="N7" s="265"/>
      <c r="O7" s="265"/>
      <c r="P7" s="40" t="s">
        <v>9</v>
      </c>
      <c r="Q7" s="40" t="s">
        <v>10</v>
      </c>
    </row>
    <row r="8" spans="1:19" ht="43.5" customHeight="1" x14ac:dyDescent="0.25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5" x14ac:dyDescent="0.25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5.5" x14ac:dyDescent="0.25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105" x14ac:dyDescent="0.25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5" x14ac:dyDescent="0.25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75" hidden="1" x14ac:dyDescent="0.25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5" hidden="1" x14ac:dyDescent="0.25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5" x14ac:dyDescent="0.25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5" x14ac:dyDescent="0.25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5.5" x14ac:dyDescent="0.25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105" x14ac:dyDescent="0.25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5" hidden="1" x14ac:dyDescent="0.25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75" hidden="1" x14ac:dyDescent="0.25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5" x14ac:dyDescent="0.25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5" x14ac:dyDescent="0.25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5.5" x14ac:dyDescent="0.25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105" x14ac:dyDescent="0.25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5" x14ac:dyDescent="0.25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105" x14ac:dyDescent="0.25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5" hidden="1" x14ac:dyDescent="0.25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75" hidden="1" x14ac:dyDescent="0.25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5" x14ac:dyDescent="0.25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5" x14ac:dyDescent="0.25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5.5" x14ac:dyDescent="0.25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105" x14ac:dyDescent="0.25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5" x14ac:dyDescent="0.25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5" hidden="1" x14ac:dyDescent="0.25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60" hidden="1" x14ac:dyDescent="0.25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5" x14ac:dyDescent="0.25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5" x14ac:dyDescent="0.25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5.5" x14ac:dyDescent="0.25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105" x14ac:dyDescent="0.25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5" x14ac:dyDescent="0.25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105" x14ac:dyDescent="0.25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5" hidden="1" x14ac:dyDescent="0.25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75" hidden="1" x14ac:dyDescent="0.25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5" x14ac:dyDescent="0.25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5" x14ac:dyDescent="0.25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5.5" x14ac:dyDescent="0.25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105" x14ac:dyDescent="0.25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5" x14ac:dyDescent="0.25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5" hidden="1" x14ac:dyDescent="0.25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60" hidden="1" x14ac:dyDescent="0.25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5" x14ac:dyDescent="0.25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5" x14ac:dyDescent="0.25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5.5" x14ac:dyDescent="0.25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105" x14ac:dyDescent="0.25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5" x14ac:dyDescent="0.25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5" hidden="1" x14ac:dyDescent="0.25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75" hidden="1" x14ac:dyDescent="0.25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5" x14ac:dyDescent="0.25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5" x14ac:dyDescent="0.25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5.5" x14ac:dyDescent="0.25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105" x14ac:dyDescent="0.25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5" x14ac:dyDescent="0.25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75" x14ac:dyDescent="0.25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5" hidden="1" x14ac:dyDescent="0.25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75" hidden="1" x14ac:dyDescent="0.25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5" x14ac:dyDescent="0.25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5" x14ac:dyDescent="0.25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5.5" x14ac:dyDescent="0.25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105" x14ac:dyDescent="0.25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5" x14ac:dyDescent="0.25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75" x14ac:dyDescent="0.25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5" hidden="1" x14ac:dyDescent="0.25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75" hidden="1" x14ac:dyDescent="0.25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5" x14ac:dyDescent="0.25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5" x14ac:dyDescent="0.25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5.5" x14ac:dyDescent="0.25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105" x14ac:dyDescent="0.25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5" x14ac:dyDescent="0.25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5" hidden="1" x14ac:dyDescent="0.25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75" hidden="1" x14ac:dyDescent="0.25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5" x14ac:dyDescent="0.25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5" x14ac:dyDescent="0.25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5.5" x14ac:dyDescent="0.25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105" x14ac:dyDescent="0.25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5" x14ac:dyDescent="0.25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5" hidden="1" x14ac:dyDescent="0.25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75" hidden="1" x14ac:dyDescent="0.25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5" x14ac:dyDescent="0.25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5" x14ac:dyDescent="0.25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5.5" x14ac:dyDescent="0.25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105" x14ac:dyDescent="0.25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5" x14ac:dyDescent="0.25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5" hidden="1" x14ac:dyDescent="0.25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75" hidden="1" x14ac:dyDescent="0.25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5" x14ac:dyDescent="0.25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 x14ac:dyDescent="0.3">
      <c r="A96" s="269" t="s">
        <v>154</v>
      </c>
      <c r="B96" s="269"/>
      <c r="C96" s="269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30" x14ac:dyDescent="0.2">
      <c r="A97" s="268" t="s">
        <v>3</v>
      </c>
      <c r="B97" s="268" t="s">
        <v>86</v>
      </c>
      <c r="C97" s="7" t="s">
        <v>87</v>
      </c>
      <c r="D97" s="268" t="s">
        <v>4</v>
      </c>
      <c r="E97" s="268" t="s">
        <v>5</v>
      </c>
      <c r="F97" s="268"/>
      <c r="G97" s="268"/>
      <c r="H97" s="268" t="s">
        <v>6</v>
      </c>
      <c r="I97" s="268"/>
      <c r="J97" s="268"/>
      <c r="K97" s="268"/>
      <c r="L97" s="268" t="s">
        <v>7</v>
      </c>
      <c r="M97" s="268"/>
      <c r="N97" s="268"/>
      <c r="O97" s="268"/>
      <c r="P97" s="268"/>
      <c r="Q97" s="268"/>
    </row>
    <row r="98" spans="1:17" ht="120" x14ac:dyDescent="0.2">
      <c r="A98" s="268"/>
      <c r="B98" s="268"/>
      <c r="C98" s="7"/>
      <c r="D98" s="268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60" x14ac:dyDescent="0.2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90" x14ac:dyDescent="0.25">
      <c r="A100" s="264" t="s">
        <v>98</v>
      </c>
      <c r="B100" s="262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120" x14ac:dyDescent="0.2">
      <c r="A101" s="264"/>
      <c r="B101" s="262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20" x14ac:dyDescent="0.25">
      <c r="A102" s="264"/>
      <c r="B102" s="262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5" x14ac:dyDescent="0.2">
      <c r="A103" s="264"/>
      <c r="B103" s="262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90" x14ac:dyDescent="0.25">
      <c r="A104" s="264"/>
      <c r="B104" s="262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120" x14ac:dyDescent="0.25">
      <c r="A105" s="264"/>
      <c r="B105" s="262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20" x14ac:dyDescent="0.25">
      <c r="A106" s="264"/>
      <c r="B106" s="262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5" x14ac:dyDescent="0.25">
      <c r="A107" s="264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90" x14ac:dyDescent="0.25">
      <c r="A108" s="264"/>
      <c r="B108" s="262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120" x14ac:dyDescent="0.25">
      <c r="A109" s="264"/>
      <c r="B109" s="262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20" x14ac:dyDescent="0.25">
      <c r="A110" s="264"/>
      <c r="B110" s="262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5" x14ac:dyDescent="0.25">
      <c r="A111" s="264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 x14ac:dyDescent="0.25">
      <c r="A112" s="264"/>
      <c r="B112" s="263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 x14ac:dyDescent="0.25">
      <c r="A113" s="264"/>
      <c r="B113" s="263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5" x14ac:dyDescent="0.25">
      <c r="A114" s="264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4.25" x14ac:dyDescent="0.2">
      <c r="A115" s="264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90" x14ac:dyDescent="0.25">
      <c r="A116" s="264" t="s">
        <v>113</v>
      </c>
      <c r="B116" s="262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 x14ac:dyDescent="0.2">
      <c r="A117" s="264"/>
      <c r="B117" s="262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20" x14ac:dyDescent="0.25">
      <c r="A118" s="264"/>
      <c r="B118" s="262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5" x14ac:dyDescent="0.2">
      <c r="A119" s="264"/>
      <c r="B119" s="262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90" x14ac:dyDescent="0.25">
      <c r="A120" s="264"/>
      <c r="B120" s="262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 x14ac:dyDescent="0.25">
      <c r="A121" s="264"/>
      <c r="B121" s="262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20" x14ac:dyDescent="0.25">
      <c r="A122" s="264"/>
      <c r="B122" s="262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5" x14ac:dyDescent="0.25">
      <c r="A123" s="264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90" x14ac:dyDescent="0.25">
      <c r="A124" s="264"/>
      <c r="B124" s="262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 x14ac:dyDescent="0.25">
      <c r="A125" s="264"/>
      <c r="B125" s="262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20" x14ac:dyDescent="0.25">
      <c r="A126" s="264"/>
      <c r="B126" s="262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5" x14ac:dyDescent="0.25">
      <c r="A127" s="264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 x14ac:dyDescent="0.25">
      <c r="A128" s="264"/>
      <c r="B128" s="263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 x14ac:dyDescent="0.25">
      <c r="A129" s="264"/>
      <c r="B129" s="263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5" x14ac:dyDescent="0.25">
      <c r="A130" s="264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4.25" x14ac:dyDescent="0.2">
      <c r="A131" s="264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90" x14ac:dyDescent="0.25">
      <c r="A132" s="264" t="s">
        <v>114</v>
      </c>
      <c r="B132" s="262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120" x14ac:dyDescent="0.2">
      <c r="A133" s="264"/>
      <c r="B133" s="262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20" x14ac:dyDescent="0.25">
      <c r="A134" s="264"/>
      <c r="B134" s="262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5" x14ac:dyDescent="0.2">
      <c r="A135" s="264"/>
      <c r="B135" s="262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90" x14ac:dyDescent="0.25">
      <c r="A136" s="264"/>
      <c r="B136" s="262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 x14ac:dyDescent="0.25">
      <c r="A137" s="264"/>
      <c r="B137" s="262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20" x14ac:dyDescent="0.25">
      <c r="A138" s="264"/>
      <c r="B138" s="262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5" x14ac:dyDescent="0.25">
      <c r="A139" s="264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90" x14ac:dyDescent="0.25">
      <c r="A140" s="264"/>
      <c r="B140" s="262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120" x14ac:dyDescent="0.25">
      <c r="A141" s="264"/>
      <c r="B141" s="262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20" x14ac:dyDescent="0.25">
      <c r="A142" s="264"/>
      <c r="B142" s="262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5" x14ac:dyDescent="0.25">
      <c r="A143" s="264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 x14ac:dyDescent="0.25">
      <c r="A144" s="264"/>
      <c r="B144" s="263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 x14ac:dyDescent="0.25">
      <c r="A145" s="264"/>
      <c r="B145" s="263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5" x14ac:dyDescent="0.25">
      <c r="A146" s="264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4.25" x14ac:dyDescent="0.2">
      <c r="A147" s="264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90" x14ac:dyDescent="0.25">
      <c r="A148" s="264" t="s">
        <v>115</v>
      </c>
      <c r="B148" s="262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 x14ac:dyDescent="0.2">
      <c r="A149" s="264"/>
      <c r="B149" s="262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20" x14ac:dyDescent="0.25">
      <c r="A150" s="264"/>
      <c r="B150" s="262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5" x14ac:dyDescent="0.2">
      <c r="A151" s="264"/>
      <c r="B151" s="262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90" x14ac:dyDescent="0.25">
      <c r="A152" s="264"/>
      <c r="B152" s="262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 x14ac:dyDescent="0.25">
      <c r="A153" s="264"/>
      <c r="B153" s="262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20" x14ac:dyDescent="0.25">
      <c r="A154" s="264"/>
      <c r="B154" s="262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5" x14ac:dyDescent="0.25">
      <c r="A155" s="264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90" x14ac:dyDescent="0.25">
      <c r="A156" s="264"/>
      <c r="B156" s="262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120" x14ac:dyDescent="0.25">
      <c r="A157" s="264"/>
      <c r="B157" s="262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20" x14ac:dyDescent="0.25">
      <c r="A158" s="264"/>
      <c r="B158" s="262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5" x14ac:dyDescent="0.25">
      <c r="A159" s="264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 x14ac:dyDescent="0.25">
      <c r="A160" s="264"/>
      <c r="B160" s="263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 x14ac:dyDescent="0.25">
      <c r="A161" s="264"/>
      <c r="B161" s="263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5" x14ac:dyDescent="0.25">
      <c r="A162" s="264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4.25" x14ac:dyDescent="0.2">
      <c r="A163" s="264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90" x14ac:dyDescent="0.25">
      <c r="A164" s="264" t="s">
        <v>116</v>
      </c>
      <c r="B164" s="262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 x14ac:dyDescent="0.2">
      <c r="A165" s="264"/>
      <c r="B165" s="262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20" x14ac:dyDescent="0.25">
      <c r="A166" s="264"/>
      <c r="B166" s="262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105" x14ac:dyDescent="0.25">
      <c r="A167" s="264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5" x14ac:dyDescent="0.2">
      <c r="A168" s="264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90" x14ac:dyDescent="0.25">
      <c r="A169" s="264"/>
      <c r="B169" s="262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 x14ac:dyDescent="0.25">
      <c r="A170" s="264"/>
      <c r="B170" s="262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 x14ac:dyDescent="0.25">
      <c r="A171" s="264"/>
      <c r="B171" s="262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20" x14ac:dyDescent="0.25">
      <c r="A172" s="264"/>
      <c r="B172" s="262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105" x14ac:dyDescent="0.25">
      <c r="A173" s="264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5" x14ac:dyDescent="0.25">
      <c r="A174" s="264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90" x14ac:dyDescent="0.25">
      <c r="A175" s="264"/>
      <c r="B175" s="262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 x14ac:dyDescent="0.25">
      <c r="A176" s="264"/>
      <c r="B176" s="262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20" x14ac:dyDescent="0.25">
      <c r="A177" s="264"/>
      <c r="B177" s="262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5" x14ac:dyDescent="0.25">
      <c r="A178" s="264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 x14ac:dyDescent="0.25">
      <c r="A179" s="264"/>
      <c r="B179" s="263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 x14ac:dyDescent="0.25">
      <c r="A180" s="264"/>
      <c r="B180" s="263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5" x14ac:dyDescent="0.25">
      <c r="A181" s="264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4.25" x14ac:dyDescent="0.2">
      <c r="A182" s="264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 x14ac:dyDescent="0.25">
      <c r="A183" s="264" t="s">
        <v>119</v>
      </c>
      <c r="B183" s="262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40" x14ac:dyDescent="0.25">
      <c r="A184" s="264"/>
      <c r="B184" s="262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120" x14ac:dyDescent="0.2">
      <c r="A185" s="264"/>
      <c r="B185" s="262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5" x14ac:dyDescent="0.2">
      <c r="A186" s="264"/>
      <c r="B186" s="262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 x14ac:dyDescent="0.25">
      <c r="A187" s="264"/>
      <c r="B187" s="262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 x14ac:dyDescent="0.25">
      <c r="A188" s="264"/>
      <c r="B188" s="262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 x14ac:dyDescent="0.25">
      <c r="A189" s="264"/>
      <c r="B189" s="262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20" x14ac:dyDescent="0.25">
      <c r="A190" s="264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5" x14ac:dyDescent="0.25">
      <c r="A191" s="264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 x14ac:dyDescent="0.25">
      <c r="A192" s="264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5" x14ac:dyDescent="0.25">
      <c r="A193" s="264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 x14ac:dyDescent="0.25">
      <c r="A194" s="264"/>
      <c r="B194" s="263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 x14ac:dyDescent="0.25">
      <c r="A195" s="264"/>
      <c r="B195" s="263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5" x14ac:dyDescent="0.25">
      <c r="A196" s="264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4.25" x14ac:dyDescent="0.2">
      <c r="A197" s="264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 x14ac:dyDescent="0.25">
      <c r="A198" s="55" t="s">
        <v>156</v>
      </c>
    </row>
    <row r="199" spans="1:17" ht="30" x14ac:dyDescent="0.2">
      <c r="A199" s="43" t="s">
        <v>3</v>
      </c>
      <c r="B199" s="43" t="s">
        <v>81</v>
      </c>
      <c r="C199" s="43" t="s">
        <v>4</v>
      </c>
      <c r="D199" s="258" t="s">
        <v>5</v>
      </c>
      <c r="E199" s="258"/>
      <c r="F199" s="258"/>
      <c r="G199" s="259" t="s">
        <v>6</v>
      </c>
      <c r="H199" s="259" t="s">
        <v>7</v>
      </c>
      <c r="I199" s="259"/>
      <c r="J199" s="259"/>
    </row>
    <row r="200" spans="1:17" ht="15" x14ac:dyDescent="0.2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259"/>
      <c r="H200" s="50">
        <v>2016</v>
      </c>
      <c r="I200" s="50" t="s">
        <v>9</v>
      </c>
      <c r="J200" s="50" t="s">
        <v>10</v>
      </c>
    </row>
    <row r="201" spans="1:17" ht="75" x14ac:dyDescent="0.25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5" x14ac:dyDescent="0.25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 x14ac:dyDescent="0.25">
      <c r="A203" s="256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 x14ac:dyDescent="0.25">
      <c r="A204" s="257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 x14ac:dyDescent="0.25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 x14ac:dyDescent="0.2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1"/>
  <sheetViews>
    <sheetView zoomScale="80" zoomScaleNormal="80" workbookViewId="0">
      <selection activeCell="T50" sqref="T50"/>
    </sheetView>
  </sheetViews>
  <sheetFormatPr defaultColWidth="9.140625" defaultRowHeight="15" x14ac:dyDescent="0.25"/>
  <cols>
    <col min="1" max="1" width="19.42578125" style="80" customWidth="1"/>
    <col min="2" max="2" width="19.85546875" style="80" customWidth="1"/>
    <col min="3" max="3" width="23.710937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14" style="80" customWidth="1"/>
    <col min="8" max="9" width="12.7109375" style="80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80" customWidth="1"/>
    <col min="14" max="14" width="16.7109375" style="80" customWidth="1"/>
    <col min="15" max="16" width="15.42578125" style="80" customWidth="1"/>
    <col min="17" max="19" width="14.7109375" style="80" customWidth="1"/>
    <col min="20" max="20" width="14.28515625" style="80" customWidth="1"/>
    <col min="21" max="21" width="14.140625" style="80" customWidth="1"/>
    <col min="22" max="22" width="14.85546875" style="80" bestFit="1" customWidth="1"/>
    <col min="23" max="23" width="15.28515625" style="80" customWidth="1"/>
    <col min="24" max="24" width="13.5703125" style="80" bestFit="1" customWidth="1"/>
    <col min="25" max="25" width="9.42578125" style="80" bestFit="1" customWidth="1"/>
    <col min="26" max="16384" width="9.140625" style="80"/>
  </cols>
  <sheetData>
    <row r="1" spans="1:24" x14ac:dyDescent="0.25">
      <c r="T1" s="117" t="s">
        <v>203</v>
      </c>
    </row>
    <row r="2" spans="1:24" x14ac:dyDescent="0.25">
      <c r="T2" s="117" t="s">
        <v>204</v>
      </c>
    </row>
    <row r="3" spans="1:24" x14ac:dyDescent="0.25">
      <c r="T3" s="117" t="s">
        <v>175</v>
      </c>
    </row>
    <row r="4" spans="1:24" x14ac:dyDescent="0.25">
      <c r="T4" s="117" t="s">
        <v>189</v>
      </c>
    </row>
    <row r="5" spans="1:24" x14ac:dyDescent="0.25">
      <c r="A5" s="271" t="s">
        <v>207</v>
      </c>
      <c r="B5" s="271"/>
      <c r="C5" s="272"/>
      <c r="D5" s="271"/>
      <c r="E5" s="271"/>
      <c r="F5" s="272"/>
      <c r="G5" s="272"/>
      <c r="H5" s="271"/>
      <c r="I5" s="271"/>
      <c r="J5" s="271"/>
      <c r="K5" s="272"/>
      <c r="L5" s="271"/>
      <c r="M5" s="271"/>
      <c r="N5" s="271"/>
      <c r="O5" s="271"/>
      <c r="P5" s="272"/>
      <c r="Q5" s="272"/>
      <c r="R5" s="272"/>
      <c r="S5" s="272"/>
      <c r="T5" s="271"/>
      <c r="U5" s="271"/>
      <c r="V5" s="271"/>
    </row>
    <row r="6" spans="1:24" ht="36.75" customHeight="1" x14ac:dyDescent="0.25">
      <c r="A6" s="81" t="s">
        <v>155</v>
      </c>
    </row>
    <row r="8" spans="1:24" ht="49.15" customHeight="1" x14ac:dyDescent="0.25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273" t="s">
        <v>6</v>
      </c>
      <c r="K8" s="274"/>
      <c r="L8" s="274"/>
      <c r="M8" s="275"/>
      <c r="N8" s="276" t="s">
        <v>7</v>
      </c>
      <c r="O8" s="276"/>
      <c r="P8" s="276"/>
      <c r="Q8" s="276"/>
      <c r="R8" s="276"/>
      <c r="S8" s="276"/>
      <c r="T8" s="276"/>
      <c r="U8" s="276"/>
      <c r="V8" s="276"/>
    </row>
    <row r="9" spans="1:24" x14ac:dyDescent="0.25">
      <c r="A9" s="109"/>
      <c r="B9" s="109"/>
      <c r="C9" s="109"/>
      <c r="D9" s="109"/>
      <c r="E9" s="279"/>
      <c r="F9" s="280"/>
      <c r="G9" s="281"/>
      <c r="H9" s="108"/>
      <c r="I9" s="108"/>
      <c r="J9" s="142"/>
      <c r="K9" s="142"/>
      <c r="L9" s="142"/>
      <c r="M9" s="142"/>
      <c r="N9" s="273"/>
      <c r="O9" s="284"/>
      <c r="P9" s="284"/>
      <c r="Q9" s="284"/>
      <c r="R9" s="284"/>
      <c r="S9" s="284"/>
      <c r="T9" s="285"/>
      <c r="U9" s="109"/>
      <c r="V9" s="109"/>
    </row>
    <row r="10" spans="1:24" ht="60" x14ac:dyDescent="0.25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277" t="s">
        <v>176</v>
      </c>
      <c r="O10" s="277"/>
      <c r="P10" s="277"/>
      <c r="Q10" s="277"/>
      <c r="R10" s="277"/>
      <c r="S10" s="277"/>
      <c r="T10" s="277"/>
      <c r="U10" s="154" t="s">
        <v>183</v>
      </c>
      <c r="V10" s="154" t="s">
        <v>205</v>
      </c>
    </row>
    <row r="11" spans="1:24" ht="63" customHeight="1" x14ac:dyDescent="0.25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 x14ac:dyDescent="0.25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81">
        <f>Q13+Q18</f>
        <v>5010790.0999999996</v>
      </c>
      <c r="R12" s="181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5.5" x14ac:dyDescent="0.25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 t="shared" ref="T13:V13" si="0">T14+T15+T17+T16</f>
        <v>11853729.280000001</v>
      </c>
      <c r="U13" s="75">
        <f>U14+U15+U17+U16</f>
        <v>11853729.279999999</v>
      </c>
      <c r="V13" s="75">
        <f t="shared" si="0"/>
        <v>11853729.279999999</v>
      </c>
      <c r="X13" s="85"/>
    </row>
    <row r="14" spans="1:24" ht="105" x14ac:dyDescent="0.25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 x14ac:dyDescent="0.25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105" x14ac:dyDescent="0.25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20" x14ac:dyDescent="0.25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 t="shared" ref="T17:T95" si="1">SUM(N17:Q17)</f>
        <v>0</v>
      </c>
      <c r="U17" s="75">
        <f t="shared" ref="U17:U95" si="2">H17*M17</f>
        <v>0</v>
      </c>
      <c r="V17" s="75">
        <f t="shared" ref="V17:V95" si="3">I17*M17</f>
        <v>0</v>
      </c>
      <c r="X17" s="85"/>
    </row>
    <row r="18" spans="1:24" x14ac:dyDescent="0.25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 t="shared" ref="N18" si="4">E18*J18</f>
        <v>0</v>
      </c>
      <c r="O18" s="75">
        <f t="shared" ref="O18" si="5"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 x14ac:dyDescent="0.25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 x14ac:dyDescent="0.25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6">J20+K20+L20</f>
        <v>0</v>
      </c>
      <c r="N20" s="78">
        <f>N21+N23</f>
        <v>2274393.33</v>
      </c>
      <c r="O20" s="78">
        <f t="shared" ref="O20:V20" si="7">O21+O23</f>
        <v>412851.11999999994</v>
      </c>
      <c r="P20" s="78"/>
      <c r="Q20" s="181">
        <f>Q21+Q23</f>
        <v>1396449.7</v>
      </c>
      <c r="R20" s="181"/>
      <c r="S20" s="78">
        <f>S19</f>
        <v>1494370.6800000002</v>
      </c>
      <c r="T20" s="78">
        <f t="shared" si="7"/>
        <v>4083694.15</v>
      </c>
      <c r="U20" s="78">
        <f t="shared" si="7"/>
        <v>4083694.15</v>
      </c>
      <c r="V20" s="78">
        <f t="shared" si="7"/>
        <v>4083694.15</v>
      </c>
    </row>
    <row r="21" spans="1:24" ht="85.5" x14ac:dyDescent="0.25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6"/>
        <v>0</v>
      </c>
      <c r="N21" s="75">
        <f t="shared" ref="N21:V21" si="8">SUM(N22:N22)</f>
        <v>2274393.33</v>
      </c>
      <c r="O21" s="75">
        <f>SUM(O22:O22)</f>
        <v>412851.11999999994</v>
      </c>
      <c r="P21" s="75"/>
      <c r="Q21" s="75">
        <f t="shared" si="8"/>
        <v>1050443.26</v>
      </c>
      <c r="R21" s="75"/>
      <c r="S21" s="75"/>
      <c r="T21" s="75">
        <f t="shared" si="8"/>
        <v>3737687.71</v>
      </c>
      <c r="U21" s="75">
        <f>SUM(U22:U22)</f>
        <v>3737687.71</v>
      </c>
      <c r="V21" s="75">
        <f t="shared" si="8"/>
        <v>3737687.71</v>
      </c>
    </row>
    <row r="22" spans="1:24" ht="105" x14ac:dyDescent="0.25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 x14ac:dyDescent="0.25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6"/>
        <v>10176.66</v>
      </c>
      <c r="N23" s="46">
        <f t="shared" ref="N23" si="9">E23*J23</f>
        <v>0</v>
      </c>
      <c r="O23" s="46">
        <f t="shared" ref="O23:O31" si="10">E23*K23</f>
        <v>0</v>
      </c>
      <c r="P23" s="46"/>
      <c r="Q23" s="46">
        <f>G23*L23</f>
        <v>346006.44</v>
      </c>
      <c r="R23" s="46"/>
      <c r="S23" s="75"/>
      <c r="T23" s="75">
        <f t="shared" si="1"/>
        <v>346006.44</v>
      </c>
      <c r="U23" s="75">
        <f>H23*M23</f>
        <v>346006.44</v>
      </c>
      <c r="V23" s="75">
        <f t="shared" si="3"/>
        <v>346006.44</v>
      </c>
    </row>
    <row r="24" spans="1:24" x14ac:dyDescent="0.25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 x14ac:dyDescent="0.25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6"/>
        <v>0</v>
      </c>
      <c r="N25" s="78">
        <f>N26+N31</f>
        <v>8172644.0499999998</v>
      </c>
      <c r="O25" s="78">
        <f>O26+O31</f>
        <v>1335694.8</v>
      </c>
      <c r="P25" s="78"/>
      <c r="Q25" s="181">
        <f>Q26+Q31</f>
        <v>4517925.5</v>
      </c>
      <c r="R25" s="181"/>
      <c r="S25" s="78">
        <f>S24</f>
        <v>416463.96</v>
      </c>
      <c r="T25" s="78">
        <f t="shared" ref="T25:V25" si="11">T26+T31</f>
        <v>14026264.35</v>
      </c>
      <c r="U25" s="78">
        <f t="shared" si="11"/>
        <v>14026264.349999998</v>
      </c>
      <c r="V25" s="78">
        <f t="shared" si="11"/>
        <v>14026264.349999998</v>
      </c>
    </row>
    <row r="26" spans="1:24" ht="85.5" x14ac:dyDescent="0.25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6"/>
        <v>0</v>
      </c>
      <c r="N26" s="75">
        <f>SUM(N27:N30)</f>
        <v>8172644.0499999998</v>
      </c>
      <c r="O26" s="75">
        <f t="shared" ref="O26:V26" si="12">SUM(O27:O30)</f>
        <v>1335694.8</v>
      </c>
      <c r="P26" s="75"/>
      <c r="Q26" s="75">
        <f t="shared" si="12"/>
        <v>3398492.9</v>
      </c>
      <c r="R26" s="75"/>
      <c r="S26" s="75"/>
      <c r="T26" s="75">
        <f t="shared" si="12"/>
        <v>12906831.75</v>
      </c>
      <c r="U26" s="75">
        <f t="shared" si="12"/>
        <v>12906831.749999998</v>
      </c>
      <c r="V26" s="75">
        <f t="shared" si="12"/>
        <v>12906831.749999998</v>
      </c>
    </row>
    <row r="27" spans="1:24" ht="105" x14ac:dyDescent="0.25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 t="shared" ref="G27:G29" si="13"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6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 t="shared" si="1"/>
        <v>0</v>
      </c>
      <c r="U27" s="75">
        <f t="shared" si="2"/>
        <v>0</v>
      </c>
      <c r="V27" s="75">
        <f t="shared" si="3"/>
        <v>0</v>
      </c>
    </row>
    <row r="28" spans="1:24" x14ac:dyDescent="0.25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 t="shared" si="13"/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6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 t="shared" si="1"/>
        <v>0</v>
      </c>
      <c r="U28" s="75">
        <f t="shared" si="2"/>
        <v>0</v>
      </c>
      <c r="V28" s="75">
        <f t="shared" si="3"/>
        <v>0</v>
      </c>
    </row>
    <row r="29" spans="1:24" ht="105" x14ac:dyDescent="0.25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 t="shared" si="13"/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6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 t="shared" si="1"/>
        <v>5368817.8499999996</v>
      </c>
      <c r="U29" s="75">
        <f t="shared" si="2"/>
        <v>5368817.8499999987</v>
      </c>
      <c r="V29" s="75">
        <f t="shared" si="3"/>
        <v>5368817.8499999987</v>
      </c>
    </row>
    <row r="30" spans="1:24" ht="120" x14ac:dyDescent="0.25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6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 t="shared" si="1"/>
        <v>7538013.9000000004</v>
      </c>
      <c r="U30" s="75">
        <f t="shared" si="2"/>
        <v>7538013.8999999994</v>
      </c>
      <c r="V30" s="75">
        <f t="shared" si="3"/>
        <v>7538013.8999999994</v>
      </c>
    </row>
    <row r="31" spans="1:24" x14ac:dyDescent="0.25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6"/>
        <v>10176.66</v>
      </c>
      <c r="N31" s="75">
        <f t="shared" ref="N31:N61" si="14">E31*J31</f>
        <v>0</v>
      </c>
      <c r="O31" s="75">
        <f t="shared" si="10"/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 t="shared" si="3"/>
        <v>1119432.6000000001</v>
      </c>
    </row>
    <row r="32" spans="1:24" x14ac:dyDescent="0.25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 x14ac:dyDescent="0.25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6"/>
        <v>0</v>
      </c>
      <c r="N33" s="78">
        <f>N34+N38</f>
        <v>4610681.3000000007</v>
      </c>
      <c r="O33" s="78">
        <f t="shared" ref="O33:V33" si="15">O34+O38</f>
        <v>1299266.76</v>
      </c>
      <c r="P33" s="78"/>
      <c r="Q33" s="181">
        <f t="shared" si="15"/>
        <v>4394709.3499999996</v>
      </c>
      <c r="R33" s="181"/>
      <c r="S33" s="78">
        <f>S32</f>
        <v>1347383.4000000001</v>
      </c>
      <c r="T33" s="78">
        <f t="shared" si="15"/>
        <v>10304657.409999998</v>
      </c>
      <c r="U33" s="78">
        <f>U34+U38</f>
        <v>10304657.409999998</v>
      </c>
      <c r="V33" s="78">
        <f t="shared" si="15"/>
        <v>10304657.409999998</v>
      </c>
      <c r="W33" s="85">
        <f>T33-U33</f>
        <v>0</v>
      </c>
    </row>
    <row r="34" spans="1:23" ht="85.5" x14ac:dyDescent="0.25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6"/>
        <v>0</v>
      </c>
      <c r="N34" s="75">
        <f>SUM(N35:N37)</f>
        <v>4610681.3000000007</v>
      </c>
      <c r="O34" s="75">
        <f t="shared" ref="O34:V34" si="16">SUM(O35:O37)</f>
        <v>1299266.76</v>
      </c>
      <c r="P34" s="75"/>
      <c r="Q34" s="75">
        <f t="shared" si="16"/>
        <v>3305806.73</v>
      </c>
      <c r="R34" s="75"/>
      <c r="S34" s="75"/>
      <c r="T34" s="75">
        <f t="shared" si="16"/>
        <v>9215754.7899999991</v>
      </c>
      <c r="U34" s="75">
        <f t="shared" si="16"/>
        <v>9215754.7899999991</v>
      </c>
      <c r="V34" s="75">
        <f t="shared" si="16"/>
        <v>9215754.7899999991</v>
      </c>
    </row>
    <row r="35" spans="1:23" ht="105" x14ac:dyDescent="0.25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 t="shared" ref="G35:G37" si="17"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6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 t="shared" si="1"/>
        <v>2154402.75</v>
      </c>
      <c r="U35" s="75">
        <f t="shared" si="2"/>
        <v>2154402.75</v>
      </c>
      <c r="V35" s="75">
        <f t="shared" si="3"/>
        <v>2154402.75</v>
      </c>
    </row>
    <row r="36" spans="1:23" x14ac:dyDescent="0.25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 t="shared" si="17"/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6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 t="shared" si="1"/>
        <v>2780504.6399999997</v>
      </c>
      <c r="U36" s="75">
        <f t="shared" si="2"/>
        <v>2780504.6399999997</v>
      </c>
      <c r="V36" s="75">
        <f t="shared" si="3"/>
        <v>2780504.6399999997</v>
      </c>
    </row>
    <row r="37" spans="1:23" ht="120" x14ac:dyDescent="0.25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 t="shared" si="17"/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6"/>
        <v>93061.9</v>
      </c>
      <c r="N37" s="75">
        <f t="shared" ref="N37:N38" si="18">G37*J37</f>
        <v>2301096.1800000002</v>
      </c>
      <c r="O37" s="75">
        <f t="shared" ref="O37:O38" si="19">G37*K37</f>
        <v>558563.28</v>
      </c>
      <c r="P37" s="75"/>
      <c r="Q37" s="75">
        <f>G37*L37</f>
        <v>1421187.94</v>
      </c>
      <c r="R37" s="75"/>
      <c r="S37" s="75"/>
      <c r="T37" s="75">
        <f t="shared" si="1"/>
        <v>4280847.4000000004</v>
      </c>
      <c r="U37" s="75">
        <f t="shared" si="2"/>
        <v>4280847.3999999994</v>
      </c>
      <c r="V37" s="75">
        <f t="shared" si="3"/>
        <v>4280847.3999999994</v>
      </c>
    </row>
    <row r="38" spans="1:23" x14ac:dyDescent="0.25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6"/>
        <v>10176.66</v>
      </c>
      <c r="N38" s="75">
        <f t="shared" si="18"/>
        <v>0</v>
      </c>
      <c r="O38" s="75">
        <f t="shared" si="19"/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 x14ac:dyDescent="0.25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 x14ac:dyDescent="0.25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6"/>
        <v>0</v>
      </c>
      <c r="N40" s="78">
        <f>N41+N46</f>
        <v>11659167.85</v>
      </c>
      <c r="O40" s="78">
        <f t="shared" ref="O40:V40" si="20">O41+O46</f>
        <v>2659246.92</v>
      </c>
      <c r="P40" s="78"/>
      <c r="Q40" s="181">
        <f t="shared" si="20"/>
        <v>8994778.9499999993</v>
      </c>
      <c r="R40" s="181"/>
      <c r="S40" s="78">
        <f>S39</f>
        <v>1310636.58</v>
      </c>
      <c r="T40" s="78">
        <f t="shared" si="20"/>
        <v>23313193.719999999</v>
      </c>
      <c r="U40" s="78">
        <f t="shared" si="20"/>
        <v>23313193.719999999</v>
      </c>
      <c r="V40" s="78">
        <f t="shared" si="20"/>
        <v>23313193.719999999</v>
      </c>
    </row>
    <row r="41" spans="1:23" ht="85.5" x14ac:dyDescent="0.25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6"/>
        <v>0</v>
      </c>
      <c r="N41" s="75">
        <f>SUM(N42:N45)</f>
        <v>11659167.85</v>
      </c>
      <c r="O41" s="75">
        <f t="shared" ref="O41:V41" si="21">SUM(O42:O45)</f>
        <v>2659246.92</v>
      </c>
      <c r="P41" s="75"/>
      <c r="Q41" s="75">
        <f t="shared" si="21"/>
        <v>6766090.4100000001</v>
      </c>
      <c r="R41" s="75"/>
      <c r="S41" s="75"/>
      <c r="T41" s="75">
        <f t="shared" si="21"/>
        <v>21084505.18</v>
      </c>
      <c r="U41" s="75">
        <f t="shared" si="21"/>
        <v>21084505.18</v>
      </c>
      <c r="V41" s="75">
        <f t="shared" si="21"/>
        <v>21084505.18</v>
      </c>
    </row>
    <row r="42" spans="1:23" ht="105" x14ac:dyDescent="0.25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 t="shared" ref="G42:G45" si="22"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6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 t="shared" si="1"/>
        <v>3791748.84</v>
      </c>
      <c r="U42" s="75">
        <f t="shared" si="2"/>
        <v>3791748.84</v>
      </c>
      <c r="V42" s="75">
        <f t="shared" si="3"/>
        <v>3791748.84</v>
      </c>
    </row>
    <row r="43" spans="1:23" x14ac:dyDescent="0.25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 t="shared" si="22"/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6"/>
        <v>77236.239999999991</v>
      </c>
      <c r="N43" s="75">
        <f t="shared" ref="N43:N46" si="23">G43*J43</f>
        <v>2599060.92</v>
      </c>
      <c r="O43" s="75">
        <f t="shared" ref="O43:O46" si="24">G43*K43</f>
        <v>922843.68</v>
      </c>
      <c r="P43" s="75"/>
      <c r="Q43" s="75">
        <f t="shared" ref="Q43:Q45" si="25">G43*L43</f>
        <v>2348049.64</v>
      </c>
      <c r="R43" s="75"/>
      <c r="S43" s="75"/>
      <c r="T43" s="75">
        <f t="shared" si="1"/>
        <v>5869954.2400000002</v>
      </c>
      <c r="U43" s="75">
        <f t="shared" si="2"/>
        <v>5869954.2399999993</v>
      </c>
      <c r="V43" s="75">
        <f t="shared" si="3"/>
        <v>5869954.2399999993</v>
      </c>
    </row>
    <row r="44" spans="1:23" ht="105" x14ac:dyDescent="0.25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 t="shared" si="22"/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6"/>
        <v>185131.64999999997</v>
      </c>
      <c r="N44" s="75">
        <f t="shared" si="23"/>
        <v>3410245.92</v>
      </c>
      <c r="O44" s="75">
        <f t="shared" si="24"/>
        <v>291424.32</v>
      </c>
      <c r="P44" s="75"/>
      <c r="Q44" s="75">
        <f t="shared" si="25"/>
        <v>741489.36</v>
      </c>
      <c r="R44" s="75"/>
      <c r="S44" s="75"/>
      <c r="T44" s="75">
        <f t="shared" si="1"/>
        <v>4443159.5999999996</v>
      </c>
      <c r="U44" s="75">
        <f t="shared" si="2"/>
        <v>4443159.5999999996</v>
      </c>
      <c r="V44" s="75">
        <f t="shared" si="3"/>
        <v>4443159.5999999996</v>
      </c>
    </row>
    <row r="45" spans="1:23" ht="120" x14ac:dyDescent="0.25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 t="shared" si="22"/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6"/>
        <v>93061.9</v>
      </c>
      <c r="N45" s="75">
        <f t="shared" si="23"/>
        <v>3751787.25</v>
      </c>
      <c r="O45" s="75">
        <f t="shared" si="24"/>
        <v>910701</v>
      </c>
      <c r="P45" s="75"/>
      <c r="Q45" s="75">
        <f t="shared" si="25"/>
        <v>2317154.25</v>
      </c>
      <c r="R45" s="75"/>
      <c r="S45" s="75"/>
      <c r="T45" s="75">
        <f t="shared" si="1"/>
        <v>6979642.5</v>
      </c>
      <c r="U45" s="75">
        <f t="shared" si="2"/>
        <v>6979642.5</v>
      </c>
      <c r="V45" s="75">
        <f t="shared" si="3"/>
        <v>6979642.5</v>
      </c>
    </row>
    <row r="46" spans="1:23" x14ac:dyDescent="0.25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 t="shared" ref="G46" si="26"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6"/>
        <v>10176.66</v>
      </c>
      <c r="N46" s="75">
        <f t="shared" si="23"/>
        <v>0</v>
      </c>
      <c r="O46" s="75">
        <f t="shared" si="24"/>
        <v>0</v>
      </c>
      <c r="P46" s="75"/>
      <c r="Q46" s="75">
        <f>G46*L46</f>
        <v>2228688.54</v>
      </c>
      <c r="R46" s="75"/>
      <c r="S46" s="75"/>
      <c r="T46" s="75">
        <f t="shared" si="1"/>
        <v>2228688.54</v>
      </c>
      <c r="U46" s="75">
        <f t="shared" si="2"/>
        <v>2228688.54</v>
      </c>
      <c r="V46" s="75">
        <f t="shared" si="3"/>
        <v>2228688.54</v>
      </c>
    </row>
    <row r="47" spans="1:23" x14ac:dyDescent="0.25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 x14ac:dyDescent="0.25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6"/>
        <v>0</v>
      </c>
      <c r="N48" s="78">
        <f>N49+N54</f>
        <v>4967010.3499999996</v>
      </c>
      <c r="O48" s="78">
        <f t="shared" ref="O48:V48" si="27">O49+O54</f>
        <v>1384265.52</v>
      </c>
      <c r="P48" s="78"/>
      <c r="Q48" s="181">
        <f>Q49+Q54</f>
        <v>4682213.7</v>
      </c>
      <c r="R48" s="181"/>
      <c r="S48" s="78">
        <f>S47</f>
        <v>2682517.8600000003</v>
      </c>
      <c r="T48" s="78">
        <f t="shared" si="27"/>
        <v>11033489.57</v>
      </c>
      <c r="U48" s="78">
        <f t="shared" si="27"/>
        <v>11033489.57</v>
      </c>
      <c r="V48" s="78">
        <f t="shared" si="27"/>
        <v>11033489.57</v>
      </c>
    </row>
    <row r="49" spans="1:22" ht="85.5" x14ac:dyDescent="0.25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6"/>
        <v>0</v>
      </c>
      <c r="N49" s="75">
        <f t="shared" ref="N49:V49" si="28">SUM(N50:N53)</f>
        <v>4967010.3499999996</v>
      </c>
      <c r="O49" s="75">
        <f t="shared" si="28"/>
        <v>1384265.52</v>
      </c>
      <c r="P49" s="75"/>
      <c r="Q49" s="75">
        <f t="shared" si="28"/>
        <v>3522074.46</v>
      </c>
      <c r="R49" s="75"/>
      <c r="S49" s="75"/>
      <c r="T49" s="75">
        <f t="shared" si="28"/>
        <v>9873350.3300000001</v>
      </c>
      <c r="U49" s="75">
        <f t="shared" si="28"/>
        <v>9873350.3300000001</v>
      </c>
      <c r="V49" s="75">
        <f t="shared" si="28"/>
        <v>9873350.3300000001</v>
      </c>
    </row>
    <row r="50" spans="1:22" ht="105" x14ac:dyDescent="0.25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 t="shared" ref="G50:G53" si="29"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6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 t="shared" si="1"/>
        <v>2671459.41</v>
      </c>
      <c r="U50" s="75">
        <f t="shared" si="2"/>
        <v>2671459.41</v>
      </c>
      <c r="V50" s="75">
        <f t="shared" si="3"/>
        <v>2671459.41</v>
      </c>
    </row>
    <row r="51" spans="1:22" x14ac:dyDescent="0.25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6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120" x14ac:dyDescent="0.25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20" x14ac:dyDescent="0.25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 t="shared" si="29"/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 t="shared" ref="M53" si="30">J53+K53+L53</f>
        <v>93061.9</v>
      </c>
      <c r="N53" s="75">
        <f t="shared" ref="N53:N54" si="31">G53*J53</f>
        <v>2501191.5</v>
      </c>
      <c r="O53" s="75">
        <f t="shared" ref="O53:O54" si="32">G53*K53</f>
        <v>607134</v>
      </c>
      <c r="P53" s="75"/>
      <c r="Q53" s="75">
        <f t="shared" ref="Q53:Q54" si="33">G53*L53</f>
        <v>1544769.5</v>
      </c>
      <c r="R53" s="75"/>
      <c r="S53" s="75"/>
      <c r="T53" s="75">
        <f t="shared" ref="T53" si="34">SUM(N53:Q53)</f>
        <v>4653095</v>
      </c>
      <c r="U53" s="75">
        <f t="shared" ref="U53" si="35">H53*M53</f>
        <v>4653095</v>
      </c>
      <c r="V53" s="75">
        <f t="shared" ref="V53" si="36">I53*M53</f>
        <v>4653095</v>
      </c>
    </row>
    <row r="54" spans="1:22" x14ac:dyDescent="0.25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6"/>
        <v>10176.66</v>
      </c>
      <c r="N54" s="75">
        <f t="shared" si="31"/>
        <v>0</v>
      </c>
      <c r="O54" s="75">
        <f t="shared" si="32"/>
        <v>0</v>
      </c>
      <c r="P54" s="75"/>
      <c r="Q54" s="75">
        <f t="shared" si="33"/>
        <v>1160139.24</v>
      </c>
      <c r="R54" s="75"/>
      <c r="S54" s="75"/>
      <c r="T54" s="75">
        <f t="shared" si="1"/>
        <v>1160139.24</v>
      </c>
      <c r="U54" s="75">
        <f t="shared" si="2"/>
        <v>1160139.24</v>
      </c>
      <c r="V54" s="75">
        <f t="shared" si="3"/>
        <v>1160139.24</v>
      </c>
    </row>
    <row r="55" spans="1:22" x14ac:dyDescent="0.25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 x14ac:dyDescent="0.25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6"/>
        <v>0</v>
      </c>
      <c r="N56" s="78">
        <f>N57+N61</f>
        <v>6619023.6899999995</v>
      </c>
      <c r="O56" s="78">
        <f t="shared" ref="O56:V56" si="37">O57+O61</f>
        <v>1954971.48</v>
      </c>
      <c r="P56" s="78"/>
      <c r="Q56" s="181">
        <f t="shared" si="37"/>
        <v>6612600.0499999998</v>
      </c>
      <c r="R56" s="181"/>
      <c r="S56" s="78">
        <f>S55</f>
        <v>1396379.1600000001</v>
      </c>
      <c r="T56" s="78">
        <f t="shared" si="37"/>
        <v>15186595.220000001</v>
      </c>
      <c r="U56" s="78">
        <f t="shared" si="37"/>
        <v>15186595.219999999</v>
      </c>
      <c r="V56" s="78">
        <f t="shared" si="37"/>
        <v>15186595.219999999</v>
      </c>
    </row>
    <row r="57" spans="1:22" ht="85.5" x14ac:dyDescent="0.25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6"/>
        <v>0</v>
      </c>
      <c r="N57" s="75">
        <f>SUM(N58:N60)</f>
        <v>6619023.6899999995</v>
      </c>
      <c r="O57" s="75">
        <f t="shared" ref="O57:T57" si="38">SUM(O58:O60)</f>
        <v>1954971.48</v>
      </c>
      <c r="P57" s="75"/>
      <c r="Q57" s="75">
        <f t="shared" si="38"/>
        <v>4974157.79</v>
      </c>
      <c r="R57" s="75"/>
      <c r="S57" s="75"/>
      <c r="T57" s="75">
        <f t="shared" si="38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105" x14ac:dyDescent="0.25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 t="shared" ref="G58:G60" si="39"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6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 t="shared" si="1"/>
        <v>3102339.96</v>
      </c>
      <c r="U58" s="75">
        <f t="shared" si="2"/>
        <v>3102339.96</v>
      </c>
      <c r="V58" s="75">
        <f t="shared" si="3"/>
        <v>3102339.96</v>
      </c>
    </row>
    <row r="59" spans="1:22" x14ac:dyDescent="0.25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 t="shared" si="39"/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6"/>
        <v>77236.239999999991</v>
      </c>
      <c r="N59" s="75">
        <f>G59*J59</f>
        <v>2564862.75</v>
      </c>
      <c r="O59" s="75">
        <f t="shared" ref="O59:O61" si="40">G59*K59</f>
        <v>910701</v>
      </c>
      <c r="P59" s="75"/>
      <c r="Q59" s="75">
        <f t="shared" ref="Q59:Q60" si="41">G59*L59</f>
        <v>2317154.25</v>
      </c>
      <c r="R59" s="75"/>
      <c r="S59" s="75"/>
      <c r="T59" s="75">
        <f t="shared" si="1"/>
        <v>5792718</v>
      </c>
      <c r="U59" s="75">
        <f t="shared" si="2"/>
        <v>5792717.9999999991</v>
      </c>
      <c r="V59" s="75">
        <f t="shared" si="3"/>
        <v>5792717.9999999991</v>
      </c>
    </row>
    <row r="60" spans="1:22" ht="120" x14ac:dyDescent="0.25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 t="shared" si="39"/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6"/>
        <v>93061.9</v>
      </c>
      <c r="N60" s="75">
        <f>G60*J60</f>
        <v>2501191.5</v>
      </c>
      <c r="O60" s="75">
        <f t="shared" si="40"/>
        <v>607134</v>
      </c>
      <c r="P60" s="75"/>
      <c r="Q60" s="75">
        <f t="shared" si="41"/>
        <v>1544769.5</v>
      </c>
      <c r="R60" s="75"/>
      <c r="S60" s="75"/>
      <c r="T60" s="75">
        <f t="shared" si="1"/>
        <v>4653095</v>
      </c>
      <c r="U60" s="75">
        <f t="shared" si="2"/>
        <v>4653095</v>
      </c>
      <c r="V60" s="75">
        <f t="shared" si="3"/>
        <v>4653095</v>
      </c>
    </row>
    <row r="61" spans="1:22" x14ac:dyDescent="0.25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 t="shared" ref="G61" si="42"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6"/>
        <v>10176.66</v>
      </c>
      <c r="N61" s="75">
        <f t="shared" si="14"/>
        <v>0</v>
      </c>
      <c r="O61" s="75">
        <f t="shared" si="40"/>
        <v>0</v>
      </c>
      <c r="P61" s="75"/>
      <c r="Q61" s="75">
        <f>G61*L61</f>
        <v>1638442.26</v>
      </c>
      <c r="R61" s="75"/>
      <c r="S61" s="75"/>
      <c r="T61" s="75">
        <f t="shared" si="1"/>
        <v>1638442.26</v>
      </c>
      <c r="U61" s="75">
        <f t="shared" si="2"/>
        <v>1638442.26</v>
      </c>
      <c r="V61" s="75">
        <f t="shared" si="3"/>
        <v>1638442.26</v>
      </c>
    </row>
    <row r="62" spans="1:22" x14ac:dyDescent="0.25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 x14ac:dyDescent="0.25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6"/>
        <v>0</v>
      </c>
      <c r="N63" s="78">
        <f t="shared" ref="N63:V63" si="43">N64+N71</f>
        <v>5077661.33</v>
      </c>
      <c r="O63" s="78">
        <f t="shared" si="43"/>
        <v>1384265.52</v>
      </c>
      <c r="P63" s="78"/>
      <c r="Q63" s="181">
        <f t="shared" si="43"/>
        <v>4682213.7</v>
      </c>
      <c r="R63" s="181"/>
      <c r="S63" s="78">
        <f>S62</f>
        <v>1972079.34</v>
      </c>
      <c r="T63" s="78">
        <f t="shared" si="43"/>
        <v>11144140.549999999</v>
      </c>
      <c r="U63" s="78">
        <f t="shared" si="43"/>
        <v>11144140.549999999</v>
      </c>
      <c r="V63" s="78">
        <f t="shared" si="43"/>
        <v>11144140.549999999</v>
      </c>
    </row>
    <row r="64" spans="1:22" ht="85.5" x14ac:dyDescent="0.25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6"/>
        <v>0</v>
      </c>
      <c r="N64" s="75">
        <f t="shared" ref="N64:V64" si="44">SUM(N65:N70)</f>
        <v>5077661.33</v>
      </c>
      <c r="O64" s="75">
        <f t="shared" si="44"/>
        <v>1384265.52</v>
      </c>
      <c r="P64" s="75"/>
      <c r="Q64" s="75">
        <f t="shared" si="44"/>
        <v>3522074.46</v>
      </c>
      <c r="R64" s="75"/>
      <c r="S64" s="75"/>
      <c r="T64" s="75">
        <f t="shared" si="44"/>
        <v>9984001.3099999987</v>
      </c>
      <c r="U64" s="75">
        <f t="shared" si="44"/>
        <v>9984001.3099999987</v>
      </c>
      <c r="V64" s="75">
        <f t="shared" si="44"/>
        <v>9984001.3099999987</v>
      </c>
    </row>
    <row r="65" spans="1:22" ht="105" x14ac:dyDescent="0.25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66" si="45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6"/>
        <v>86176.11</v>
      </c>
      <c r="N65" s="75">
        <f t="shared" ref="N65:N71" si="46">G65*J65</f>
        <v>1078451</v>
      </c>
      <c r="O65" s="75">
        <f>G65*K65</f>
        <v>303567</v>
      </c>
      <c r="P65" s="75"/>
      <c r="Q65" s="75">
        <f>G65*L65</f>
        <v>772384.75</v>
      </c>
      <c r="R65" s="75"/>
      <c r="S65" s="75"/>
      <c r="T65" s="75">
        <f t="shared" si="1"/>
        <v>2154402.75</v>
      </c>
      <c r="U65" s="75">
        <f t="shared" si="2"/>
        <v>2154402.75</v>
      </c>
      <c r="V65" s="75">
        <f t="shared" si="3"/>
        <v>2154402.75</v>
      </c>
    </row>
    <row r="66" spans="1:22" x14ac:dyDescent="0.25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45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6"/>
        <v>77236.239999999991</v>
      </c>
      <c r="N66" s="75">
        <f t="shared" si="46"/>
        <v>1333728.6299999999</v>
      </c>
      <c r="O66" s="75">
        <f t="shared" ref="O66:O71" si="47">G66*K66</f>
        <v>473564.52</v>
      </c>
      <c r="P66" s="75"/>
      <c r="Q66" s="75">
        <f t="shared" ref="Q66" si="48">G66*L66</f>
        <v>1204920.21</v>
      </c>
      <c r="R66" s="75"/>
      <c r="S66" s="75"/>
      <c r="T66" s="75">
        <f t="shared" si="1"/>
        <v>3012213.36</v>
      </c>
      <c r="U66" s="75">
        <f t="shared" si="2"/>
        <v>3012213.3599999994</v>
      </c>
      <c r="V66" s="75">
        <f t="shared" si="3"/>
        <v>3012213.3599999994</v>
      </c>
    </row>
    <row r="67" spans="1:22" ht="120" x14ac:dyDescent="0.25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>(E67*8+F67*4)/12</f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 t="shared" ref="M67" si="49">J67+K67+L67</f>
        <v>93061.9</v>
      </c>
      <c r="N67" s="75">
        <f>G67*J67</f>
        <v>2501191.5</v>
      </c>
      <c r="O67" s="75">
        <f>G67*K67</f>
        <v>607134</v>
      </c>
      <c r="P67" s="75"/>
      <c r="Q67" s="75">
        <f>G67*L67</f>
        <v>1544769.5</v>
      </c>
      <c r="R67" s="75"/>
      <c r="S67" s="75"/>
      <c r="T67" s="75">
        <f>SUM(N67:Q67)</f>
        <v>4653095</v>
      </c>
      <c r="U67" s="75">
        <f t="shared" ref="U67" si="50">H67*M67</f>
        <v>4653095</v>
      </c>
      <c r="V67" s="75">
        <f t="shared" ref="V67" si="51">I67*M67</f>
        <v>4653095</v>
      </c>
    </row>
    <row r="68" spans="1:22" ht="56.25" customHeight="1" x14ac:dyDescent="0.25">
      <c r="A68" s="83"/>
      <c r="B68" s="97" t="s">
        <v>180</v>
      </c>
      <c r="C68" s="286" t="s">
        <v>78</v>
      </c>
      <c r="D68" s="288" t="s">
        <v>20</v>
      </c>
      <c r="E68" s="87">
        <v>0</v>
      </c>
      <c r="F68" s="87">
        <v>0</v>
      </c>
      <c r="G68" s="87">
        <f>(E68*8+F68*4)/12</f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46"/>
        <v>0</v>
      </c>
      <c r="O68" s="75">
        <f>G68*K68</f>
        <v>0</v>
      </c>
      <c r="P68" s="75"/>
      <c r="Q68" s="75">
        <f>G68*L68</f>
        <v>0</v>
      </c>
      <c r="R68" s="75"/>
      <c r="S68" s="75"/>
      <c r="T68" s="75">
        <f>SUM(N68:Q68)</f>
        <v>0</v>
      </c>
      <c r="U68" s="75">
        <f>H68*M68</f>
        <v>0</v>
      </c>
      <c r="V68" s="75">
        <f>I68*M68</f>
        <v>0</v>
      </c>
    </row>
    <row r="69" spans="1:22" ht="21" customHeight="1" x14ac:dyDescent="0.25">
      <c r="A69" s="83"/>
      <c r="B69" s="97" t="s">
        <v>181</v>
      </c>
      <c r="C69" s="287"/>
      <c r="D69" s="289"/>
      <c r="E69" s="87">
        <v>39</v>
      </c>
      <c r="F69" s="87">
        <v>39</v>
      </c>
      <c r="G69" s="87">
        <f>(E69*8+F69*4)/12</f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>G69*K69</f>
        <v>0</v>
      </c>
      <c r="P69" s="75"/>
      <c r="Q69" s="75">
        <f>G69*L69</f>
        <v>0</v>
      </c>
      <c r="R69" s="75"/>
      <c r="S69" s="75"/>
      <c r="T69" s="75">
        <f>SUM(N69:Q69)</f>
        <v>60637.2</v>
      </c>
      <c r="U69" s="75">
        <f>H69*M69</f>
        <v>60637.2</v>
      </c>
      <c r="V69" s="75">
        <f>I69*M69</f>
        <v>60637.2</v>
      </c>
    </row>
    <row r="70" spans="1:22" ht="75" x14ac:dyDescent="0.25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>(E70*8+F70*4)/12</f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46"/>
        <v>103653</v>
      </c>
      <c r="O70" s="75">
        <f>G70*K70</f>
        <v>0</v>
      </c>
      <c r="P70" s="75"/>
      <c r="Q70" s="75">
        <f>G70*L70</f>
        <v>0</v>
      </c>
      <c r="R70" s="75"/>
      <c r="S70" s="75"/>
      <c r="T70" s="75">
        <f>SUM(N70:Q70)</f>
        <v>103653</v>
      </c>
      <c r="U70" s="75">
        <f>H70*M70</f>
        <v>103653</v>
      </c>
      <c r="V70" s="75">
        <f>I70*M70</f>
        <v>103653</v>
      </c>
    </row>
    <row r="71" spans="1:22" x14ac:dyDescent="0.25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>(E71*8+F71*4)/12</f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6"/>
        <v>10176.66</v>
      </c>
      <c r="N71" s="75">
        <f t="shared" si="46"/>
        <v>0</v>
      </c>
      <c r="O71" s="75">
        <f t="shared" si="47"/>
        <v>0</v>
      </c>
      <c r="P71" s="75"/>
      <c r="Q71" s="75">
        <f>G71*L71</f>
        <v>1160139.24</v>
      </c>
      <c r="R71" s="75"/>
      <c r="S71" s="75"/>
      <c r="T71" s="75">
        <f t="shared" si="1"/>
        <v>1160139.24</v>
      </c>
      <c r="U71" s="75">
        <f t="shared" si="2"/>
        <v>1160139.24</v>
      </c>
      <c r="V71" s="75">
        <f t="shared" si="3"/>
        <v>1160139.24</v>
      </c>
    </row>
    <row r="72" spans="1:22" x14ac:dyDescent="0.25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 x14ac:dyDescent="0.25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6"/>
        <v>0</v>
      </c>
      <c r="N73" s="78">
        <f t="shared" ref="N73:V73" si="52">N74+N81</f>
        <v>11094680.750000002</v>
      </c>
      <c r="O73" s="78">
        <f t="shared" si="52"/>
        <v>2732103</v>
      </c>
      <c r="P73" s="78"/>
      <c r="Q73" s="181">
        <f t="shared" si="52"/>
        <v>9241211.25</v>
      </c>
      <c r="R73" s="181"/>
      <c r="S73" s="78">
        <f>S72</f>
        <v>1396379.1600000001</v>
      </c>
      <c r="T73" s="78">
        <f t="shared" si="52"/>
        <v>23067995</v>
      </c>
      <c r="U73" s="78">
        <f t="shared" si="52"/>
        <v>23067995</v>
      </c>
      <c r="V73" s="78">
        <f t="shared" si="52"/>
        <v>23067995</v>
      </c>
    </row>
    <row r="74" spans="1:22" ht="85.5" x14ac:dyDescent="0.25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53">SUM(N75:N80)</f>
        <v>11094680.750000002</v>
      </c>
      <c r="O74" s="75">
        <f t="shared" si="53"/>
        <v>2732103</v>
      </c>
      <c r="P74" s="75"/>
      <c r="Q74" s="75">
        <f t="shared" si="53"/>
        <v>6951462.75</v>
      </c>
      <c r="R74" s="75"/>
      <c r="S74" s="75"/>
      <c r="T74" s="75">
        <f t="shared" si="53"/>
        <v>20778246.5</v>
      </c>
      <c r="U74" s="75">
        <f t="shared" si="53"/>
        <v>20778246.5</v>
      </c>
      <c r="V74" s="75">
        <f t="shared" si="53"/>
        <v>20778246.5</v>
      </c>
    </row>
    <row r="75" spans="1:22" ht="105" x14ac:dyDescent="0.25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54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6"/>
        <v>86176.11</v>
      </c>
      <c r="N75" s="75">
        <f>G75*J75</f>
        <v>3019662.8000000003</v>
      </c>
      <c r="O75" s="75">
        <f>G75*K75</f>
        <v>849987.6</v>
      </c>
      <c r="P75" s="75"/>
      <c r="Q75" s="75">
        <f>G75*L75</f>
        <v>2162677.2999999998</v>
      </c>
      <c r="R75" s="75"/>
      <c r="S75" s="75"/>
      <c r="T75" s="75">
        <f t="shared" si="1"/>
        <v>6032327.7000000002</v>
      </c>
      <c r="U75" s="75">
        <f t="shared" si="2"/>
        <v>6032327.7000000002</v>
      </c>
      <c r="V75" s="75">
        <f t="shared" si="3"/>
        <v>6032327.7000000002</v>
      </c>
    </row>
    <row r="76" spans="1:22" x14ac:dyDescent="0.25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54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>G76*J76</f>
        <v>0</v>
      </c>
      <c r="O76" s="75">
        <f t="shared" ref="O76:O81" si="55">G76*K76</f>
        <v>0</v>
      </c>
      <c r="P76" s="75"/>
      <c r="Q76" s="75">
        <f t="shared" ref="Q76:Q78" si="56">G76*L76</f>
        <v>0</v>
      </c>
      <c r="R76" s="75"/>
      <c r="S76" s="75"/>
      <c r="T76" s="75">
        <f t="shared" si="1"/>
        <v>0</v>
      </c>
      <c r="U76" s="75">
        <f t="shared" si="2"/>
        <v>0</v>
      </c>
      <c r="V76" s="75">
        <f t="shared" si="3"/>
        <v>0</v>
      </c>
    </row>
    <row r="77" spans="1:22" ht="120" x14ac:dyDescent="0.25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54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6"/>
        <v>93061.9</v>
      </c>
      <c r="N77" s="75">
        <f t="shared" ref="N77:N78" si="57">G77*J77</f>
        <v>7753693.6500000004</v>
      </c>
      <c r="O77" s="75">
        <f t="shared" si="55"/>
        <v>1882115.4000000001</v>
      </c>
      <c r="P77" s="75"/>
      <c r="Q77" s="75">
        <f t="shared" si="56"/>
        <v>4788785.45</v>
      </c>
      <c r="R77" s="75"/>
      <c r="S77" s="75"/>
      <c r="T77" s="75">
        <f t="shared" si="1"/>
        <v>14424594.5</v>
      </c>
      <c r="U77" s="75">
        <f t="shared" si="2"/>
        <v>14424594.5</v>
      </c>
      <c r="V77" s="75">
        <f t="shared" si="3"/>
        <v>14424594.5</v>
      </c>
    </row>
    <row r="78" spans="1:22" ht="75" x14ac:dyDescent="0.25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54"/>
        <v>0</v>
      </c>
      <c r="H78" s="87"/>
      <c r="I78" s="87"/>
      <c r="J78" s="75">
        <v>2073.06</v>
      </c>
      <c r="K78" s="75"/>
      <c r="L78" s="156"/>
      <c r="M78" s="75">
        <f t="shared" si="6"/>
        <v>2073.06</v>
      </c>
      <c r="N78" s="75">
        <f t="shared" si="57"/>
        <v>0</v>
      </c>
      <c r="O78" s="75">
        <f t="shared" si="55"/>
        <v>0</v>
      </c>
      <c r="P78" s="75"/>
      <c r="Q78" s="75">
        <f t="shared" si="56"/>
        <v>0</v>
      </c>
      <c r="R78" s="75"/>
      <c r="S78" s="75"/>
      <c r="T78" s="75">
        <f t="shared" si="1"/>
        <v>0</v>
      </c>
      <c r="U78" s="75">
        <f t="shared" si="2"/>
        <v>0</v>
      </c>
      <c r="V78" s="75">
        <f t="shared" si="3"/>
        <v>0</v>
      </c>
    </row>
    <row r="79" spans="1:22" x14ac:dyDescent="0.25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54"/>
        <v>0</v>
      </c>
      <c r="H79" s="87"/>
      <c r="I79" s="87"/>
      <c r="J79" s="75">
        <v>1554.8</v>
      </c>
      <c r="K79" s="75"/>
      <c r="L79" s="156"/>
      <c r="M79" s="75">
        <f t="shared" ref="M79:M80" si="58">J79+K79+L79</f>
        <v>1554.8</v>
      </c>
      <c r="N79" s="75">
        <f t="shared" ref="N79:N80" si="59">G79*J79</f>
        <v>0</v>
      </c>
      <c r="O79" s="75">
        <f t="shared" ref="O79:O80" si="60">G79*K79</f>
        <v>0</v>
      </c>
      <c r="P79" s="75"/>
      <c r="Q79" s="75">
        <f t="shared" ref="Q79:Q80" si="61">G79*L79</f>
        <v>0</v>
      </c>
      <c r="R79" s="75"/>
      <c r="S79" s="75"/>
      <c r="T79" s="75">
        <f t="shared" ref="T79:T80" si="62">SUM(N79:Q79)</f>
        <v>0</v>
      </c>
      <c r="U79" s="75">
        <f t="shared" ref="U79:U80" si="63">H79*M79</f>
        <v>0</v>
      </c>
      <c r="V79" s="75">
        <f t="shared" ref="V79:V80" si="64">I79*M79</f>
        <v>0</v>
      </c>
    </row>
    <row r="80" spans="1:22" ht="75" x14ac:dyDescent="0.25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54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 t="shared" si="58"/>
        <v>2073.06</v>
      </c>
      <c r="N80" s="75">
        <f t="shared" si="59"/>
        <v>321324.3</v>
      </c>
      <c r="O80" s="75">
        <f t="shared" si="60"/>
        <v>0</v>
      </c>
      <c r="P80" s="75"/>
      <c r="Q80" s="75">
        <f t="shared" si="61"/>
        <v>0</v>
      </c>
      <c r="R80" s="75"/>
      <c r="S80" s="75"/>
      <c r="T80" s="75">
        <f t="shared" si="62"/>
        <v>321324.3</v>
      </c>
      <c r="U80" s="75">
        <f t="shared" si="63"/>
        <v>321324.3</v>
      </c>
      <c r="V80" s="75">
        <f t="shared" si="64"/>
        <v>321324.3</v>
      </c>
    </row>
    <row r="81" spans="1:22" x14ac:dyDescent="0.25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6"/>
        <v>10176.66</v>
      </c>
      <c r="N81" s="75">
        <f>G81*J81</f>
        <v>0</v>
      </c>
      <c r="O81" s="75">
        <f t="shared" si="55"/>
        <v>0</v>
      </c>
      <c r="P81" s="75"/>
      <c r="Q81" s="75">
        <f>G81*L81</f>
        <v>2289748.5</v>
      </c>
      <c r="R81" s="75"/>
      <c r="S81" s="75"/>
      <c r="T81" s="75">
        <f t="shared" si="1"/>
        <v>2289748.5</v>
      </c>
      <c r="U81" s="75">
        <f t="shared" si="2"/>
        <v>2289748.5</v>
      </c>
      <c r="V81" s="75">
        <f t="shared" si="3"/>
        <v>2289748.5</v>
      </c>
    </row>
    <row r="82" spans="1:22" x14ac:dyDescent="0.25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 x14ac:dyDescent="0.25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6"/>
        <v>0</v>
      </c>
      <c r="N83" s="78">
        <f>N84+N88</f>
        <v>6224984.6600000001</v>
      </c>
      <c r="O83" s="78">
        <f t="shared" ref="O83:V83" si="65">O84+O88</f>
        <v>1699975.2000000002</v>
      </c>
      <c r="P83" s="78"/>
      <c r="Q83" s="181">
        <f t="shared" si="65"/>
        <v>5750087</v>
      </c>
      <c r="R83" s="181"/>
      <c r="S83" s="78">
        <f>S82</f>
        <v>2756011.5</v>
      </c>
      <c r="T83" s="78">
        <f t="shared" si="65"/>
        <v>13675046.860000001</v>
      </c>
      <c r="U83" s="78">
        <f t="shared" si="65"/>
        <v>13675046.860000001</v>
      </c>
      <c r="V83" s="78">
        <f t="shared" si="65"/>
        <v>13675046.860000001</v>
      </c>
    </row>
    <row r="84" spans="1:22" ht="85.5" x14ac:dyDescent="0.25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6"/>
        <v>0</v>
      </c>
      <c r="N84" s="75">
        <f>SUM(N85:N87)</f>
        <v>6224984.6600000001</v>
      </c>
      <c r="O84" s="75">
        <f t="shared" ref="O84:V84" si="66">SUM(O85:O87)</f>
        <v>1699975.2000000002</v>
      </c>
      <c r="P84" s="75"/>
      <c r="Q84" s="75">
        <f t="shared" si="66"/>
        <v>4325354.5999999996</v>
      </c>
      <c r="R84" s="75"/>
      <c r="S84" s="75"/>
      <c r="T84" s="75">
        <f t="shared" si="66"/>
        <v>12250314.460000001</v>
      </c>
      <c r="U84" s="75">
        <f t="shared" si="66"/>
        <v>12250314.460000001</v>
      </c>
      <c r="V84" s="75">
        <f t="shared" si="66"/>
        <v>12250314.460000001</v>
      </c>
    </row>
    <row r="85" spans="1:22" ht="105" x14ac:dyDescent="0.25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 t="shared" ref="G85:G88" si="67"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6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 t="shared" si="1"/>
        <v>2412931.08</v>
      </c>
      <c r="U85" s="75">
        <f t="shared" si="2"/>
        <v>2412931.08</v>
      </c>
      <c r="V85" s="75">
        <f t="shared" si="3"/>
        <v>2412931.08</v>
      </c>
    </row>
    <row r="86" spans="1:22" x14ac:dyDescent="0.25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 t="shared" si="67"/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6"/>
        <v>77236.239999999991</v>
      </c>
      <c r="N86" s="75">
        <f t="shared" ref="N86:N88" si="68">G86*J86</f>
        <v>1265332.29</v>
      </c>
      <c r="O86" s="75">
        <f t="shared" ref="O86:O88" si="69">G86*K86</f>
        <v>449279.16000000003</v>
      </c>
      <c r="P86" s="75"/>
      <c r="Q86" s="75">
        <f t="shared" ref="Q86:Q87" si="70">G86*L86</f>
        <v>1143129.43</v>
      </c>
      <c r="R86" s="75"/>
      <c r="S86" s="75"/>
      <c r="T86" s="75">
        <f t="shared" si="1"/>
        <v>2857740.88</v>
      </c>
      <c r="U86" s="75">
        <f t="shared" si="2"/>
        <v>2857740.88</v>
      </c>
      <c r="V86" s="75">
        <f t="shared" si="3"/>
        <v>2857740.88</v>
      </c>
    </row>
    <row r="87" spans="1:22" ht="120" x14ac:dyDescent="0.25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 t="shared" si="67"/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 t="shared" ref="M87" si="71">J87+K87+L87</f>
        <v>93061.9</v>
      </c>
      <c r="N87" s="75">
        <f t="shared" si="68"/>
        <v>3751787.25</v>
      </c>
      <c r="O87" s="75">
        <f t="shared" si="69"/>
        <v>910701</v>
      </c>
      <c r="P87" s="75"/>
      <c r="Q87" s="75">
        <f t="shared" si="70"/>
        <v>2317154.25</v>
      </c>
      <c r="R87" s="75"/>
      <c r="S87" s="75"/>
      <c r="T87" s="75">
        <f t="shared" ref="T87" si="72">SUM(N87:Q87)</f>
        <v>6979642.5</v>
      </c>
      <c r="U87" s="75">
        <f t="shared" ref="U87" si="73">H87*M87</f>
        <v>6979642.5</v>
      </c>
      <c r="V87" s="75">
        <f t="shared" ref="V87" si="74">I87*M87</f>
        <v>6979642.5</v>
      </c>
    </row>
    <row r="88" spans="1:22" x14ac:dyDescent="0.25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 t="shared" si="67"/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6"/>
        <v>10176.66</v>
      </c>
      <c r="N88" s="75">
        <f t="shared" si="68"/>
        <v>0</v>
      </c>
      <c r="O88" s="75">
        <f t="shared" si="69"/>
        <v>0</v>
      </c>
      <c r="P88" s="75"/>
      <c r="Q88" s="75">
        <f>G88*L88</f>
        <v>1424732.4</v>
      </c>
      <c r="R88" s="75"/>
      <c r="S88" s="75"/>
      <c r="T88" s="75">
        <f t="shared" si="1"/>
        <v>1424732.4</v>
      </c>
      <c r="U88" s="75">
        <f t="shared" si="2"/>
        <v>1424732.4</v>
      </c>
      <c r="V88" s="75">
        <f t="shared" si="3"/>
        <v>1424732.4</v>
      </c>
    </row>
    <row r="89" spans="1:22" x14ac:dyDescent="0.25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 x14ac:dyDescent="0.25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6"/>
        <v>0</v>
      </c>
      <c r="N90" s="78">
        <f>N91+N95</f>
        <v>5861980.0199999996</v>
      </c>
      <c r="O90" s="78">
        <f t="shared" ref="O90:V90" si="75">O91+O95</f>
        <v>1724260.56</v>
      </c>
      <c r="P90" s="78"/>
      <c r="Q90" s="181">
        <f t="shared" si="75"/>
        <v>5832231.0999999996</v>
      </c>
      <c r="R90" s="181"/>
      <c r="S90" s="78">
        <f>S89</f>
        <v>1714851.6</v>
      </c>
      <c r="T90" s="78">
        <f t="shared" si="75"/>
        <v>13418471.680000002</v>
      </c>
      <c r="U90" s="78">
        <f t="shared" si="75"/>
        <v>13418471.68</v>
      </c>
      <c r="V90" s="78">
        <f t="shared" si="75"/>
        <v>13418471.68</v>
      </c>
    </row>
    <row r="91" spans="1:22" ht="85.5" x14ac:dyDescent="0.25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6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76">SUM(Q92:Q94)</f>
        <v>4387145.38</v>
      </c>
      <c r="R91" s="75"/>
      <c r="S91" s="75"/>
      <c r="T91" s="75">
        <f t="shared" si="76"/>
        <v>11973385.960000001</v>
      </c>
      <c r="U91" s="75">
        <f t="shared" si="76"/>
        <v>11973385.959999999</v>
      </c>
      <c r="V91" s="75">
        <f t="shared" si="76"/>
        <v>11973385.959999999</v>
      </c>
    </row>
    <row r="92" spans="1:22" ht="105" x14ac:dyDescent="0.25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 t="shared" ref="G92:G95" si="77"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6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 t="shared" si="1"/>
        <v>2068226.6400000001</v>
      </c>
      <c r="U92" s="75">
        <f t="shared" si="2"/>
        <v>2068226.6400000001</v>
      </c>
      <c r="V92" s="75">
        <f t="shared" si="3"/>
        <v>2068226.6400000001</v>
      </c>
    </row>
    <row r="93" spans="1:22" x14ac:dyDescent="0.25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 t="shared" si="77"/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6"/>
        <v>77236.239999999991</v>
      </c>
      <c r="N93" s="75">
        <f t="shared" ref="N93:N95" si="78">G93*J93</f>
        <v>2325475.56</v>
      </c>
      <c r="O93" s="75">
        <f>G93*K93</f>
        <v>825702.24</v>
      </c>
      <c r="P93" s="75"/>
      <c r="Q93" s="75">
        <f t="shared" ref="Q93:Q94" si="79">G93*L93</f>
        <v>2100886.52</v>
      </c>
      <c r="R93" s="75"/>
      <c r="S93" s="75"/>
      <c r="T93" s="75">
        <f t="shared" si="1"/>
        <v>5252064.32</v>
      </c>
      <c r="U93" s="75">
        <f t="shared" si="2"/>
        <v>5252064.3199999994</v>
      </c>
      <c r="V93" s="75">
        <f t="shared" si="3"/>
        <v>5252064.3199999994</v>
      </c>
    </row>
    <row r="94" spans="1:22" ht="120" x14ac:dyDescent="0.25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 t="shared" si="77"/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6"/>
        <v>93061.9</v>
      </c>
      <c r="N94" s="75">
        <f t="shared" si="78"/>
        <v>2501191.5</v>
      </c>
      <c r="O94" s="75">
        <f>G94*K94</f>
        <v>607134</v>
      </c>
      <c r="P94" s="75"/>
      <c r="Q94" s="75">
        <f t="shared" si="79"/>
        <v>1544769.5</v>
      </c>
      <c r="R94" s="75"/>
      <c r="S94" s="75"/>
      <c r="T94" s="75">
        <f t="shared" si="1"/>
        <v>4653095</v>
      </c>
      <c r="U94" s="75">
        <f t="shared" si="2"/>
        <v>4653095</v>
      </c>
      <c r="V94" s="75">
        <f t="shared" si="3"/>
        <v>4653095</v>
      </c>
    </row>
    <row r="95" spans="1:22" x14ac:dyDescent="0.25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 t="shared" si="77"/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6"/>
        <v>10176.66</v>
      </c>
      <c r="N95" s="75">
        <f t="shared" si="78"/>
        <v>0</v>
      </c>
      <c r="O95" s="75">
        <f t="shared" ref="O95" si="80">G95*K95</f>
        <v>0</v>
      </c>
      <c r="P95" s="75"/>
      <c r="Q95" s="75">
        <f>G95*L95</f>
        <v>1445085.72</v>
      </c>
      <c r="R95" s="75"/>
      <c r="S95" s="75"/>
      <c r="T95" s="75">
        <f t="shared" si="1"/>
        <v>1445085.72</v>
      </c>
      <c r="U95" s="75">
        <f t="shared" si="2"/>
        <v>1445085.72</v>
      </c>
      <c r="V95" s="75">
        <f t="shared" si="3"/>
        <v>1445085.72</v>
      </c>
    </row>
    <row r="96" spans="1:22" x14ac:dyDescent="0.25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 ht="14.25" x14ac:dyDescent="0.2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6"/>
        <v>0</v>
      </c>
      <c r="N97" s="78">
        <f>N98+N102</f>
        <v>10839512.129999999</v>
      </c>
      <c r="O97" s="78">
        <f t="shared" ref="O97:V97" si="81">O98+O102</f>
        <v>2974956.6</v>
      </c>
      <c r="P97" s="78"/>
      <c r="Q97" s="181">
        <f t="shared" si="81"/>
        <v>9611389.5999999996</v>
      </c>
      <c r="R97" s="181"/>
      <c r="S97" s="78">
        <f>S96</f>
        <v>1739349.48</v>
      </c>
      <c r="T97" s="78">
        <f t="shared" si="81"/>
        <v>23425858.330000002</v>
      </c>
      <c r="U97" s="78">
        <f t="shared" si="81"/>
        <v>23425867.73</v>
      </c>
      <c r="V97" s="78">
        <f t="shared" si="81"/>
        <v>23425867.73</v>
      </c>
    </row>
    <row r="98" spans="1:22" ht="85.5" x14ac:dyDescent="0.25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 t="shared" ref="M98:M102" si="82">J98+K98+L98</f>
        <v>0</v>
      </c>
      <c r="N98" s="75">
        <f>SUM(N99:N101)</f>
        <v>10839512.129999999</v>
      </c>
      <c r="O98" s="75">
        <f t="shared" ref="O98:V98" si="83">SUM(O99:O101)</f>
        <v>2974956.6</v>
      </c>
      <c r="P98" s="75"/>
      <c r="Q98" s="75">
        <f t="shared" si="83"/>
        <v>7075462.7999999998</v>
      </c>
      <c r="R98" s="75"/>
      <c r="S98" s="75"/>
      <c r="T98" s="75">
        <f>SUM(T99:T101)</f>
        <v>20889931.530000001</v>
      </c>
      <c r="U98" s="75">
        <f t="shared" si="83"/>
        <v>20889931.530000001</v>
      </c>
      <c r="V98" s="75">
        <f t="shared" si="83"/>
        <v>20889931.530000001</v>
      </c>
    </row>
    <row r="99" spans="1:22" ht="105" x14ac:dyDescent="0.25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 t="shared" ref="G99:G102" si="84"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 t="shared" si="82"/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 t="shared" ref="T99:T102" si="85">SUM(N99:Q99)</f>
        <v>4544648.6399999997</v>
      </c>
      <c r="U99" s="75">
        <f t="shared" ref="U99:U102" si="86">H99*M99</f>
        <v>4544648.6400000006</v>
      </c>
      <c r="V99" s="75">
        <f t="shared" ref="V99:V102" si="87">I99*M99</f>
        <v>4544648.6400000006</v>
      </c>
    </row>
    <row r="100" spans="1:22" x14ac:dyDescent="0.25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 t="shared" si="84"/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 t="shared" si="82"/>
        <v>75220.289999999994</v>
      </c>
      <c r="N100" s="75">
        <f t="shared" ref="N100:N102" si="88">G100*J100</f>
        <v>2257079.2199999997</v>
      </c>
      <c r="O100" s="75">
        <f t="shared" ref="O100:O102" si="89">G100*K100</f>
        <v>801416.88</v>
      </c>
      <c r="P100" s="75"/>
      <c r="Q100" s="75">
        <f t="shared" ref="Q100:Q101" si="90">G100*L100</f>
        <v>1906043.0399999998</v>
      </c>
      <c r="R100" s="75"/>
      <c r="S100" s="75"/>
      <c r="T100" s="75">
        <f t="shared" si="85"/>
        <v>4964539.1399999997</v>
      </c>
      <c r="U100" s="75">
        <f t="shared" si="86"/>
        <v>4964539.1399999997</v>
      </c>
      <c r="V100" s="75">
        <f t="shared" si="87"/>
        <v>4964539.1399999997</v>
      </c>
    </row>
    <row r="101" spans="1:22" ht="120" x14ac:dyDescent="0.25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 t="shared" si="84"/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 t="shared" si="82"/>
        <v>91045.95</v>
      </c>
      <c r="N101" s="75">
        <f t="shared" si="88"/>
        <v>6252978.75</v>
      </c>
      <c r="O101" s="75">
        <f t="shared" si="89"/>
        <v>1517835</v>
      </c>
      <c r="P101" s="75"/>
      <c r="Q101" s="75">
        <f t="shared" si="90"/>
        <v>3609930</v>
      </c>
      <c r="R101" s="75"/>
      <c r="S101" s="75"/>
      <c r="T101" s="75">
        <f t="shared" si="85"/>
        <v>11380743.75</v>
      </c>
      <c r="U101" s="75">
        <f t="shared" si="86"/>
        <v>11380743.75</v>
      </c>
      <c r="V101" s="75">
        <f t="shared" si="87"/>
        <v>11380743.75</v>
      </c>
    </row>
    <row r="102" spans="1:22" x14ac:dyDescent="0.25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 t="shared" si="84"/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 t="shared" si="82"/>
        <v>10350.76</v>
      </c>
      <c r="N102" s="75">
        <f t="shared" si="88"/>
        <v>0</v>
      </c>
      <c r="O102" s="75">
        <f t="shared" si="89"/>
        <v>0</v>
      </c>
      <c r="P102" s="75"/>
      <c r="Q102" s="75">
        <f>G102*L102-9.4</f>
        <v>2535926.8000000003</v>
      </c>
      <c r="R102" s="75"/>
      <c r="S102" s="75"/>
      <c r="T102" s="75">
        <f t="shared" si="85"/>
        <v>2535926.8000000003</v>
      </c>
      <c r="U102" s="75">
        <f t="shared" si="86"/>
        <v>2535936.2000000002</v>
      </c>
      <c r="V102" s="75">
        <f t="shared" si="87"/>
        <v>2535936.2000000002</v>
      </c>
    </row>
    <row r="103" spans="1:22" x14ac:dyDescent="0.25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 x14ac:dyDescent="0.25">
      <c r="A104" s="278" t="s">
        <v>154</v>
      </c>
      <c r="B104" s="278"/>
      <c r="C104" s="278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30" x14ac:dyDescent="0.25">
      <c r="A105" s="282" t="s">
        <v>3</v>
      </c>
      <c r="B105" s="282" t="s">
        <v>86</v>
      </c>
      <c r="C105" s="114" t="s">
        <v>87</v>
      </c>
      <c r="D105" s="282" t="s">
        <v>4</v>
      </c>
      <c r="E105" s="283" t="s">
        <v>5</v>
      </c>
      <c r="F105" s="283"/>
      <c r="G105" s="283"/>
      <c r="H105" s="283"/>
      <c r="I105" s="283"/>
      <c r="J105" s="270" t="s">
        <v>6</v>
      </c>
      <c r="K105" s="270"/>
      <c r="L105" s="270"/>
      <c r="M105" s="270"/>
      <c r="N105" s="270" t="s">
        <v>7</v>
      </c>
      <c r="O105" s="270"/>
      <c r="P105" s="270"/>
      <c r="Q105" s="270"/>
      <c r="R105" s="270"/>
      <c r="S105" s="270"/>
      <c r="T105" s="270"/>
      <c r="U105" s="270"/>
      <c r="V105" s="270"/>
    </row>
    <row r="106" spans="1:22" ht="120" x14ac:dyDescent="0.25">
      <c r="A106" s="282"/>
      <c r="B106" s="282"/>
      <c r="C106" s="114"/>
      <c r="D106" s="282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5" x14ac:dyDescent="0.25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90" x14ac:dyDescent="0.25">
      <c r="A108" s="290" t="s">
        <v>98</v>
      </c>
      <c r="B108" s="292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 x14ac:dyDescent="0.25">
      <c r="A109" s="290"/>
      <c r="B109" s="293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 x14ac:dyDescent="0.25">
      <c r="A110" s="290"/>
      <c r="B110" s="293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 x14ac:dyDescent="0.25">
      <c r="A111" s="290"/>
      <c r="B111" s="293"/>
      <c r="C111" s="15" t="s">
        <v>169</v>
      </c>
      <c r="D111" s="64"/>
      <c r="E111" s="59">
        <v>7</v>
      </c>
      <c r="F111" s="59">
        <v>7</v>
      </c>
      <c r="G111" s="59">
        <f t="shared" ref="G111:G118" si="91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92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 x14ac:dyDescent="0.25">
      <c r="A112" s="290"/>
      <c r="B112" s="293"/>
      <c r="C112" s="15" t="s">
        <v>165</v>
      </c>
      <c r="D112" s="64"/>
      <c r="E112" s="59">
        <v>4</v>
      </c>
      <c r="F112" s="59">
        <v>4</v>
      </c>
      <c r="G112" s="59">
        <f t="shared" si="91"/>
        <v>4</v>
      </c>
      <c r="H112" s="59">
        <v>4</v>
      </c>
      <c r="I112" s="59">
        <v>4</v>
      </c>
      <c r="J112" s="71">
        <f t="shared" ref="J112:J117" si="93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94">O112</f>
        <v>369873</v>
      </c>
      <c r="O112" s="146">
        <f t="shared" si="92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95">H112*K112</f>
        <v>369873</v>
      </c>
      <c r="V112" s="100">
        <f t="shared" ref="V112:V117" si="96">I112*K112</f>
        <v>369873</v>
      </c>
    </row>
    <row r="113" spans="1:25" x14ac:dyDescent="0.25">
      <c r="A113" s="290"/>
      <c r="B113" s="293"/>
      <c r="C113" s="15" t="s">
        <v>166</v>
      </c>
      <c r="D113" s="64"/>
      <c r="E113" s="59">
        <v>17</v>
      </c>
      <c r="F113" s="59">
        <v>17</v>
      </c>
      <c r="G113" s="59">
        <f t="shared" si="91"/>
        <v>17</v>
      </c>
      <c r="H113" s="59">
        <v>17</v>
      </c>
      <c r="I113" s="59">
        <v>17</v>
      </c>
      <c r="J113" s="71">
        <f t="shared" si="93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94"/>
        <v>1128142.4400000002</v>
      </c>
      <c r="O113" s="146">
        <f t="shared" si="92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95"/>
        <v>1128142.4400000002</v>
      </c>
      <c r="V113" s="100">
        <f t="shared" si="96"/>
        <v>1128142.4400000002</v>
      </c>
    </row>
    <row r="114" spans="1:25" x14ac:dyDescent="0.25">
      <c r="A114" s="290"/>
      <c r="B114" s="293"/>
      <c r="C114" s="15" t="s">
        <v>167</v>
      </c>
      <c r="D114" s="64"/>
      <c r="E114" s="59">
        <v>1</v>
      </c>
      <c r="F114" s="59">
        <v>1</v>
      </c>
      <c r="G114" s="59">
        <f t="shared" si="91"/>
        <v>1</v>
      </c>
      <c r="H114" s="59">
        <v>1</v>
      </c>
      <c r="I114" s="59">
        <v>1</v>
      </c>
      <c r="J114" s="71">
        <f t="shared" si="93"/>
        <v>174890.83</v>
      </c>
      <c r="K114" s="75">
        <v>174890.83</v>
      </c>
      <c r="L114" s="72" t="s">
        <v>104</v>
      </c>
      <c r="M114" s="72" t="s">
        <v>104</v>
      </c>
      <c r="N114" s="140">
        <f t="shared" si="94"/>
        <v>174890.83</v>
      </c>
      <c r="O114" s="146">
        <f t="shared" si="92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95"/>
        <v>174890.83</v>
      </c>
      <c r="V114" s="100">
        <f t="shared" si="96"/>
        <v>174890.83</v>
      </c>
    </row>
    <row r="115" spans="1:25" x14ac:dyDescent="0.25">
      <c r="A115" s="290"/>
      <c r="B115" s="293"/>
      <c r="C115" s="15" t="s">
        <v>190</v>
      </c>
      <c r="D115" s="64"/>
      <c r="E115" s="59">
        <v>1</v>
      </c>
      <c r="F115" s="59">
        <v>1</v>
      </c>
      <c r="G115" s="157">
        <f t="shared" si="91"/>
        <v>1</v>
      </c>
      <c r="H115" s="59">
        <v>1</v>
      </c>
      <c r="I115" s="59">
        <v>1</v>
      </c>
      <c r="J115" s="71">
        <f t="shared" si="93"/>
        <v>178794.98</v>
      </c>
      <c r="K115" s="75">
        <v>178794.98</v>
      </c>
      <c r="L115" s="72"/>
      <c r="M115" s="72"/>
      <c r="N115" s="145">
        <f t="shared" si="94"/>
        <v>178794.98</v>
      </c>
      <c r="O115" s="146">
        <f t="shared" si="92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95"/>
        <v>178794.98</v>
      </c>
      <c r="V115" s="100">
        <f t="shared" si="96"/>
        <v>178794.98</v>
      </c>
    </row>
    <row r="116" spans="1:25" x14ac:dyDescent="0.25">
      <c r="A116" s="290"/>
      <c r="B116" s="293"/>
      <c r="C116" s="15" t="s">
        <v>170</v>
      </c>
      <c r="D116" s="64"/>
      <c r="E116" s="59">
        <v>1</v>
      </c>
      <c r="F116" s="59">
        <v>1</v>
      </c>
      <c r="G116" s="59">
        <f t="shared" si="91"/>
        <v>1</v>
      </c>
      <c r="H116" s="59">
        <v>1</v>
      </c>
      <c r="I116" s="59">
        <v>1</v>
      </c>
      <c r="J116" s="71">
        <f t="shared" si="93"/>
        <v>99648.29</v>
      </c>
      <c r="K116" s="75">
        <v>99648.29</v>
      </c>
      <c r="L116" s="72" t="s">
        <v>104</v>
      </c>
      <c r="M116" s="72" t="s">
        <v>104</v>
      </c>
      <c r="N116" s="140">
        <f t="shared" si="94"/>
        <v>99648.29</v>
      </c>
      <c r="O116" s="146">
        <f t="shared" si="92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95"/>
        <v>99648.29</v>
      </c>
      <c r="V116" s="100">
        <f t="shared" si="96"/>
        <v>99648.29</v>
      </c>
    </row>
    <row r="117" spans="1:25" x14ac:dyDescent="0.25">
      <c r="A117" s="290"/>
      <c r="B117" s="293"/>
      <c r="C117" s="63" t="s">
        <v>168</v>
      </c>
      <c r="D117" s="64"/>
      <c r="E117" s="59">
        <v>1</v>
      </c>
      <c r="F117" s="59">
        <v>1</v>
      </c>
      <c r="G117" s="157">
        <f t="shared" si="91"/>
        <v>1</v>
      </c>
      <c r="H117" s="59">
        <v>1</v>
      </c>
      <c r="I117" s="59">
        <v>1</v>
      </c>
      <c r="J117" s="71">
        <f t="shared" si="93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94"/>
        <v>23553.439999999999</v>
      </c>
      <c r="O117" s="146">
        <f t="shared" si="92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95"/>
        <v>23553.439999999999</v>
      </c>
      <c r="V117" s="100">
        <f t="shared" si="96"/>
        <v>23553.439999999999</v>
      </c>
    </row>
    <row r="118" spans="1:25" ht="120" x14ac:dyDescent="0.25">
      <c r="A118" s="290"/>
      <c r="B118" s="293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91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 t="shared" ref="U118:U212" si="97">H118*J118</f>
        <v>553567.08000000007</v>
      </c>
      <c r="V118" s="100">
        <f t="shared" ref="V118:V212" si="98">I118*J118</f>
        <v>553567.08000000007</v>
      </c>
    </row>
    <row r="119" spans="1:25" x14ac:dyDescent="0.25">
      <c r="A119" s="290"/>
      <c r="B119" s="294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 t="shared" ref="H119:I119" si="99">H108+H118</f>
        <v>272</v>
      </c>
      <c r="I119" s="123">
        <f t="shared" si="99"/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100">SUM(O108:O118)</f>
        <v>9509660.7999999989</v>
      </c>
      <c r="P119" s="71"/>
      <c r="Q119" s="71">
        <f t="shared" si="100"/>
        <v>1088541.2799999998</v>
      </c>
      <c r="R119" s="71"/>
      <c r="S119" s="71"/>
      <c r="T119" s="71">
        <f t="shared" si="100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90" x14ac:dyDescent="0.25">
      <c r="A120" s="290"/>
      <c r="B120" s="291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 t="shared" si="97"/>
        <v>11666779.92</v>
      </c>
      <c r="V120" s="75">
        <f t="shared" si="98"/>
        <v>11666779.92</v>
      </c>
      <c r="Y120" s="85"/>
    </row>
    <row r="121" spans="1:25" ht="111.75" customHeight="1" x14ac:dyDescent="0.25">
      <c r="A121" s="290"/>
      <c r="B121" s="291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 x14ac:dyDescent="0.25">
      <c r="A122" s="290"/>
      <c r="B122" s="291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 x14ac:dyDescent="0.25">
      <c r="A123" s="290"/>
      <c r="B123" s="291"/>
      <c r="C123" s="63" t="s">
        <v>167</v>
      </c>
      <c r="D123" s="64" t="s">
        <v>101</v>
      </c>
      <c r="E123" s="60">
        <v>1</v>
      </c>
      <c r="F123" s="60">
        <v>1</v>
      </c>
      <c r="G123" s="157">
        <f t="shared" ref="G123:G125" si="101">((E123*8)+(F123*4))/12</f>
        <v>1</v>
      </c>
      <c r="H123" s="60">
        <v>1</v>
      </c>
      <c r="I123" s="60">
        <v>1</v>
      </c>
      <c r="J123" s="71">
        <f t="shared" ref="J123:J124" si="102"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 t="shared" ref="N123:N124" si="103">O123</f>
        <v>266106.15000000002</v>
      </c>
      <c r="O123" s="146">
        <f t="shared" ref="O123:O124" si="104"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 t="shared" ref="U123:U124" si="105">H123*K123</f>
        <v>266106.15000000002</v>
      </c>
      <c r="V123" s="75">
        <f t="shared" ref="V123:V124" si="106">I123*K123</f>
        <v>266106.15000000002</v>
      </c>
    </row>
    <row r="124" spans="1:25" ht="21" customHeight="1" x14ac:dyDescent="0.25">
      <c r="A124" s="290"/>
      <c r="B124" s="291"/>
      <c r="C124" s="63" t="s">
        <v>168</v>
      </c>
      <c r="D124" s="64" t="s">
        <v>101</v>
      </c>
      <c r="E124" s="60">
        <v>3</v>
      </c>
      <c r="F124" s="60">
        <v>3</v>
      </c>
      <c r="G124" s="59">
        <f t="shared" si="101"/>
        <v>3</v>
      </c>
      <c r="H124" s="60">
        <v>3</v>
      </c>
      <c r="I124" s="60">
        <v>3</v>
      </c>
      <c r="J124" s="71">
        <f t="shared" si="102"/>
        <v>23553.439999999999</v>
      </c>
      <c r="K124" s="75">
        <v>23553.439999999999</v>
      </c>
      <c r="L124" s="59" t="s">
        <v>104</v>
      </c>
      <c r="M124" s="59" t="s">
        <v>104</v>
      </c>
      <c r="N124" s="71">
        <f t="shared" si="103"/>
        <v>70660.319999999992</v>
      </c>
      <c r="O124" s="146">
        <f t="shared" si="104"/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 t="shared" si="105"/>
        <v>70660.319999999992</v>
      </c>
      <c r="V124" s="75">
        <f t="shared" si="106"/>
        <v>70660.319999999992</v>
      </c>
    </row>
    <row r="125" spans="1:25" ht="120" x14ac:dyDescent="0.25">
      <c r="A125" s="290"/>
      <c r="B125" s="291"/>
      <c r="C125" s="61" t="s">
        <v>105</v>
      </c>
      <c r="D125" s="64" t="s">
        <v>101</v>
      </c>
      <c r="E125" s="60"/>
      <c r="F125" s="60">
        <v>0</v>
      </c>
      <c r="G125" s="59">
        <f t="shared" si="101"/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 x14ac:dyDescent="0.25">
      <c r="A126" s="290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 t="shared" ref="H126:I126" si="107">H120+H125</f>
        <v>226</v>
      </c>
      <c r="I126" s="122">
        <f t="shared" si="107"/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108">SUM(O120:O125)</f>
        <v>8656731.1700000018</v>
      </c>
      <c r="P126" s="74"/>
      <c r="Q126" s="74">
        <f t="shared" si="108"/>
        <v>904449.74</v>
      </c>
      <c r="R126" s="74"/>
      <c r="S126" s="74"/>
      <c r="T126" s="74">
        <f t="shared" si="108"/>
        <v>2627301.98</v>
      </c>
      <c r="U126" s="74">
        <f t="shared" si="108"/>
        <v>12188482.890000001</v>
      </c>
      <c r="V126" s="74">
        <f t="shared" si="108"/>
        <v>12188482.890000001</v>
      </c>
    </row>
    <row r="127" spans="1:25" ht="90" x14ac:dyDescent="0.25">
      <c r="A127" s="290"/>
      <c r="B127" s="291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 t="shared" si="97"/>
        <v>2936556</v>
      </c>
      <c r="V127" s="75">
        <f t="shared" si="98"/>
        <v>2936556</v>
      </c>
    </row>
    <row r="128" spans="1:25" ht="120" x14ac:dyDescent="0.25">
      <c r="A128" s="290"/>
      <c r="B128" s="291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 x14ac:dyDescent="0.25">
      <c r="A129" s="290"/>
      <c r="B129" s="291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 t="shared" ref="J129" si="109"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 t="shared" ref="N129" si="110"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 t="shared" ref="U129" si="111">H129*K129</f>
        <v>0</v>
      </c>
      <c r="V129" s="75">
        <f t="shared" ref="V129" si="112">I129*K129</f>
        <v>0</v>
      </c>
    </row>
    <row r="130" spans="1:22" ht="120" x14ac:dyDescent="0.25">
      <c r="A130" s="290"/>
      <c r="B130" s="291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 t="shared" si="97"/>
        <v>0</v>
      </c>
      <c r="V130" s="75">
        <f t="shared" si="98"/>
        <v>0</v>
      </c>
    </row>
    <row r="131" spans="1:22" x14ac:dyDescent="0.25">
      <c r="A131" s="290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 t="shared" ref="G131" si="113"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114">SUM(N127:N130)</f>
        <v>2936556</v>
      </c>
      <c r="O131" s="74">
        <f t="shared" si="114"/>
        <v>2155195</v>
      </c>
      <c r="P131" s="74"/>
      <c r="Q131" s="74">
        <f t="shared" si="114"/>
        <v>200099.5</v>
      </c>
      <c r="R131" s="74"/>
      <c r="S131" s="74"/>
      <c r="T131" s="74">
        <f t="shared" si="114"/>
        <v>581261.5</v>
      </c>
      <c r="U131" s="74">
        <f t="shared" si="114"/>
        <v>2936556</v>
      </c>
      <c r="V131" s="74">
        <f t="shared" si="114"/>
        <v>2936556</v>
      </c>
    </row>
    <row r="132" spans="1:22" ht="105" x14ac:dyDescent="0.25">
      <c r="A132" s="290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 t="shared" si="97"/>
        <v>2598130.2800000003</v>
      </c>
      <c r="V132" s="75">
        <f t="shared" si="98"/>
        <v>2598130.2800000003</v>
      </c>
    </row>
    <row r="133" spans="1:22" x14ac:dyDescent="0.25">
      <c r="A133" s="290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115">SUM(M132:M132)</f>
        <v>0</v>
      </c>
      <c r="N133" s="74">
        <f t="shared" si="115"/>
        <v>2598130.2800000003</v>
      </c>
      <c r="O133" s="74">
        <f t="shared" si="115"/>
        <v>2598130.2800000003</v>
      </c>
      <c r="P133" s="74"/>
      <c r="Q133" s="74">
        <f t="shared" si="115"/>
        <v>0</v>
      </c>
      <c r="R133" s="74"/>
      <c r="S133" s="74"/>
      <c r="T133" s="74">
        <f t="shared" si="115"/>
        <v>0</v>
      </c>
      <c r="U133" s="74">
        <f t="shared" si="115"/>
        <v>2598130.2800000003</v>
      </c>
      <c r="V133" s="74">
        <f t="shared" si="115"/>
        <v>2598130.2800000003</v>
      </c>
    </row>
    <row r="134" spans="1:22" x14ac:dyDescent="0.25">
      <c r="A134" s="290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90" x14ac:dyDescent="0.25">
      <c r="A135" s="290" t="s">
        <v>113</v>
      </c>
      <c r="B135" s="291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 t="shared" si="97"/>
        <v>10465570.17</v>
      </c>
      <c r="V135" s="75">
        <f t="shared" si="98"/>
        <v>10465570.17</v>
      </c>
    </row>
    <row r="136" spans="1:22" ht="135" x14ac:dyDescent="0.25">
      <c r="A136" s="290"/>
      <c r="B136" s="291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 x14ac:dyDescent="0.25">
      <c r="A137" s="290"/>
      <c r="B137" s="291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 t="shared" ref="J137:J141" si="116">K137</f>
        <v>69362.66</v>
      </c>
      <c r="K137" s="71">
        <v>69362.66</v>
      </c>
      <c r="L137" s="59"/>
      <c r="M137" s="59"/>
      <c r="N137" s="71">
        <f t="shared" ref="N137:N141" si="117">O137</f>
        <v>416175.96</v>
      </c>
      <c r="O137" s="146">
        <f t="shared" ref="O137:O142" si="118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 t="shared" ref="U137:U141" si="119">H137*K137</f>
        <v>416175.96</v>
      </c>
      <c r="V137" s="75">
        <f t="shared" ref="V137:V141" si="120">I137*K137</f>
        <v>416175.96</v>
      </c>
    </row>
    <row r="138" spans="1:22" x14ac:dyDescent="0.25">
      <c r="A138" s="290"/>
      <c r="B138" s="291"/>
      <c r="C138" s="63" t="s">
        <v>166</v>
      </c>
      <c r="D138" s="64" t="s">
        <v>101</v>
      </c>
      <c r="E138" s="59">
        <v>8</v>
      </c>
      <c r="F138" s="59">
        <v>8</v>
      </c>
      <c r="G138" s="59">
        <f t="shared" ref="G138:G141" si="121">((E138*8)+(F138*4))/12</f>
        <v>8</v>
      </c>
      <c r="H138" s="59">
        <v>8</v>
      </c>
      <c r="I138" s="59">
        <v>8</v>
      </c>
      <c r="J138" s="75">
        <f t="shared" si="116"/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118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 t="shared" si="119"/>
        <v>530890.56000000006</v>
      </c>
      <c r="V138" s="75">
        <f t="shared" si="120"/>
        <v>530890.56000000006</v>
      </c>
    </row>
    <row r="139" spans="1:22" x14ac:dyDescent="0.25">
      <c r="A139" s="290"/>
      <c r="B139" s="291"/>
      <c r="C139" s="63" t="s">
        <v>167</v>
      </c>
      <c r="D139" s="64" t="s">
        <v>101</v>
      </c>
      <c r="E139" s="59">
        <v>4</v>
      </c>
      <c r="F139" s="59">
        <v>4</v>
      </c>
      <c r="G139" s="59">
        <f t="shared" si="121"/>
        <v>4</v>
      </c>
      <c r="H139" s="59">
        <v>4</v>
      </c>
      <c r="I139" s="59">
        <v>4</v>
      </c>
      <c r="J139" s="75">
        <f t="shared" si="116"/>
        <v>174890.83</v>
      </c>
      <c r="K139" s="75">
        <v>174890.83</v>
      </c>
      <c r="L139" s="59" t="s">
        <v>104</v>
      </c>
      <c r="M139" s="59" t="s">
        <v>104</v>
      </c>
      <c r="N139" s="71">
        <f t="shared" si="117"/>
        <v>699563.32</v>
      </c>
      <c r="O139" s="146">
        <f t="shared" si="118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 t="shared" si="119"/>
        <v>699563.32</v>
      </c>
      <c r="V139" s="75">
        <f t="shared" si="120"/>
        <v>699563.32</v>
      </c>
    </row>
    <row r="140" spans="1:22" x14ac:dyDescent="0.25">
      <c r="A140" s="290"/>
      <c r="B140" s="291"/>
      <c r="C140" s="63" t="s">
        <v>170</v>
      </c>
      <c r="D140" s="64" t="s">
        <v>101</v>
      </c>
      <c r="E140" s="59">
        <v>1</v>
      </c>
      <c r="F140" s="59">
        <v>1</v>
      </c>
      <c r="G140" s="59">
        <f t="shared" si="121"/>
        <v>1</v>
      </c>
      <c r="H140" s="59">
        <v>1</v>
      </c>
      <c r="I140" s="59">
        <v>1</v>
      </c>
      <c r="J140" s="75">
        <f t="shared" si="116"/>
        <v>99648.29</v>
      </c>
      <c r="K140" s="75">
        <v>99648.29</v>
      </c>
      <c r="L140" s="59"/>
      <c r="M140" s="59"/>
      <c r="N140" s="71">
        <f t="shared" si="117"/>
        <v>99648.29</v>
      </c>
      <c r="O140" s="146">
        <f t="shared" si="118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 t="shared" si="119"/>
        <v>99648.29</v>
      </c>
      <c r="V140" s="75">
        <f t="shared" si="120"/>
        <v>99648.29</v>
      </c>
    </row>
    <row r="141" spans="1:22" x14ac:dyDescent="0.25">
      <c r="A141" s="290"/>
      <c r="B141" s="291"/>
      <c r="C141" s="63" t="s">
        <v>168</v>
      </c>
      <c r="D141" s="64" t="s">
        <v>101</v>
      </c>
      <c r="E141" s="59">
        <v>1</v>
      </c>
      <c r="F141" s="59">
        <v>1</v>
      </c>
      <c r="G141" s="59">
        <f t="shared" si="121"/>
        <v>1</v>
      </c>
      <c r="H141" s="59">
        <v>1</v>
      </c>
      <c r="I141" s="59">
        <v>1</v>
      </c>
      <c r="J141" s="75">
        <f t="shared" si="116"/>
        <v>23553.439999999999</v>
      </c>
      <c r="K141" s="75">
        <v>23553.439999999999</v>
      </c>
      <c r="L141" s="59" t="s">
        <v>104</v>
      </c>
      <c r="M141" s="59" t="s">
        <v>104</v>
      </c>
      <c r="N141" s="71">
        <f t="shared" si="117"/>
        <v>23553.439999999999</v>
      </c>
      <c r="O141" s="146">
        <f t="shared" si="118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 t="shared" si="119"/>
        <v>23553.439999999999</v>
      </c>
      <c r="V141" s="75">
        <f t="shared" si="120"/>
        <v>23553.439999999999</v>
      </c>
    </row>
    <row r="142" spans="1:22" ht="120" x14ac:dyDescent="0.25">
      <c r="A142" s="290"/>
      <c r="B142" s="291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118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 t="shared" si="97"/>
        <v>0</v>
      </c>
      <c r="V142" s="75">
        <f t="shared" si="98"/>
        <v>0</v>
      </c>
    </row>
    <row r="143" spans="1:22" x14ac:dyDescent="0.25">
      <c r="A143" s="290"/>
      <c r="B143" s="291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122">SUM(N135:N142)</f>
        <v>12235401.74</v>
      </c>
      <c r="O143" s="71">
        <f t="shared" si="122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122"/>
        <v>3034185.03</v>
      </c>
      <c r="U143" s="75">
        <f>SUM(U135:U142)</f>
        <v>12235401.74</v>
      </c>
      <c r="V143" s="75">
        <f>SUM(V135:V142)</f>
        <v>12235401.74</v>
      </c>
    </row>
    <row r="144" spans="1:22" ht="90" x14ac:dyDescent="0.25">
      <c r="A144" s="290"/>
      <c r="B144" s="291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 t="shared" ref="G144" si="123"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 t="shared" si="97"/>
        <v>11563534.08</v>
      </c>
      <c r="V144" s="75">
        <f t="shared" si="98"/>
        <v>11563534.08</v>
      </c>
    </row>
    <row r="145" spans="1:24" ht="120" x14ac:dyDescent="0.25">
      <c r="A145" s="290"/>
      <c r="B145" s="291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 x14ac:dyDescent="0.25">
      <c r="A146" s="290"/>
      <c r="B146" s="291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124">((E146*8)+(F146*4))/12</f>
        <v>1</v>
      </c>
      <c r="H146" s="60">
        <v>1</v>
      </c>
      <c r="I146" s="60">
        <v>1</v>
      </c>
      <c r="J146" s="75">
        <f t="shared" ref="J146:J148" si="125"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 t="shared" ref="N146:N148" si="126"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 t="shared" ref="U146:U148" si="127">H146*K146</f>
        <v>266106.15000000002</v>
      </c>
      <c r="V146" s="75">
        <f t="shared" ref="V146:V148" si="128">I146*K146</f>
        <v>266106.15000000002</v>
      </c>
    </row>
    <row r="147" spans="1:24" x14ac:dyDescent="0.25">
      <c r="A147" s="290"/>
      <c r="B147" s="291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124"/>
        <v>2</v>
      </c>
      <c r="H147" s="60">
        <v>2</v>
      </c>
      <c r="I147" s="60">
        <v>2</v>
      </c>
      <c r="J147" s="75">
        <f t="shared" si="125"/>
        <v>32769.75</v>
      </c>
      <c r="K147" s="75">
        <v>32769.75</v>
      </c>
      <c r="L147" s="59" t="s">
        <v>104</v>
      </c>
      <c r="M147" s="59" t="s">
        <v>104</v>
      </c>
      <c r="N147" s="71">
        <f t="shared" si="126"/>
        <v>65539.5</v>
      </c>
      <c r="O147" s="146">
        <f t="shared" ref="O147:O148" si="129"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 t="shared" si="127"/>
        <v>65539.5</v>
      </c>
      <c r="V147" s="75">
        <f t="shared" si="128"/>
        <v>65539.5</v>
      </c>
    </row>
    <row r="148" spans="1:24" x14ac:dyDescent="0.25">
      <c r="A148" s="290"/>
      <c r="B148" s="291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124"/>
        <v>5</v>
      </c>
      <c r="H148" s="60">
        <v>5</v>
      </c>
      <c r="I148" s="60">
        <v>5</v>
      </c>
      <c r="J148" s="75">
        <f t="shared" si="125"/>
        <v>23553.439999999999</v>
      </c>
      <c r="K148" s="75">
        <v>23553.439999999999</v>
      </c>
      <c r="L148" s="59" t="s">
        <v>104</v>
      </c>
      <c r="M148" s="59" t="s">
        <v>104</v>
      </c>
      <c r="N148" s="71">
        <f t="shared" si="126"/>
        <v>117767.2</v>
      </c>
      <c r="O148" s="146">
        <f t="shared" si="129"/>
        <v>117767.2</v>
      </c>
      <c r="P148" s="146"/>
      <c r="Q148" s="59" t="s">
        <v>104</v>
      </c>
      <c r="R148" s="59"/>
      <c r="S148" s="59"/>
      <c r="T148" s="59" t="s">
        <v>104</v>
      </c>
      <c r="U148" s="75">
        <f t="shared" si="127"/>
        <v>117767.2</v>
      </c>
      <c r="V148" s="75">
        <f t="shared" si="128"/>
        <v>117767.2</v>
      </c>
    </row>
    <row r="149" spans="1:24" ht="120" x14ac:dyDescent="0.25">
      <c r="A149" s="290"/>
      <c r="B149" s="291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124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 t="shared" si="97"/>
        <v>337369</v>
      </c>
      <c r="V149" s="75">
        <f t="shared" si="98"/>
        <v>337369</v>
      </c>
    </row>
    <row r="150" spans="1:24" x14ac:dyDescent="0.25">
      <c r="A150" s="290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130">SUM(N144:N149)</f>
        <v>12350315.93</v>
      </c>
      <c r="O150" s="74">
        <f t="shared" si="130"/>
        <v>8818564.2100000009</v>
      </c>
      <c r="P150" s="74"/>
      <c r="Q150" s="74">
        <f t="shared" si="130"/>
        <v>904449.74</v>
      </c>
      <c r="R150" s="74"/>
      <c r="S150" s="74"/>
      <c r="T150" s="74">
        <f t="shared" si="130"/>
        <v>2627301.98</v>
      </c>
      <c r="U150" s="75">
        <f t="shared" si="130"/>
        <v>12350315.93</v>
      </c>
      <c r="V150" s="75">
        <f t="shared" si="130"/>
        <v>12350315.93</v>
      </c>
    </row>
    <row r="151" spans="1:24" ht="90" x14ac:dyDescent="0.25">
      <c r="A151" s="290"/>
      <c r="B151" s="291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124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 t="shared" si="97"/>
        <v>2290513.6799999997</v>
      </c>
      <c r="V151" s="75">
        <f t="shared" si="98"/>
        <v>2290513.6799999997</v>
      </c>
    </row>
    <row r="152" spans="1:24" ht="120" x14ac:dyDescent="0.25">
      <c r="A152" s="290"/>
      <c r="B152" s="291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 x14ac:dyDescent="0.25">
      <c r="A153" s="290"/>
      <c r="B153" s="291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124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20" x14ac:dyDescent="0.25">
      <c r="A154" s="290"/>
      <c r="B154" s="291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 x14ac:dyDescent="0.25">
      <c r="A155" s="290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131">SUM(N151:N154)</f>
        <v>2314067.1199999996</v>
      </c>
      <c r="O155" s="74">
        <f t="shared" si="131"/>
        <v>1704605.54</v>
      </c>
      <c r="P155" s="74"/>
      <c r="Q155" s="74">
        <f t="shared" si="131"/>
        <v>156077.60999999999</v>
      </c>
      <c r="R155" s="74"/>
      <c r="S155" s="74"/>
      <c r="T155" s="74">
        <f t="shared" si="131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105" x14ac:dyDescent="0.25">
      <c r="A156" s="290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 t="shared" ref="G156" si="132"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 t="shared" si="97"/>
        <v>3087517.7600000002</v>
      </c>
      <c r="V156" s="75">
        <f t="shared" si="98"/>
        <v>3087517.7600000002</v>
      </c>
    </row>
    <row r="157" spans="1:24" x14ac:dyDescent="0.25">
      <c r="A157" s="290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133">SUM(M156:M156)</f>
        <v>0</v>
      </c>
      <c r="N157" s="74">
        <f t="shared" si="133"/>
        <v>3087517.7600000002</v>
      </c>
      <c r="O157" s="74">
        <f t="shared" si="133"/>
        <v>3087517.7600000002</v>
      </c>
      <c r="P157" s="74"/>
      <c r="Q157" s="74">
        <f t="shared" si="133"/>
        <v>0</v>
      </c>
      <c r="R157" s="74"/>
      <c r="S157" s="74"/>
      <c r="T157" s="74">
        <f t="shared" si="133"/>
        <v>0</v>
      </c>
      <c r="U157" s="75">
        <f t="shared" si="133"/>
        <v>3087517.7600000002</v>
      </c>
      <c r="V157" s="75">
        <f t="shared" si="133"/>
        <v>3087517.7600000002</v>
      </c>
    </row>
    <row r="158" spans="1:24" x14ac:dyDescent="0.25">
      <c r="A158" s="290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90" x14ac:dyDescent="0.25">
      <c r="A159" s="290" t="s">
        <v>114</v>
      </c>
      <c r="B159" s="291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134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 t="shared" si="97"/>
        <v>8460671.6699999999</v>
      </c>
      <c r="V159" s="75">
        <f t="shared" si="98"/>
        <v>8460671.6699999999</v>
      </c>
    </row>
    <row r="160" spans="1:24" ht="135" x14ac:dyDescent="0.25">
      <c r="A160" s="290"/>
      <c r="B160" s="291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 x14ac:dyDescent="0.25">
      <c r="A161" s="290"/>
      <c r="B161" s="291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134"/>
        <v>1</v>
      </c>
      <c r="H161" s="59">
        <v>1</v>
      </c>
      <c r="I161" s="59">
        <v>1</v>
      </c>
      <c r="J161" s="75">
        <f t="shared" ref="J161:J165" si="135"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 x14ac:dyDescent="0.25">
      <c r="A162" s="290"/>
      <c r="B162" s="291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134"/>
        <v>4</v>
      </c>
      <c r="H162" s="59">
        <v>4</v>
      </c>
      <c r="I162" s="59">
        <v>4</v>
      </c>
      <c r="J162" s="75">
        <f t="shared" si="135"/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ref="O162:O166" si="136">G162*K162</f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 x14ac:dyDescent="0.25">
      <c r="A163" s="290"/>
      <c r="B163" s="291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134"/>
        <v>7</v>
      </c>
      <c r="H163" s="59">
        <v>7</v>
      </c>
      <c r="I163" s="59">
        <v>7</v>
      </c>
      <c r="J163" s="75">
        <f t="shared" si="135"/>
        <v>69362.66</v>
      </c>
      <c r="K163" s="75">
        <v>69362.66</v>
      </c>
      <c r="L163" s="59" t="s">
        <v>104</v>
      </c>
      <c r="M163" s="59" t="s">
        <v>104</v>
      </c>
      <c r="N163" s="71">
        <f t="shared" ref="N163:N165" si="137">O163</f>
        <v>485538.62</v>
      </c>
      <c r="O163" s="146">
        <f t="shared" si="136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 t="shared" ref="U163:U165" si="138">H163*K163</f>
        <v>485538.62</v>
      </c>
      <c r="V163" s="75">
        <f t="shared" ref="V163:V165" si="139">I163*K163</f>
        <v>485538.62</v>
      </c>
    </row>
    <row r="164" spans="1:22" x14ac:dyDescent="0.25">
      <c r="A164" s="290"/>
      <c r="B164" s="291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134"/>
        <v>4</v>
      </c>
      <c r="H164" s="59">
        <v>4</v>
      </c>
      <c r="I164" s="59">
        <v>4</v>
      </c>
      <c r="J164" s="75">
        <f t="shared" si="135"/>
        <v>66361.320000000007</v>
      </c>
      <c r="K164" s="75">
        <v>66361.320000000007</v>
      </c>
      <c r="L164" s="59" t="s">
        <v>104</v>
      </c>
      <c r="M164" s="59" t="s">
        <v>104</v>
      </c>
      <c r="N164" s="71">
        <f t="shared" si="137"/>
        <v>265445.28000000003</v>
      </c>
      <c r="O164" s="146">
        <f t="shared" si="136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 t="shared" si="138"/>
        <v>265445.28000000003</v>
      </c>
      <c r="V164" s="75">
        <f t="shared" si="139"/>
        <v>265445.28000000003</v>
      </c>
    </row>
    <row r="165" spans="1:22" x14ac:dyDescent="0.25">
      <c r="A165" s="290"/>
      <c r="B165" s="291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134"/>
        <v>1</v>
      </c>
      <c r="H165" s="59">
        <v>1</v>
      </c>
      <c r="I165" s="59">
        <v>1</v>
      </c>
      <c r="J165" s="75">
        <f t="shared" si="135"/>
        <v>23553.439999999999</v>
      </c>
      <c r="K165" s="75">
        <v>23553.439999999999</v>
      </c>
      <c r="L165" s="59" t="s">
        <v>104</v>
      </c>
      <c r="M165" s="59" t="s">
        <v>104</v>
      </c>
      <c r="N165" s="71">
        <f t="shared" si="137"/>
        <v>23553.439999999999</v>
      </c>
      <c r="O165" s="146">
        <f t="shared" si="136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 t="shared" si="138"/>
        <v>23553.439999999999</v>
      </c>
      <c r="V165" s="75">
        <f t="shared" si="139"/>
        <v>23553.439999999999</v>
      </c>
    </row>
    <row r="166" spans="1:22" ht="120" x14ac:dyDescent="0.25">
      <c r="A166" s="290"/>
      <c r="B166" s="291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134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136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 t="shared" si="97"/>
        <v>138391.77000000002</v>
      </c>
      <c r="V166" s="75">
        <f t="shared" si="98"/>
        <v>138391.77000000002</v>
      </c>
    </row>
    <row r="167" spans="1:22" x14ac:dyDescent="0.25">
      <c r="A167" s="290"/>
      <c r="B167" s="291"/>
      <c r="C167" s="66" t="s">
        <v>106</v>
      </c>
      <c r="D167" s="67"/>
      <c r="E167" s="59">
        <f>E159+E166</f>
        <v>212</v>
      </c>
      <c r="F167" s="59">
        <f t="shared" ref="F167:I167" si="140">F159+F166</f>
        <v>212</v>
      </c>
      <c r="G167" s="59">
        <f>G159+G166</f>
        <v>212</v>
      </c>
      <c r="H167" s="59">
        <f t="shared" si="140"/>
        <v>212</v>
      </c>
      <c r="I167" s="59">
        <f t="shared" si="140"/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141">SUM(N159:N166)</f>
        <v>9545322.3199999984</v>
      </c>
      <c r="O167" s="71">
        <f t="shared" si="141"/>
        <v>6232351.6800000006</v>
      </c>
      <c r="P167" s="71"/>
      <c r="Q167" s="71">
        <f t="shared" si="141"/>
        <v>848421.87999999989</v>
      </c>
      <c r="R167" s="71"/>
      <c r="S167" s="71"/>
      <c r="T167" s="71">
        <f t="shared" si="141"/>
        <v>2464548.7599999998</v>
      </c>
      <c r="U167" s="71">
        <f t="shared" si="141"/>
        <v>9545322.3199999984</v>
      </c>
      <c r="V167" s="71">
        <f t="shared" si="141"/>
        <v>9545322.3199999984</v>
      </c>
    </row>
    <row r="168" spans="1:22" ht="90" x14ac:dyDescent="0.25">
      <c r="A168" s="290"/>
      <c r="B168" s="291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134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 t="shared" si="97"/>
        <v>11511911.16</v>
      </c>
      <c r="V168" s="75">
        <f t="shared" si="98"/>
        <v>11511911.16</v>
      </c>
    </row>
    <row r="169" spans="1:22" ht="135" x14ac:dyDescent="0.25">
      <c r="A169" s="290"/>
      <c r="B169" s="291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 x14ac:dyDescent="0.25">
      <c r="A170" s="290"/>
      <c r="B170" s="291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134"/>
        <v>1</v>
      </c>
      <c r="H170" s="60">
        <v>1</v>
      </c>
      <c r="I170" s="60">
        <v>1</v>
      </c>
      <c r="J170" s="75">
        <f t="shared" ref="J170:J171" si="142">K170</f>
        <v>69362.66</v>
      </c>
      <c r="K170" s="75">
        <v>69362.66</v>
      </c>
      <c r="L170" s="59" t="s">
        <v>104</v>
      </c>
      <c r="M170" s="59" t="s">
        <v>104</v>
      </c>
      <c r="N170" s="71">
        <f t="shared" ref="N170:N171" si="143"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 x14ac:dyDescent="0.25">
      <c r="A171" s="290"/>
      <c r="B171" s="291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134"/>
        <v>1</v>
      </c>
      <c r="H171" s="60">
        <v>1</v>
      </c>
      <c r="I171" s="60">
        <v>1</v>
      </c>
      <c r="J171" s="75">
        <f t="shared" si="142"/>
        <v>92468.25</v>
      </c>
      <c r="K171" s="75">
        <v>92468.25</v>
      </c>
      <c r="L171" s="59" t="s">
        <v>104</v>
      </c>
      <c r="M171" s="59" t="s">
        <v>104</v>
      </c>
      <c r="N171" s="71">
        <f t="shared" si="143"/>
        <v>92468.25</v>
      </c>
      <c r="O171" s="146">
        <f t="shared" ref="O171:O173" si="144"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 t="shared" ref="U171:U172" si="145">H171*K171</f>
        <v>92468.25</v>
      </c>
      <c r="V171" s="75">
        <f t="shared" ref="V171:V172" si="146">I171*K171</f>
        <v>92468.25</v>
      </c>
    </row>
    <row r="172" spans="1:22" x14ac:dyDescent="0.25">
      <c r="A172" s="290"/>
      <c r="B172" s="291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134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 t="shared" si="144"/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 t="shared" si="145"/>
        <v>141320.63999999998</v>
      </c>
      <c r="V172" s="75">
        <f t="shared" si="146"/>
        <v>141320.63999999998</v>
      </c>
    </row>
    <row r="173" spans="1:22" ht="120" x14ac:dyDescent="0.25">
      <c r="A173" s="290"/>
      <c r="B173" s="291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134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 t="shared" si="144"/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 t="shared" si="97"/>
        <v>506053.5</v>
      </c>
      <c r="V173" s="75">
        <f t="shared" si="98"/>
        <v>506053.5</v>
      </c>
    </row>
    <row r="174" spans="1:22" x14ac:dyDescent="0.25">
      <c r="A174" s="290"/>
      <c r="B174" s="110"/>
      <c r="C174" s="66" t="s">
        <v>106</v>
      </c>
      <c r="D174" s="64"/>
      <c r="E174" s="60">
        <f>E168+E173</f>
        <v>226</v>
      </c>
      <c r="F174" s="60">
        <f t="shared" ref="F174:I174" si="147">F168+F173</f>
        <v>226</v>
      </c>
      <c r="G174" s="60">
        <f t="shared" si="147"/>
        <v>226</v>
      </c>
      <c r="H174" s="60">
        <f t="shared" si="147"/>
        <v>226</v>
      </c>
      <c r="I174" s="60">
        <f t="shared" si="147"/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148">SUM(N168:N173)</f>
        <v>12321116.210000001</v>
      </c>
      <c r="O174" s="74">
        <f t="shared" si="148"/>
        <v>8789364.4900000002</v>
      </c>
      <c r="P174" s="74"/>
      <c r="Q174" s="74">
        <f t="shared" si="148"/>
        <v>904449.73999999987</v>
      </c>
      <c r="R174" s="74"/>
      <c r="S174" s="74"/>
      <c r="T174" s="74">
        <f t="shared" si="148"/>
        <v>2627301.98</v>
      </c>
      <c r="U174" s="74">
        <f t="shared" si="148"/>
        <v>12321116.210000001</v>
      </c>
      <c r="V174" s="74">
        <f t="shared" si="148"/>
        <v>12321116.210000001</v>
      </c>
    </row>
    <row r="175" spans="1:22" ht="90" x14ac:dyDescent="0.25">
      <c r="A175" s="290"/>
      <c r="B175" s="291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134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 t="shared" si="97"/>
        <v>3993716.1599999997</v>
      </c>
      <c r="V175" s="75">
        <f t="shared" si="98"/>
        <v>3993716.1599999997</v>
      </c>
    </row>
    <row r="176" spans="1:22" ht="135" x14ac:dyDescent="0.25">
      <c r="A176" s="290"/>
      <c r="B176" s="291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 x14ac:dyDescent="0.25">
      <c r="A177" s="290"/>
      <c r="B177" s="291"/>
      <c r="C177" s="63" t="s">
        <v>165</v>
      </c>
      <c r="D177" s="64" t="s">
        <v>101</v>
      </c>
      <c r="E177" s="60"/>
      <c r="F177" s="60"/>
      <c r="G177" s="59">
        <f t="shared" si="134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 x14ac:dyDescent="0.25">
      <c r="A178" s="290"/>
      <c r="B178" s="291"/>
      <c r="C178" s="63" t="s">
        <v>168</v>
      </c>
      <c r="D178" s="64" t="s">
        <v>101</v>
      </c>
      <c r="E178" s="60"/>
      <c r="F178" s="60"/>
      <c r="G178" s="59">
        <f t="shared" si="134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20" x14ac:dyDescent="0.25">
      <c r="A179" s="290"/>
      <c r="B179" s="291"/>
      <c r="C179" s="61" t="s">
        <v>105</v>
      </c>
      <c r="D179" s="64" t="s">
        <v>101</v>
      </c>
      <c r="E179" s="60"/>
      <c r="F179" s="60"/>
      <c r="G179" s="59">
        <f t="shared" si="134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 t="shared" si="97"/>
        <v>0</v>
      </c>
      <c r="V179" s="75">
        <f t="shared" si="98"/>
        <v>0</v>
      </c>
    </row>
    <row r="180" spans="1:22" x14ac:dyDescent="0.25">
      <c r="A180" s="290"/>
      <c r="B180" s="110"/>
      <c r="C180" s="66" t="s">
        <v>106</v>
      </c>
      <c r="D180" s="64"/>
      <c r="E180" s="60">
        <f>E175+E179</f>
        <v>68</v>
      </c>
      <c r="F180" s="60">
        <f t="shared" ref="F180:I180" si="149">F175+F179</f>
        <v>68</v>
      </c>
      <c r="G180" s="60">
        <f t="shared" si="149"/>
        <v>68</v>
      </c>
      <c r="H180" s="60">
        <f t="shared" si="149"/>
        <v>68</v>
      </c>
      <c r="I180" s="60">
        <f t="shared" si="149"/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150">SUM(N175:N179)</f>
        <v>3993716.16</v>
      </c>
      <c r="O180" s="74">
        <f t="shared" si="150"/>
        <v>2931065.2</v>
      </c>
      <c r="P180" s="74"/>
      <c r="Q180" s="74">
        <f t="shared" si="150"/>
        <v>272135.32</v>
      </c>
      <c r="R180" s="74"/>
      <c r="S180" s="74"/>
      <c r="T180" s="74">
        <f t="shared" si="150"/>
        <v>790515.64</v>
      </c>
      <c r="U180" s="74">
        <f t="shared" si="150"/>
        <v>3993716.1599999997</v>
      </c>
      <c r="V180" s="74">
        <f t="shared" si="150"/>
        <v>3993716.1599999997</v>
      </c>
    </row>
    <row r="181" spans="1:22" ht="105" x14ac:dyDescent="0.25">
      <c r="A181" s="290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134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 t="shared" si="97"/>
        <v>1694951.76</v>
      </c>
      <c r="V181" s="75">
        <f t="shared" si="98"/>
        <v>1694951.76</v>
      </c>
    </row>
    <row r="182" spans="1:22" x14ac:dyDescent="0.25">
      <c r="A182" s="290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151">SUM(M181:M181)</f>
        <v>0</v>
      </c>
      <c r="N182" s="74">
        <f t="shared" si="151"/>
        <v>1694951.76</v>
      </c>
      <c r="O182" s="74">
        <f t="shared" si="151"/>
        <v>1694951.76</v>
      </c>
      <c r="P182" s="74"/>
      <c r="Q182" s="74">
        <f t="shared" si="151"/>
        <v>0</v>
      </c>
      <c r="R182" s="74"/>
      <c r="S182" s="74"/>
      <c r="T182" s="74">
        <f t="shared" si="151"/>
        <v>0</v>
      </c>
      <c r="U182" s="75">
        <f t="shared" si="151"/>
        <v>1694951.76</v>
      </c>
      <c r="V182" s="75">
        <f t="shared" si="151"/>
        <v>1694951.76</v>
      </c>
    </row>
    <row r="183" spans="1:22" x14ac:dyDescent="0.25">
      <c r="A183" s="290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90" x14ac:dyDescent="0.25">
      <c r="A184" s="290" t="s">
        <v>115</v>
      </c>
      <c r="B184" s="291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152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 t="shared" si="97"/>
        <v>8300279.79</v>
      </c>
      <c r="V184" s="75">
        <f t="shared" si="98"/>
        <v>8300279.79</v>
      </c>
    </row>
    <row r="185" spans="1:22" ht="135" x14ac:dyDescent="0.25">
      <c r="A185" s="290"/>
      <c r="B185" s="291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 x14ac:dyDescent="0.25">
      <c r="A186" s="290"/>
      <c r="B186" s="291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152"/>
        <v>1</v>
      </c>
      <c r="H186" s="59">
        <v>1</v>
      </c>
      <c r="I186" s="59">
        <v>1</v>
      </c>
      <c r="J186" s="75">
        <f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88" si="153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88" si="154">H186*K186</f>
        <v>25589.72</v>
      </c>
      <c r="V186" s="75">
        <f t="shared" ref="V186:V188" si="155">I186*K186</f>
        <v>25589.72</v>
      </c>
    </row>
    <row r="187" spans="1:22" x14ac:dyDescent="0.25">
      <c r="A187" s="290"/>
      <c r="B187" s="291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152"/>
        <v>10</v>
      </c>
      <c r="H187" s="59">
        <v>10</v>
      </c>
      <c r="I187" s="59">
        <v>10</v>
      </c>
      <c r="J187" s="75">
        <f>K187</f>
        <v>69362.66</v>
      </c>
      <c r="K187" s="71">
        <v>69362.66</v>
      </c>
      <c r="L187" s="59" t="s">
        <v>104</v>
      </c>
      <c r="M187" s="59" t="s">
        <v>104</v>
      </c>
      <c r="N187" s="71">
        <f t="shared" si="153"/>
        <v>693626.60000000009</v>
      </c>
      <c r="O187" s="146">
        <f t="shared" ref="O187:O192" si="156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154"/>
        <v>693626.60000000009</v>
      </c>
      <c r="V187" s="75">
        <f t="shared" si="155"/>
        <v>693626.60000000009</v>
      </c>
    </row>
    <row r="188" spans="1:22" x14ac:dyDescent="0.25">
      <c r="A188" s="290"/>
      <c r="B188" s="291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152"/>
        <v>1</v>
      </c>
      <c r="H188" s="59">
        <v>1</v>
      </c>
      <c r="I188" s="59">
        <v>1</v>
      </c>
      <c r="J188" s="75">
        <f>K188</f>
        <v>92468.25</v>
      </c>
      <c r="K188" s="71">
        <v>92468.25</v>
      </c>
      <c r="L188" s="59" t="s">
        <v>104</v>
      </c>
      <c r="M188" s="59" t="s">
        <v>104</v>
      </c>
      <c r="N188" s="71">
        <f t="shared" si="153"/>
        <v>92468.25</v>
      </c>
      <c r="O188" s="146">
        <f t="shared" si="156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154"/>
        <v>92468.25</v>
      </c>
      <c r="V188" s="75">
        <f t="shared" si="155"/>
        <v>92468.25</v>
      </c>
    </row>
    <row r="189" spans="1:22" x14ac:dyDescent="0.25">
      <c r="A189" s="290"/>
      <c r="B189" s="291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152"/>
        <v>14</v>
      </c>
      <c r="H189" s="59">
        <v>14</v>
      </c>
      <c r="I189" s="59">
        <v>14</v>
      </c>
      <c r="J189" s="75">
        <f>K189</f>
        <v>66361.320000000007</v>
      </c>
      <c r="K189" s="75">
        <v>66361.320000000007</v>
      </c>
      <c r="L189" s="59" t="s">
        <v>104</v>
      </c>
      <c r="M189" s="59" t="s">
        <v>104</v>
      </c>
      <c r="N189" s="71">
        <f>O189</f>
        <v>929058.4800000001</v>
      </c>
      <c r="O189" s="146">
        <f t="shared" si="156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>H189*K189</f>
        <v>929058.4800000001</v>
      </c>
      <c r="V189" s="75">
        <f>I189*K189</f>
        <v>929058.4800000001</v>
      </c>
    </row>
    <row r="190" spans="1:22" x14ac:dyDescent="0.25">
      <c r="A190" s="290"/>
      <c r="B190" s="291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152"/>
        <v>3</v>
      </c>
      <c r="H190" s="59">
        <v>3</v>
      </c>
      <c r="I190" s="59">
        <v>3</v>
      </c>
      <c r="J190" s="75">
        <f>K190</f>
        <v>174890.83</v>
      </c>
      <c r="K190" s="75">
        <v>174890.83</v>
      </c>
      <c r="L190" s="59" t="s">
        <v>104</v>
      </c>
      <c r="M190" s="59" t="s">
        <v>104</v>
      </c>
      <c r="N190" s="71">
        <f>O190</f>
        <v>524672.49</v>
      </c>
      <c r="O190" s="146">
        <f t="shared" si="156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>H190*K190</f>
        <v>524672.49</v>
      </c>
      <c r="V190" s="75">
        <f>I190*K190</f>
        <v>524672.49</v>
      </c>
    </row>
    <row r="191" spans="1:22" x14ac:dyDescent="0.25">
      <c r="A191" s="290"/>
      <c r="B191" s="291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152"/>
        <v>1</v>
      </c>
      <c r="H191" s="59">
        <v>1</v>
      </c>
      <c r="I191" s="59">
        <v>1</v>
      </c>
      <c r="J191" s="75">
        <f t="shared" ref="J191:J192" si="157">K191</f>
        <v>99648.29</v>
      </c>
      <c r="K191" s="75">
        <v>99648.29</v>
      </c>
      <c r="L191" s="59" t="s">
        <v>104</v>
      </c>
      <c r="M191" s="59" t="s">
        <v>104</v>
      </c>
      <c r="N191" s="71">
        <f t="shared" ref="N191:N192" si="158">O191</f>
        <v>99648.29</v>
      </c>
      <c r="O191" s="146">
        <f t="shared" si="156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ref="U191:U192" si="159">H191*K191</f>
        <v>99648.29</v>
      </c>
      <c r="V191" s="75">
        <f t="shared" ref="V191:V192" si="160">I191*K191</f>
        <v>99648.29</v>
      </c>
    </row>
    <row r="192" spans="1:22" x14ac:dyDescent="0.25">
      <c r="A192" s="290"/>
      <c r="B192" s="291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152"/>
        <v>2</v>
      </c>
      <c r="H192" s="59">
        <v>2</v>
      </c>
      <c r="I192" s="59">
        <v>2</v>
      </c>
      <c r="J192" s="75">
        <f t="shared" si="157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158"/>
        <v>47106.879999999997</v>
      </c>
      <c r="O192" s="146">
        <f t="shared" si="156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159"/>
        <v>47106.879999999997</v>
      </c>
      <c r="V192" s="75">
        <f t="shared" si="160"/>
        <v>47106.879999999997</v>
      </c>
    </row>
    <row r="193" spans="1:22" ht="120" x14ac:dyDescent="0.25">
      <c r="A193" s="290"/>
      <c r="B193" s="291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152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 t="shared" si="97"/>
        <v>276783.54000000004</v>
      </c>
      <c r="V193" s="75">
        <f t="shared" si="98"/>
        <v>276783.54000000004</v>
      </c>
    </row>
    <row r="194" spans="1:22" x14ac:dyDescent="0.25">
      <c r="A194" s="290"/>
      <c r="B194" s="291"/>
      <c r="C194" s="66" t="s">
        <v>106</v>
      </c>
      <c r="D194" s="67"/>
      <c r="E194" s="59">
        <f>E184+E193</f>
        <v>209</v>
      </c>
      <c r="F194" s="59">
        <f t="shared" ref="F194:I194" si="161">F184+F193</f>
        <v>209</v>
      </c>
      <c r="G194" s="59">
        <f t="shared" si="161"/>
        <v>209</v>
      </c>
      <c r="H194" s="59">
        <f t="shared" si="161"/>
        <v>209</v>
      </c>
      <c r="I194" s="59">
        <f t="shared" si="161"/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 t="shared" ref="T194:V194" si="162">SUM(T184:T193)</f>
        <v>2429673.0699999998</v>
      </c>
      <c r="U194" s="71">
        <f t="shared" si="162"/>
        <v>10989234.039999999</v>
      </c>
      <c r="V194" s="71">
        <f t="shared" si="162"/>
        <v>10989234.039999999</v>
      </c>
    </row>
    <row r="195" spans="1:22" ht="90" x14ac:dyDescent="0.25">
      <c r="A195" s="290"/>
      <c r="B195" s="291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152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 t="shared" si="97"/>
        <v>11821648.68</v>
      </c>
      <c r="V195" s="75">
        <f t="shared" si="98"/>
        <v>11821648.68</v>
      </c>
    </row>
    <row r="196" spans="1:22" ht="135" x14ac:dyDescent="0.25">
      <c r="A196" s="290"/>
      <c r="B196" s="291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 x14ac:dyDescent="0.25">
      <c r="A197" s="290"/>
      <c r="B197" s="291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152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 t="shared" ref="V197:V201" si="163">I197*K197</f>
        <v>51179.44</v>
      </c>
    </row>
    <row r="198" spans="1:22" x14ac:dyDescent="0.25">
      <c r="A198" s="290"/>
      <c r="B198" s="291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152"/>
        <v>2</v>
      </c>
      <c r="H198" s="60">
        <v>2</v>
      </c>
      <c r="I198" s="60">
        <v>2</v>
      </c>
      <c r="J198" s="75">
        <f t="shared" ref="J198:J201" si="164">K198</f>
        <v>92468.25</v>
      </c>
      <c r="K198" s="75">
        <v>92468.25</v>
      </c>
      <c r="L198" s="59" t="s">
        <v>104</v>
      </c>
      <c r="M198" s="59" t="s">
        <v>104</v>
      </c>
      <c r="N198" s="71">
        <f t="shared" ref="N198:N201" si="165">O198</f>
        <v>184936.5</v>
      </c>
      <c r="O198" s="146">
        <f t="shared" ref="O198:O201" si="166">G198*K198</f>
        <v>184936.5</v>
      </c>
      <c r="P198" s="146"/>
      <c r="Q198" s="59" t="s">
        <v>104</v>
      </c>
      <c r="R198" s="59"/>
      <c r="S198" s="59"/>
      <c r="T198" s="59" t="s">
        <v>104</v>
      </c>
      <c r="U198" s="75">
        <f t="shared" ref="U198:U201" si="167">H198*K198</f>
        <v>184936.5</v>
      </c>
      <c r="V198" s="75">
        <f t="shared" si="163"/>
        <v>184936.5</v>
      </c>
    </row>
    <row r="199" spans="1:22" x14ac:dyDescent="0.25">
      <c r="A199" s="290"/>
      <c r="B199" s="291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152"/>
        <v>2</v>
      </c>
      <c r="H199" s="60">
        <v>2</v>
      </c>
      <c r="I199" s="60">
        <v>2</v>
      </c>
      <c r="J199" s="75">
        <f t="shared" si="164"/>
        <v>266106.15000000002</v>
      </c>
      <c r="K199" s="75">
        <v>266106.15000000002</v>
      </c>
      <c r="L199" s="59"/>
      <c r="M199" s="59"/>
      <c r="N199" s="71">
        <f t="shared" si="165"/>
        <v>532212.30000000005</v>
      </c>
      <c r="O199" s="146">
        <f t="shared" si="166"/>
        <v>532212.30000000005</v>
      </c>
      <c r="P199" s="146"/>
      <c r="Q199" s="59" t="s">
        <v>104</v>
      </c>
      <c r="R199" s="59"/>
      <c r="S199" s="59"/>
      <c r="T199" s="59"/>
      <c r="U199" s="75">
        <f t="shared" si="167"/>
        <v>532212.30000000005</v>
      </c>
      <c r="V199" s="75">
        <f t="shared" si="163"/>
        <v>532212.30000000005</v>
      </c>
    </row>
    <row r="200" spans="1:22" x14ac:dyDescent="0.25">
      <c r="A200" s="290"/>
      <c r="B200" s="291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152"/>
        <v>1</v>
      </c>
      <c r="H200" s="60">
        <v>1</v>
      </c>
      <c r="I200" s="60">
        <v>1</v>
      </c>
      <c r="J200" s="75">
        <f t="shared" si="164"/>
        <v>32769.75</v>
      </c>
      <c r="K200" s="75">
        <v>32769.75</v>
      </c>
      <c r="L200" s="59"/>
      <c r="M200" s="59"/>
      <c r="N200" s="71">
        <f t="shared" si="165"/>
        <v>32769.75</v>
      </c>
      <c r="O200" s="146">
        <f t="shared" si="166"/>
        <v>32769.75</v>
      </c>
      <c r="P200" s="146"/>
      <c r="Q200" s="59" t="s">
        <v>104</v>
      </c>
      <c r="R200" s="59"/>
      <c r="S200" s="59"/>
      <c r="T200" s="59"/>
      <c r="U200" s="75">
        <f t="shared" si="167"/>
        <v>32769.75</v>
      </c>
      <c r="V200" s="75">
        <f t="shared" si="163"/>
        <v>32769.75</v>
      </c>
    </row>
    <row r="201" spans="1:22" x14ac:dyDescent="0.25">
      <c r="A201" s="290"/>
      <c r="B201" s="291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152"/>
        <v>1</v>
      </c>
      <c r="H201" s="60">
        <v>1</v>
      </c>
      <c r="I201" s="60">
        <v>1</v>
      </c>
      <c r="J201" s="75">
        <f t="shared" si="164"/>
        <v>23553.439999999999</v>
      </c>
      <c r="K201" s="75">
        <v>23553.439999999999</v>
      </c>
      <c r="L201" s="59" t="s">
        <v>104</v>
      </c>
      <c r="M201" s="59" t="s">
        <v>104</v>
      </c>
      <c r="N201" s="71">
        <f t="shared" si="165"/>
        <v>23553.439999999999</v>
      </c>
      <c r="O201" s="146">
        <f t="shared" si="166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 t="shared" si="167"/>
        <v>23553.439999999999</v>
      </c>
      <c r="V201" s="75">
        <f t="shared" si="163"/>
        <v>23553.439999999999</v>
      </c>
    </row>
    <row r="202" spans="1:22" ht="120" x14ac:dyDescent="0.25">
      <c r="A202" s="290"/>
      <c r="B202" s="291"/>
      <c r="C202" s="61" t="s">
        <v>105</v>
      </c>
      <c r="D202" s="64" t="s">
        <v>101</v>
      </c>
      <c r="E202" s="60"/>
      <c r="F202" s="60"/>
      <c r="G202" s="59">
        <f t="shared" si="152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>G202*K202</f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 t="shared" si="97"/>
        <v>0</v>
      </c>
      <c r="V202" s="75">
        <f t="shared" si="98"/>
        <v>0</v>
      </c>
    </row>
    <row r="203" spans="1:22" x14ac:dyDescent="0.25">
      <c r="A203" s="290"/>
      <c r="B203" s="110"/>
      <c r="C203" s="66" t="s">
        <v>106</v>
      </c>
      <c r="D203" s="64"/>
      <c r="E203" s="60">
        <f>E195+E202</f>
        <v>229</v>
      </c>
      <c r="F203" s="60">
        <f t="shared" ref="F203:I203" si="168">F195+F202</f>
        <v>229</v>
      </c>
      <c r="G203" s="60">
        <f t="shared" si="168"/>
        <v>229</v>
      </c>
      <c r="H203" s="60">
        <f t="shared" si="168"/>
        <v>229</v>
      </c>
      <c r="I203" s="60">
        <f t="shared" si="168"/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 t="shared" ref="T203:V203" si="169">SUM(T195:T202)</f>
        <v>2662177.67</v>
      </c>
      <c r="U203" s="74">
        <f t="shared" si="169"/>
        <v>12646300.109999999</v>
      </c>
      <c r="V203" s="74">
        <f t="shared" si="169"/>
        <v>12646300.109999999</v>
      </c>
    </row>
    <row r="204" spans="1:22" ht="90" x14ac:dyDescent="0.25">
      <c r="A204" s="290"/>
      <c r="B204" s="291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152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 t="shared" si="97"/>
        <v>2055589.1999999997</v>
      </c>
      <c r="V204" s="75">
        <f t="shared" si="98"/>
        <v>2055589.1999999997</v>
      </c>
    </row>
    <row r="205" spans="1:22" ht="135" x14ac:dyDescent="0.25">
      <c r="A205" s="290"/>
      <c r="B205" s="291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 x14ac:dyDescent="0.25">
      <c r="A206" s="290"/>
      <c r="B206" s="291"/>
      <c r="C206" s="63" t="s">
        <v>165</v>
      </c>
      <c r="D206" s="64" t="s">
        <v>101</v>
      </c>
      <c r="E206" s="60">
        <v>0</v>
      </c>
      <c r="F206" s="60"/>
      <c r="G206" s="59">
        <f t="shared" si="152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20" x14ac:dyDescent="0.25">
      <c r="A207" s="290"/>
      <c r="B207" s="291"/>
      <c r="C207" s="61" t="s">
        <v>105</v>
      </c>
      <c r="D207" s="64" t="s">
        <v>101</v>
      </c>
      <c r="E207" s="60"/>
      <c r="F207" s="60">
        <v>0</v>
      </c>
      <c r="G207" s="157">
        <f t="shared" ref="G207:G209" si="170"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 t="shared" si="97"/>
        <v>0</v>
      </c>
      <c r="V207" s="75">
        <f t="shared" si="98"/>
        <v>0</v>
      </c>
    </row>
    <row r="208" spans="1:22" x14ac:dyDescent="0.25">
      <c r="A208" s="290"/>
      <c r="B208" s="110"/>
      <c r="C208" s="66" t="s">
        <v>106</v>
      </c>
      <c r="D208" s="64"/>
      <c r="E208" s="60">
        <f>E204+E207</f>
        <v>35</v>
      </c>
      <c r="F208" s="60">
        <f t="shared" ref="F208:I208" si="171">F204+F207</f>
        <v>35</v>
      </c>
      <c r="G208" s="60">
        <f t="shared" si="171"/>
        <v>35</v>
      </c>
      <c r="H208" s="60">
        <f t="shared" si="171"/>
        <v>35</v>
      </c>
      <c r="I208" s="60">
        <f t="shared" si="171"/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 t="shared" ref="T208:V208" si="172">SUM(T204:T207)</f>
        <v>406883.05</v>
      </c>
      <c r="U208" s="74">
        <f t="shared" si="172"/>
        <v>2055589.1999999997</v>
      </c>
      <c r="V208" s="74">
        <f t="shared" si="172"/>
        <v>2055589.1999999997</v>
      </c>
    </row>
    <row r="209" spans="1:22" ht="105" x14ac:dyDescent="0.25">
      <c r="A209" s="290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 t="shared" si="170"/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 t="shared" si="97"/>
        <v>1655164.1600000001</v>
      </c>
      <c r="V209" s="75">
        <f t="shared" si="98"/>
        <v>1655164.1600000001</v>
      </c>
    </row>
    <row r="210" spans="1:22" x14ac:dyDescent="0.25">
      <c r="A210" s="290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173">SUM(M209:M209)</f>
        <v>0</v>
      </c>
      <c r="N210" s="74">
        <f t="shared" si="173"/>
        <v>1655164.1600000001</v>
      </c>
      <c r="O210" s="74">
        <f t="shared" si="173"/>
        <v>1655164.1600000001</v>
      </c>
      <c r="P210" s="74"/>
      <c r="Q210" s="74">
        <f t="shared" si="173"/>
        <v>0</v>
      </c>
      <c r="R210" s="74"/>
      <c r="S210" s="74"/>
      <c r="T210" s="74">
        <f t="shared" si="173"/>
        <v>0</v>
      </c>
      <c r="U210" s="75">
        <f t="shared" si="173"/>
        <v>1655164.1600000001</v>
      </c>
      <c r="V210" s="75">
        <f t="shared" si="173"/>
        <v>1655164.1600000001</v>
      </c>
    </row>
    <row r="211" spans="1:22" x14ac:dyDescent="0.25">
      <c r="A211" s="290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90" x14ac:dyDescent="0.25">
      <c r="A212" s="290" t="s">
        <v>116</v>
      </c>
      <c r="B212" s="292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174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 t="shared" si="97"/>
        <v>13071938.220000001</v>
      </c>
      <c r="V212" s="75">
        <f t="shared" si="98"/>
        <v>13071938.220000001</v>
      </c>
    </row>
    <row r="213" spans="1:22" ht="135" x14ac:dyDescent="0.25">
      <c r="A213" s="290"/>
      <c r="B213" s="293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 x14ac:dyDescent="0.25">
      <c r="A214" s="290"/>
      <c r="B214" s="293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174"/>
        <v>1</v>
      </c>
      <c r="H214" s="59">
        <v>1</v>
      </c>
      <c r="I214" s="59">
        <v>1</v>
      </c>
      <c r="J214" s="75">
        <f t="shared" ref="J214:J219" si="175">K214</f>
        <v>25589.72</v>
      </c>
      <c r="K214" s="71">
        <v>25589.72</v>
      </c>
      <c r="L214" s="59"/>
      <c r="M214" s="59"/>
      <c r="N214" s="71">
        <f t="shared" ref="N214:N215" si="176">O214</f>
        <v>25589.72</v>
      </c>
      <c r="O214" s="146">
        <f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177">H214*K214</f>
        <v>25589.72</v>
      </c>
      <c r="V214" s="75">
        <f t="shared" ref="V214:V215" si="178">I214*K214</f>
        <v>25589.72</v>
      </c>
    </row>
    <row r="215" spans="1:22" x14ac:dyDescent="0.25">
      <c r="A215" s="290"/>
      <c r="B215" s="293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174"/>
        <v>3</v>
      </c>
      <c r="H215" s="59">
        <v>3</v>
      </c>
      <c r="I215" s="59">
        <v>3</v>
      </c>
      <c r="J215" s="75">
        <f t="shared" si="175"/>
        <v>69362.66</v>
      </c>
      <c r="K215" s="71">
        <v>69362.66</v>
      </c>
      <c r="L215" s="59" t="s">
        <v>104</v>
      </c>
      <c r="M215" s="59" t="s">
        <v>104</v>
      </c>
      <c r="N215" s="71">
        <f t="shared" si="176"/>
        <v>208087.98</v>
      </c>
      <c r="O215" s="146">
        <f t="shared" ref="O215:O219" si="179">G215*K215</f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177"/>
        <v>208087.98</v>
      </c>
      <c r="V215" s="75">
        <f t="shared" si="178"/>
        <v>208087.98</v>
      </c>
    </row>
    <row r="216" spans="1:22" x14ac:dyDescent="0.25">
      <c r="A216" s="290"/>
      <c r="B216" s="293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174"/>
        <v>1</v>
      </c>
      <c r="H216" s="59">
        <v>1</v>
      </c>
      <c r="I216" s="59">
        <v>1</v>
      </c>
      <c r="J216" s="75">
        <f t="shared" si="175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>O216</f>
        <v>66361.320000000007</v>
      </c>
      <c r="O216" s="146">
        <f t="shared" si="17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177"/>
        <v>66361.320000000007</v>
      </c>
      <c r="V216" s="75">
        <f>I216*K216</f>
        <v>66361.320000000007</v>
      </c>
    </row>
    <row r="217" spans="1:22" x14ac:dyDescent="0.25">
      <c r="A217" s="290"/>
      <c r="B217" s="293"/>
      <c r="C217" s="63" t="s">
        <v>167</v>
      </c>
      <c r="D217" s="64" t="s">
        <v>101</v>
      </c>
      <c r="E217" s="59"/>
      <c r="F217" s="59"/>
      <c r="G217" s="59">
        <f t="shared" si="174"/>
        <v>0</v>
      </c>
      <c r="H217" s="59"/>
      <c r="I217" s="59"/>
      <c r="J217" s="75">
        <f t="shared" si="175"/>
        <v>174890.83</v>
      </c>
      <c r="K217" s="75">
        <v>174890.83</v>
      </c>
      <c r="L217" s="59" t="s">
        <v>104</v>
      </c>
      <c r="M217" s="59" t="s">
        <v>104</v>
      </c>
      <c r="N217" s="71">
        <f>O217</f>
        <v>0</v>
      </c>
      <c r="O217" s="146">
        <f t="shared" si="17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177"/>
        <v>0</v>
      </c>
      <c r="V217" s="75">
        <f>I217*K217</f>
        <v>0</v>
      </c>
    </row>
    <row r="218" spans="1:22" x14ac:dyDescent="0.25">
      <c r="A218" s="290"/>
      <c r="B218" s="293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174"/>
        <v>1</v>
      </c>
      <c r="H218" s="59">
        <v>1</v>
      </c>
      <c r="I218" s="59">
        <v>1</v>
      </c>
      <c r="J218" s="75">
        <f t="shared" si="175"/>
        <v>99648.29</v>
      </c>
      <c r="K218" s="75">
        <v>99648.29</v>
      </c>
      <c r="L218" s="59" t="s">
        <v>104</v>
      </c>
      <c r="M218" s="59" t="s">
        <v>104</v>
      </c>
      <c r="N218" s="71">
        <f>O218</f>
        <v>99648.29</v>
      </c>
      <c r="O218" s="146">
        <f t="shared" si="17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177"/>
        <v>99648.29</v>
      </c>
      <c r="V218" s="75">
        <f>I218*K218</f>
        <v>99648.29</v>
      </c>
    </row>
    <row r="219" spans="1:22" x14ac:dyDescent="0.25">
      <c r="A219" s="290"/>
      <c r="B219" s="293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174"/>
        <v>1</v>
      </c>
      <c r="H219" s="59">
        <v>1</v>
      </c>
      <c r="I219" s="59">
        <v>1</v>
      </c>
      <c r="J219" s="75">
        <f t="shared" si="175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>O219</f>
        <v>23553.439999999999</v>
      </c>
      <c r="O219" s="146">
        <f t="shared" si="17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177"/>
        <v>23553.439999999999</v>
      </c>
      <c r="V219" s="75">
        <f>I219*K219</f>
        <v>23553.439999999999</v>
      </c>
    </row>
    <row r="220" spans="1:22" ht="120" x14ac:dyDescent="0.25">
      <c r="A220" s="290"/>
      <c r="B220" s="293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174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>G220*K220</f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180">H220*J220</f>
        <v>276783.54000000004</v>
      </c>
      <c r="V220" s="75">
        <f t="shared" ref="V220:V238" si="181">I220*J220</f>
        <v>276783.54000000004</v>
      </c>
    </row>
    <row r="221" spans="1:22" ht="105" x14ac:dyDescent="0.25">
      <c r="A221" s="290"/>
      <c r="B221" s="293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174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>G221*K221</f>
        <v>0</v>
      </c>
      <c r="P221" s="146"/>
      <c r="Q221" s="71"/>
      <c r="R221" s="71"/>
      <c r="S221" s="71"/>
      <c r="T221" s="71"/>
      <c r="U221" s="75">
        <f t="shared" si="180"/>
        <v>0</v>
      </c>
      <c r="V221" s="75">
        <f t="shared" si="181"/>
        <v>0</v>
      </c>
    </row>
    <row r="222" spans="1:22" x14ac:dyDescent="0.25">
      <c r="A222" s="290"/>
      <c r="B222" s="294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182">SUM(O212:O221)</f>
        <v>8646234.3499999996</v>
      </c>
      <c r="P222" s="71"/>
      <c r="Q222" s="71">
        <f t="shared" si="182"/>
        <v>1312652.72</v>
      </c>
      <c r="R222" s="71"/>
      <c r="S222" s="71"/>
      <c r="T222" s="71">
        <f t="shared" si="182"/>
        <v>3813075.44</v>
      </c>
      <c r="U222" s="71">
        <f t="shared" si="182"/>
        <v>13771962.510000002</v>
      </c>
      <c r="V222" s="71">
        <f t="shared" si="182"/>
        <v>13771962.510000002</v>
      </c>
    </row>
    <row r="223" spans="1:22" ht="90" x14ac:dyDescent="0.25">
      <c r="A223" s="290"/>
      <c r="B223" s="292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174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180"/>
        <v>8982388.0800000001</v>
      </c>
      <c r="V223" s="75">
        <f t="shared" si="181"/>
        <v>8982388.0800000001</v>
      </c>
    </row>
    <row r="224" spans="1:22" ht="120" x14ac:dyDescent="0.25">
      <c r="A224" s="290"/>
      <c r="B224" s="293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174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180"/>
        <v>12003021.139999999</v>
      </c>
      <c r="V224" s="75">
        <f t="shared" si="181"/>
        <v>12003021.139999999</v>
      </c>
    </row>
    <row r="225" spans="1:22" ht="120" x14ac:dyDescent="0.25">
      <c r="A225" s="290"/>
      <c r="B225" s="293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 x14ac:dyDescent="0.25">
      <c r="A226" s="290"/>
      <c r="B226" s="293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174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 x14ac:dyDescent="0.25">
      <c r="A227" s="290"/>
      <c r="B227" s="293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174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 t="shared" ref="O227:O228" si="183"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 x14ac:dyDescent="0.25">
      <c r="A228" s="290"/>
      <c r="B228" s="293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174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 t="shared" si="183"/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20" x14ac:dyDescent="0.25">
      <c r="A229" s="290"/>
      <c r="B229" s="293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174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180"/>
        <v>168684.5</v>
      </c>
      <c r="V229" s="75">
        <f t="shared" si="181"/>
        <v>168684.5</v>
      </c>
    </row>
    <row r="230" spans="1:22" ht="105" x14ac:dyDescent="0.25">
      <c r="A230" s="290"/>
      <c r="B230" s="293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174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180"/>
        <v>0</v>
      </c>
      <c r="V230" s="75">
        <f t="shared" si="181"/>
        <v>0</v>
      </c>
    </row>
    <row r="231" spans="1:22" x14ac:dyDescent="0.25">
      <c r="A231" s="290"/>
      <c r="B231" s="294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184">SUM(O223:O230)</f>
        <v>15178208.960000001</v>
      </c>
      <c r="P231" s="74"/>
      <c r="Q231" s="74">
        <f t="shared" si="184"/>
        <v>1572782.07</v>
      </c>
      <c r="R231" s="74"/>
      <c r="S231" s="74"/>
      <c r="T231" s="74">
        <f t="shared" si="184"/>
        <v>4568715.3900000006</v>
      </c>
      <c r="U231" s="74">
        <f t="shared" si="184"/>
        <v>21319706.419999998</v>
      </c>
      <c r="V231" s="74">
        <f t="shared" si="184"/>
        <v>21319706.419999998</v>
      </c>
    </row>
    <row r="232" spans="1:22" ht="90" x14ac:dyDescent="0.25">
      <c r="A232" s="290"/>
      <c r="B232" s="292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174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181"/>
        <v>3112749.36</v>
      </c>
    </row>
    <row r="233" spans="1:22" ht="119.25" x14ac:dyDescent="0.25">
      <c r="A233" s="290"/>
      <c r="B233" s="293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174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180"/>
        <v>5253381.6400000006</v>
      </c>
      <c r="V233" s="75">
        <f t="shared" si="181"/>
        <v>5253381.6400000006</v>
      </c>
    </row>
    <row r="234" spans="1:22" ht="120" x14ac:dyDescent="0.25">
      <c r="A234" s="290"/>
      <c r="B234" s="293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 x14ac:dyDescent="0.25">
      <c r="A235" s="290"/>
      <c r="B235" s="293"/>
      <c r="C235" s="63" t="s">
        <v>168</v>
      </c>
      <c r="D235" s="64" t="s">
        <v>101</v>
      </c>
      <c r="E235" s="60"/>
      <c r="F235" s="60"/>
      <c r="G235" s="59">
        <f t="shared" si="174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20" x14ac:dyDescent="0.25">
      <c r="A236" s="290"/>
      <c r="B236" s="293"/>
      <c r="C236" s="61" t="s">
        <v>105</v>
      </c>
      <c r="D236" s="64" t="s">
        <v>101</v>
      </c>
      <c r="E236" s="60"/>
      <c r="F236" s="60"/>
      <c r="G236" s="59">
        <f t="shared" si="174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180"/>
        <v>0</v>
      </c>
      <c r="V236" s="75">
        <f t="shared" si="181"/>
        <v>0</v>
      </c>
    </row>
    <row r="237" spans="1:22" x14ac:dyDescent="0.25">
      <c r="A237" s="290"/>
      <c r="B237" s="294"/>
      <c r="C237" s="66" t="s">
        <v>106</v>
      </c>
      <c r="D237" s="64"/>
      <c r="E237" s="60">
        <f>E232+E236</f>
        <v>53</v>
      </c>
      <c r="F237" s="60">
        <f t="shared" ref="F237:I237" si="185">F232+F236</f>
        <v>53</v>
      </c>
      <c r="G237" s="60">
        <f t="shared" si="185"/>
        <v>53</v>
      </c>
      <c r="H237" s="60">
        <f t="shared" si="185"/>
        <v>53</v>
      </c>
      <c r="I237" s="60">
        <f t="shared" si="185"/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186">SUM(O232:O236)</f>
        <v>6725272.9000000004</v>
      </c>
      <c r="P237" s="74"/>
      <c r="Q237" s="74">
        <f t="shared" si="186"/>
        <v>420208.94999999995</v>
      </c>
      <c r="R237" s="74"/>
      <c r="S237" s="74"/>
      <c r="T237" s="74">
        <f t="shared" si="186"/>
        <v>1220649.1499999999</v>
      </c>
      <c r="U237" s="74">
        <f t="shared" si="186"/>
        <v>8366131</v>
      </c>
      <c r="V237" s="74">
        <f t="shared" si="186"/>
        <v>8366131</v>
      </c>
    </row>
    <row r="238" spans="1:22" ht="105" x14ac:dyDescent="0.25">
      <c r="A238" s="290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174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180"/>
        <v>4913768.6000000006</v>
      </c>
      <c r="V238" s="75">
        <f t="shared" si="181"/>
        <v>4913768.6000000006</v>
      </c>
    </row>
    <row r="239" spans="1:22" x14ac:dyDescent="0.25">
      <c r="A239" s="290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187">SUM(M238:M238)</f>
        <v>0</v>
      </c>
      <c r="N239" s="74">
        <f t="shared" si="187"/>
        <v>4913768.6000000006</v>
      </c>
      <c r="O239" s="74">
        <f t="shared" si="187"/>
        <v>4913768.6000000006</v>
      </c>
      <c r="P239" s="74"/>
      <c r="Q239" s="74">
        <f t="shared" si="187"/>
        <v>0</v>
      </c>
      <c r="R239" s="74"/>
      <c r="S239" s="74"/>
      <c r="T239" s="74">
        <f t="shared" si="187"/>
        <v>0</v>
      </c>
      <c r="U239" s="75">
        <f t="shared" si="187"/>
        <v>4913768.6000000006</v>
      </c>
      <c r="V239" s="75">
        <f t="shared" si="187"/>
        <v>4913768.6000000006</v>
      </c>
    </row>
    <row r="240" spans="1:22" x14ac:dyDescent="0.25">
      <c r="A240" s="290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188">N222+N231+N237+N239</f>
        <v>48371568.530000001</v>
      </c>
      <c r="O240" s="103">
        <f t="shared" si="188"/>
        <v>35463484.810000002</v>
      </c>
      <c r="P240" s="103"/>
      <c r="Q240" s="103">
        <f t="shared" si="188"/>
        <v>3305643.74</v>
      </c>
      <c r="R240" s="103"/>
      <c r="S240" s="103"/>
      <c r="T240" s="103">
        <f t="shared" si="188"/>
        <v>9602439.9800000004</v>
      </c>
      <c r="U240" s="103">
        <f t="shared" si="188"/>
        <v>48371568.530000001</v>
      </c>
      <c r="V240" s="103">
        <f t="shared" si="188"/>
        <v>48371568.530000001</v>
      </c>
    </row>
    <row r="241" spans="1:23" ht="187.15" customHeight="1" x14ac:dyDescent="0.25">
      <c r="A241" s="290" t="s">
        <v>119</v>
      </c>
      <c r="B241" s="291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15" customHeight="1" x14ac:dyDescent="0.25">
      <c r="A242" s="290"/>
      <c r="B242" s="291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18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120" x14ac:dyDescent="0.25">
      <c r="A243" s="290"/>
      <c r="B243" s="291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 x14ac:dyDescent="0.25">
      <c r="A244" s="290"/>
      <c r="B244" s="291"/>
      <c r="C244" s="63" t="s">
        <v>166</v>
      </c>
      <c r="D244" s="64" t="s">
        <v>101</v>
      </c>
      <c r="E244" s="59">
        <v>2</v>
      </c>
      <c r="F244" s="59">
        <v>2</v>
      </c>
      <c r="G244" s="59">
        <f t="shared" ref="G244:G245" si="190"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105" x14ac:dyDescent="0.25">
      <c r="A245" s="290"/>
      <c r="B245" s="291"/>
      <c r="C245" s="61" t="s">
        <v>174</v>
      </c>
      <c r="D245" s="64" t="s">
        <v>101</v>
      </c>
      <c r="E245" s="59"/>
      <c r="F245" s="59"/>
      <c r="G245" s="59">
        <f t="shared" si="190"/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 x14ac:dyDescent="0.25">
      <c r="A246" s="290"/>
      <c r="B246" s="291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 t="shared" ref="T246:V246" si="191">SUM(T241:T245)</f>
        <v>1112824.1100000001</v>
      </c>
      <c r="U246" s="71">
        <f t="shared" si="191"/>
        <v>4368241.84</v>
      </c>
      <c r="V246" s="71">
        <f t="shared" si="191"/>
        <v>4368241.84</v>
      </c>
    </row>
    <row r="247" spans="1:23" ht="225" x14ac:dyDescent="0.25">
      <c r="A247" s="290"/>
      <c r="B247" s="291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18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240" x14ac:dyDescent="0.25">
      <c r="A248" s="290"/>
      <c r="B248" s="291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18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135" x14ac:dyDescent="0.25">
      <c r="A249" s="290"/>
      <c r="B249" s="291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 x14ac:dyDescent="0.25">
      <c r="A250" s="290"/>
      <c r="B250" s="110"/>
      <c r="C250" s="63" t="s">
        <v>165</v>
      </c>
      <c r="D250" s="64"/>
      <c r="E250" s="60">
        <v>1</v>
      </c>
      <c r="F250" s="60">
        <v>1</v>
      </c>
      <c r="G250" s="59">
        <f t="shared" ref="G250:G253" si="192"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 x14ac:dyDescent="0.25">
      <c r="A251" s="290"/>
      <c r="B251" s="110"/>
      <c r="C251" s="63" t="s">
        <v>168</v>
      </c>
      <c r="D251" s="64"/>
      <c r="E251" s="60">
        <v>1</v>
      </c>
      <c r="F251" s="60">
        <v>1</v>
      </c>
      <c r="G251" s="59">
        <f t="shared" si="192"/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20" x14ac:dyDescent="0.25">
      <c r="A252" s="290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 t="shared" si="192"/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105" x14ac:dyDescent="0.25">
      <c r="A253" s="290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 t="shared" si="192"/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 x14ac:dyDescent="0.25">
      <c r="A254" s="290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 t="shared" ref="T254:V254" si="193">SUM(T247:T253)</f>
        <v>1280860.3999999999</v>
      </c>
      <c r="U254" s="74">
        <f t="shared" si="193"/>
        <v>7891436.080000001</v>
      </c>
      <c r="V254" s="74">
        <f t="shared" si="193"/>
        <v>7891436.080000001</v>
      </c>
    </row>
    <row r="255" spans="1:23" ht="205.9" customHeight="1" x14ac:dyDescent="0.25">
      <c r="A255" s="290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 x14ac:dyDescent="0.25">
      <c r="A256" s="290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5" customHeight="1" x14ac:dyDescent="0.25">
      <c r="A257" s="290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149999999999999" customHeight="1" x14ac:dyDescent="0.25">
      <c r="A258" s="290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 t="shared" ref="G258:G260" si="194"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 x14ac:dyDescent="0.25">
      <c r="A259" s="290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195">SUM(Q255:Q258)</f>
        <v>60029.850000000006</v>
      </c>
      <c r="R259" s="74"/>
      <c r="S259" s="74"/>
      <c r="T259" s="74">
        <f t="shared" si="195"/>
        <v>165628.5</v>
      </c>
      <c r="U259" s="74">
        <f t="shared" si="195"/>
        <v>2078344.5399999998</v>
      </c>
      <c r="V259" s="74">
        <f t="shared" si="195"/>
        <v>2078344.5399999998</v>
      </c>
    </row>
    <row r="260" spans="1:24" ht="105" x14ac:dyDescent="0.25">
      <c r="A260" s="290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 t="shared" si="194"/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 t="shared" ref="U260" si="196">H260*J260</f>
        <v>1529704.25</v>
      </c>
      <c r="V260" s="75">
        <f t="shared" ref="V260" si="197">I260*J260</f>
        <v>1529704.25</v>
      </c>
    </row>
    <row r="261" spans="1:24" x14ac:dyDescent="0.25">
      <c r="A261" s="290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198">SUM(M260:M260)</f>
        <v>0</v>
      </c>
      <c r="N261" s="74">
        <f t="shared" si="198"/>
        <v>1529704.25</v>
      </c>
      <c r="O261" s="74">
        <f t="shared" si="198"/>
        <v>1529704.25</v>
      </c>
      <c r="P261" s="74"/>
      <c r="Q261" s="74">
        <f t="shared" si="198"/>
        <v>0</v>
      </c>
      <c r="R261" s="74"/>
      <c r="S261" s="74"/>
      <c r="T261" s="74">
        <f t="shared" si="198"/>
        <v>0</v>
      </c>
      <c r="U261" s="74">
        <f t="shared" si="198"/>
        <v>1529704.25</v>
      </c>
      <c r="V261" s="74">
        <f t="shared" si="198"/>
        <v>1529704.25</v>
      </c>
    </row>
    <row r="262" spans="1:24" x14ac:dyDescent="0.25">
      <c r="A262" s="290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199">N246+N254+N259+N261</f>
        <v>15867726.709999999</v>
      </c>
      <c r="O262" s="103">
        <f t="shared" si="199"/>
        <v>12439981.869999999</v>
      </c>
      <c r="P262" s="103"/>
      <c r="Q262" s="103">
        <f t="shared" si="199"/>
        <v>868431.83</v>
      </c>
      <c r="R262" s="103"/>
      <c r="S262" s="103"/>
      <c r="T262" s="103">
        <f t="shared" si="199"/>
        <v>2559313.0099999998</v>
      </c>
      <c r="U262" s="103">
        <f t="shared" si="199"/>
        <v>15867726.710000001</v>
      </c>
      <c r="V262" s="103">
        <f t="shared" si="199"/>
        <v>15867726.710000001</v>
      </c>
      <c r="X262" s="85"/>
    </row>
    <row r="263" spans="1:24" x14ac:dyDescent="0.25">
      <c r="A263" s="96" t="s">
        <v>156</v>
      </c>
    </row>
    <row r="264" spans="1:24" ht="30" x14ac:dyDescent="0.25">
      <c r="A264" s="109" t="s">
        <v>3</v>
      </c>
      <c r="B264" s="109" t="s">
        <v>81</v>
      </c>
      <c r="C264" s="109" t="s">
        <v>4</v>
      </c>
      <c r="D264" s="295" t="s">
        <v>5</v>
      </c>
      <c r="E264" s="295"/>
      <c r="F264" s="295"/>
      <c r="G264" s="295"/>
      <c r="H264" s="295"/>
      <c r="I264" s="276" t="s">
        <v>6</v>
      </c>
      <c r="J264" s="276" t="s">
        <v>7</v>
      </c>
      <c r="K264" s="276"/>
      <c r="L264" s="276"/>
    </row>
    <row r="265" spans="1:24" ht="30" x14ac:dyDescent="0.25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276"/>
      <c r="J265" s="154" t="s">
        <v>176</v>
      </c>
      <c r="K265" s="154" t="s">
        <v>183</v>
      </c>
      <c r="L265" s="154" t="s">
        <v>205</v>
      </c>
    </row>
    <row r="266" spans="1:24" ht="94.5" customHeight="1" x14ac:dyDescent="0.25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105" x14ac:dyDescent="0.25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105" x14ac:dyDescent="0.25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 t="shared" ref="L268" si="200">K268</f>
        <v>6590626.5599999996</v>
      </c>
      <c r="M268" s="85"/>
    </row>
    <row r="271" spans="1:24" x14ac:dyDescent="0.25">
      <c r="A271" s="80" t="s">
        <v>178</v>
      </c>
    </row>
  </sheetData>
  <mergeCells count="41"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7"/>
  <sheetViews>
    <sheetView tabSelected="1" topLeftCell="C1" zoomScale="60" zoomScaleNormal="60" workbookViewId="0">
      <selection activeCell="T1" sqref="T1"/>
    </sheetView>
  </sheetViews>
  <sheetFormatPr defaultColWidth="9.140625" defaultRowHeight="15" x14ac:dyDescent="0.25"/>
  <cols>
    <col min="1" max="1" width="19.42578125" style="80" customWidth="1"/>
    <col min="2" max="2" width="28.7109375" style="80" customWidth="1"/>
    <col min="3" max="3" width="24.570312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8.28515625" style="80" bestFit="1" customWidth="1"/>
    <col min="8" max="9" width="12" style="80" bestFit="1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222" customWidth="1"/>
    <col min="14" max="14" width="16.7109375" style="80" customWidth="1"/>
    <col min="15" max="15" width="15.42578125" style="80" customWidth="1"/>
    <col min="16" max="16" width="14.7109375" style="80" customWidth="1"/>
    <col min="17" max="17" width="21.85546875" style="80" customWidth="1"/>
    <col min="18" max="18" width="14.28515625" style="222" customWidth="1"/>
    <col min="19" max="19" width="14.28515625" style="80" customWidth="1"/>
    <col min="20" max="20" width="16.140625" style="80" customWidth="1"/>
    <col min="21" max="21" width="19" style="80" customWidth="1"/>
    <col min="22" max="22" width="15.28515625" style="80" customWidth="1"/>
    <col min="23" max="23" width="13.5703125" style="80" customWidth="1"/>
    <col min="24" max="24" width="22" style="80" customWidth="1"/>
    <col min="25" max="25" width="18" style="80" customWidth="1"/>
    <col min="26" max="26" width="18.42578125" style="80" customWidth="1"/>
    <col min="27" max="16384" width="9.140625" style="80"/>
  </cols>
  <sheetData>
    <row r="1" spans="1:21" x14ac:dyDescent="0.25">
      <c r="T1" s="117" t="s">
        <v>286</v>
      </c>
    </row>
    <row r="2" spans="1:21" x14ac:dyDescent="0.25">
      <c r="T2" s="117" t="s">
        <v>285</v>
      </c>
    </row>
    <row r="3" spans="1:21" x14ac:dyDescent="0.25">
      <c r="R3" s="227"/>
      <c r="S3" s="117"/>
      <c r="T3" s="117" t="s">
        <v>175</v>
      </c>
    </row>
    <row r="4" spans="1:21" x14ac:dyDescent="0.25">
      <c r="R4" s="227"/>
      <c r="S4" s="117"/>
      <c r="T4" s="117" t="s">
        <v>256</v>
      </c>
    </row>
    <row r="5" spans="1:21" hidden="1" x14ac:dyDescent="0.25">
      <c r="R5" s="227" t="s">
        <v>175</v>
      </c>
      <c r="S5" s="117"/>
    </row>
    <row r="6" spans="1:21" hidden="1" x14ac:dyDescent="0.25">
      <c r="R6" s="227" t="s">
        <v>189</v>
      </c>
      <c r="S6" s="117"/>
    </row>
    <row r="7" spans="1:21" x14ac:dyDescent="0.25">
      <c r="A7" s="271" t="s">
        <v>207</v>
      </c>
      <c r="B7" s="271"/>
      <c r="C7" s="272"/>
      <c r="D7" s="271"/>
      <c r="E7" s="271"/>
      <c r="F7" s="272"/>
      <c r="G7" s="272"/>
      <c r="H7" s="271"/>
      <c r="I7" s="271"/>
      <c r="J7" s="271"/>
      <c r="K7" s="272"/>
      <c r="L7" s="271"/>
      <c r="M7" s="271"/>
      <c r="N7" s="271"/>
      <c r="O7" s="271"/>
      <c r="P7" s="272"/>
      <c r="Q7" s="272"/>
      <c r="R7" s="271"/>
      <c r="S7" s="272"/>
      <c r="T7" s="271"/>
      <c r="U7" s="271"/>
    </row>
    <row r="8" spans="1:21" x14ac:dyDescent="0.25">
      <c r="A8" s="278" t="s">
        <v>154</v>
      </c>
      <c r="B8" s="278"/>
      <c r="C8" s="278"/>
      <c r="D8" s="86"/>
      <c r="E8" s="87"/>
      <c r="F8" s="87"/>
      <c r="G8" s="87"/>
      <c r="H8" s="87"/>
      <c r="I8" s="87"/>
      <c r="J8" s="75"/>
      <c r="K8" s="75"/>
      <c r="L8" s="75"/>
      <c r="M8" s="46"/>
      <c r="N8" s="75"/>
      <c r="O8" s="75"/>
      <c r="P8" s="75"/>
      <c r="Q8" s="75"/>
      <c r="R8" s="46"/>
      <c r="S8" s="75"/>
      <c r="T8" s="75"/>
      <c r="U8" s="75"/>
    </row>
    <row r="9" spans="1:21" ht="30" x14ac:dyDescent="0.25">
      <c r="A9" s="282" t="s">
        <v>3</v>
      </c>
      <c r="B9" s="282" t="s">
        <v>86</v>
      </c>
      <c r="C9" s="196" t="s">
        <v>87</v>
      </c>
      <c r="D9" s="282" t="s">
        <v>4</v>
      </c>
      <c r="E9" s="283" t="s">
        <v>5</v>
      </c>
      <c r="F9" s="283"/>
      <c r="G9" s="283"/>
      <c r="H9" s="283"/>
      <c r="I9" s="283"/>
      <c r="J9" s="270" t="s">
        <v>6</v>
      </c>
      <c r="K9" s="270"/>
      <c r="L9" s="270"/>
      <c r="M9" s="270"/>
      <c r="N9" s="270" t="s">
        <v>7</v>
      </c>
      <c r="O9" s="270"/>
      <c r="P9" s="270"/>
      <c r="Q9" s="270"/>
      <c r="R9" s="270"/>
      <c r="S9" s="270"/>
      <c r="T9" s="270"/>
      <c r="U9" s="270"/>
    </row>
    <row r="10" spans="1:21" ht="120" x14ac:dyDescent="0.25">
      <c r="A10" s="282"/>
      <c r="B10" s="282"/>
      <c r="C10" s="196"/>
      <c r="D10" s="282"/>
      <c r="E10" s="197" t="s">
        <v>176</v>
      </c>
      <c r="F10" s="197" t="s">
        <v>208</v>
      </c>
      <c r="G10" s="197" t="s">
        <v>212</v>
      </c>
      <c r="H10" s="197" t="s">
        <v>183</v>
      </c>
      <c r="I10" s="197" t="s">
        <v>205</v>
      </c>
      <c r="J10" s="193" t="s">
        <v>88</v>
      </c>
      <c r="K10" s="193" t="s">
        <v>89</v>
      </c>
      <c r="L10" s="193" t="s">
        <v>90</v>
      </c>
      <c r="M10" s="223" t="s">
        <v>91</v>
      </c>
      <c r="N10" s="216" t="s">
        <v>209</v>
      </c>
      <c r="O10" s="211" t="s">
        <v>93</v>
      </c>
      <c r="P10" s="211" t="s">
        <v>94</v>
      </c>
      <c r="Q10" s="211" t="s">
        <v>222</v>
      </c>
      <c r="R10" s="223" t="s">
        <v>95</v>
      </c>
      <c r="S10" s="211" t="s">
        <v>223</v>
      </c>
      <c r="T10" s="193" t="s">
        <v>184</v>
      </c>
      <c r="U10" s="193" t="s">
        <v>210</v>
      </c>
    </row>
    <row r="11" spans="1:21" ht="60" x14ac:dyDescent="0.25">
      <c r="A11" s="98" t="s">
        <v>13</v>
      </c>
      <c r="B11" s="98" t="s">
        <v>13</v>
      </c>
      <c r="C11" s="98"/>
      <c r="D11" s="98" t="s">
        <v>15</v>
      </c>
      <c r="E11" s="99" t="s">
        <v>16</v>
      </c>
      <c r="F11" s="99" t="s">
        <v>16</v>
      </c>
      <c r="G11" s="99"/>
      <c r="H11" s="99" t="s">
        <v>16</v>
      </c>
      <c r="I11" s="99" t="s">
        <v>16</v>
      </c>
      <c r="J11" s="193" t="s">
        <v>17</v>
      </c>
      <c r="K11" s="193" t="s">
        <v>17</v>
      </c>
      <c r="L11" s="193" t="s">
        <v>17</v>
      </c>
      <c r="M11" s="223" t="s">
        <v>17</v>
      </c>
      <c r="N11" s="216" t="s">
        <v>17</v>
      </c>
      <c r="O11" s="211" t="s">
        <v>17</v>
      </c>
      <c r="P11" s="211" t="s">
        <v>17</v>
      </c>
      <c r="Q11" s="211"/>
      <c r="R11" s="223" t="s">
        <v>17</v>
      </c>
      <c r="S11" s="211"/>
      <c r="T11" s="193" t="s">
        <v>17</v>
      </c>
      <c r="U11" s="193" t="s">
        <v>17</v>
      </c>
    </row>
    <row r="12" spans="1:21" ht="90" x14ac:dyDescent="0.25">
      <c r="A12" s="290" t="s">
        <v>98</v>
      </c>
      <c r="B12" s="292" t="s">
        <v>240</v>
      </c>
      <c r="C12" s="61" t="s">
        <v>100</v>
      </c>
      <c r="D12" s="62" t="s">
        <v>101</v>
      </c>
      <c r="E12" s="59">
        <v>268</v>
      </c>
      <c r="F12" s="59">
        <v>268</v>
      </c>
      <c r="G12" s="59">
        <f>((E12*8)+(F12*4))/12</f>
        <v>268</v>
      </c>
      <c r="H12" s="59">
        <v>268</v>
      </c>
      <c r="I12" s="59">
        <v>268</v>
      </c>
      <c r="J12" s="107">
        <f>SUM(K12:M12)</f>
        <v>44274.386573099997</v>
      </c>
      <c r="K12" s="107">
        <f>23119.12+1351.63</f>
        <v>24470.75</v>
      </c>
      <c r="L12" s="70">
        <f>4001.99*2.3654</f>
        <v>9466.307146000001</v>
      </c>
      <c r="M12" s="220">
        <f>10183.7704+153.5590271</f>
        <v>10337.3294271</v>
      </c>
      <c r="N12" s="71">
        <f>SUM(O12:R12)</f>
        <v>11866682.631590798</v>
      </c>
      <c r="O12" s="71">
        <f>G12*K12+1147.03</f>
        <v>6559308.0300000003</v>
      </c>
      <c r="P12" s="71">
        <f>G12*L12</f>
        <v>2536970.3151280005</v>
      </c>
      <c r="Q12" s="71"/>
      <c r="R12" s="46">
        <f>G12*M12</f>
        <v>2770404.2864627996</v>
      </c>
      <c r="S12" s="75"/>
      <c r="T12" s="75">
        <f>N12</f>
        <v>11866682.631590798</v>
      </c>
      <c r="U12" s="75">
        <f>T12</f>
        <v>11866682.631590798</v>
      </c>
    </row>
    <row r="13" spans="1:21" ht="90" x14ac:dyDescent="0.25">
      <c r="A13" s="290"/>
      <c r="B13" s="293"/>
      <c r="C13" s="63" t="s">
        <v>163</v>
      </c>
      <c r="D13" s="64" t="s">
        <v>101</v>
      </c>
      <c r="E13" s="59" t="s">
        <v>104</v>
      </c>
      <c r="F13" s="59" t="s">
        <v>104</v>
      </c>
      <c r="G13" s="59"/>
      <c r="H13" s="59" t="s">
        <v>104</v>
      </c>
      <c r="I13" s="59" t="s">
        <v>104</v>
      </c>
      <c r="J13" s="59" t="s">
        <v>104</v>
      </c>
      <c r="K13" s="59" t="s">
        <v>104</v>
      </c>
      <c r="L13" s="72" t="s">
        <v>104</v>
      </c>
      <c r="M13" s="224" t="s">
        <v>104</v>
      </c>
      <c r="N13" s="216"/>
      <c r="O13" s="71"/>
      <c r="P13" s="72" t="s">
        <v>104</v>
      </c>
      <c r="Q13" s="72"/>
      <c r="R13" s="224" t="s">
        <v>104</v>
      </c>
      <c r="S13" s="72"/>
      <c r="T13" s="100"/>
      <c r="U13" s="100"/>
    </row>
    <row r="14" spans="1:21" x14ac:dyDescent="0.25">
      <c r="A14" s="290"/>
      <c r="B14" s="293"/>
      <c r="C14" s="63" t="s">
        <v>164</v>
      </c>
      <c r="D14" s="64"/>
      <c r="E14" s="59"/>
      <c r="F14" s="59"/>
      <c r="G14" s="59">
        <f>((E14*8)+(F14*4))/12</f>
        <v>0</v>
      </c>
      <c r="H14" s="59"/>
      <c r="I14" s="59"/>
      <c r="J14" s="71">
        <f>K14</f>
        <v>25589.72</v>
      </c>
      <c r="K14" s="75">
        <v>25589.72</v>
      </c>
      <c r="L14" s="72" t="s">
        <v>104</v>
      </c>
      <c r="M14" s="224" t="s">
        <v>104</v>
      </c>
      <c r="N14" s="216">
        <f>O14</f>
        <v>0</v>
      </c>
      <c r="O14" s="71">
        <f>G14*K14</f>
        <v>0</v>
      </c>
      <c r="P14" s="72" t="s">
        <v>104</v>
      </c>
      <c r="Q14" s="72"/>
      <c r="R14" s="224" t="s">
        <v>104</v>
      </c>
      <c r="S14" s="72"/>
      <c r="T14" s="100">
        <f>H14*K14</f>
        <v>0</v>
      </c>
      <c r="U14" s="100">
        <f>I14*K14</f>
        <v>0</v>
      </c>
    </row>
    <row r="15" spans="1:21" x14ac:dyDescent="0.25">
      <c r="A15" s="290"/>
      <c r="B15" s="293"/>
      <c r="C15" s="63" t="s">
        <v>169</v>
      </c>
      <c r="D15" s="64"/>
      <c r="E15" s="59">
        <v>7</v>
      </c>
      <c r="F15" s="59">
        <v>7</v>
      </c>
      <c r="G15" s="59">
        <f t="shared" ref="G15:G22" si="0">((E15*8)+(F15*4))/12</f>
        <v>7</v>
      </c>
      <c r="H15" s="59">
        <v>7</v>
      </c>
      <c r="I15" s="59">
        <v>7</v>
      </c>
      <c r="J15" s="71">
        <f>K15</f>
        <v>69362.66</v>
      </c>
      <c r="K15" s="71">
        <v>69362.66</v>
      </c>
      <c r="L15" s="72" t="s">
        <v>104</v>
      </c>
      <c r="M15" s="224" t="s">
        <v>104</v>
      </c>
      <c r="N15" s="216">
        <f>O15</f>
        <v>485538.62</v>
      </c>
      <c r="O15" s="71">
        <f t="shared" ref="O15:O21" si="1">G15*K15</f>
        <v>485538.62</v>
      </c>
      <c r="P15" s="72" t="s">
        <v>104</v>
      </c>
      <c r="Q15" s="72"/>
      <c r="R15" s="224" t="s">
        <v>104</v>
      </c>
      <c r="S15" s="72"/>
      <c r="T15" s="100">
        <f>H15*K15</f>
        <v>485538.62</v>
      </c>
      <c r="U15" s="100">
        <f>I15*K15</f>
        <v>485538.62</v>
      </c>
    </row>
    <row r="16" spans="1:21" x14ac:dyDescent="0.25">
      <c r="A16" s="290"/>
      <c r="B16" s="293"/>
      <c r="C16" s="63" t="s">
        <v>165</v>
      </c>
      <c r="D16" s="64"/>
      <c r="E16" s="59">
        <v>4</v>
      </c>
      <c r="F16" s="59">
        <v>4</v>
      </c>
      <c r="G16" s="59">
        <f t="shared" si="0"/>
        <v>4</v>
      </c>
      <c r="H16" s="59">
        <v>4</v>
      </c>
      <c r="I16" s="59">
        <v>4</v>
      </c>
      <c r="J16" s="71">
        <f t="shared" ref="J16:J21" si="2">K16</f>
        <v>92468.25</v>
      </c>
      <c r="K16" s="75">
        <v>92468.25</v>
      </c>
      <c r="L16" s="72" t="s">
        <v>104</v>
      </c>
      <c r="M16" s="224" t="s">
        <v>104</v>
      </c>
      <c r="N16" s="216">
        <f t="shared" ref="N16:N21" si="3">O16</f>
        <v>369873</v>
      </c>
      <c r="O16" s="71">
        <f t="shared" si="1"/>
        <v>369873</v>
      </c>
      <c r="P16" s="72" t="s">
        <v>104</v>
      </c>
      <c r="Q16" s="72"/>
      <c r="R16" s="224" t="s">
        <v>104</v>
      </c>
      <c r="S16" s="72"/>
      <c r="T16" s="100">
        <f t="shared" ref="T16:T21" si="4">H16*K16</f>
        <v>369873</v>
      </c>
      <c r="U16" s="100">
        <f t="shared" ref="U16:U21" si="5">I16*K16</f>
        <v>369873</v>
      </c>
    </row>
    <row r="17" spans="1:24" x14ac:dyDescent="0.25">
      <c r="A17" s="290"/>
      <c r="B17" s="293"/>
      <c r="C17" s="63" t="s">
        <v>166</v>
      </c>
      <c r="D17" s="64"/>
      <c r="E17" s="59">
        <v>17</v>
      </c>
      <c r="F17" s="59">
        <v>17</v>
      </c>
      <c r="G17" s="59">
        <f t="shared" si="0"/>
        <v>17</v>
      </c>
      <c r="H17" s="59">
        <v>17</v>
      </c>
      <c r="I17" s="59">
        <v>17</v>
      </c>
      <c r="J17" s="71">
        <f t="shared" si="2"/>
        <v>66361.320000000007</v>
      </c>
      <c r="K17" s="75">
        <v>66361.320000000007</v>
      </c>
      <c r="L17" s="72" t="s">
        <v>104</v>
      </c>
      <c r="M17" s="224" t="s">
        <v>104</v>
      </c>
      <c r="N17" s="216">
        <f t="shared" si="3"/>
        <v>1128142.4400000002</v>
      </c>
      <c r="O17" s="71">
        <f t="shared" si="1"/>
        <v>1128142.4400000002</v>
      </c>
      <c r="P17" s="72" t="s">
        <v>104</v>
      </c>
      <c r="Q17" s="72"/>
      <c r="R17" s="224" t="s">
        <v>104</v>
      </c>
      <c r="S17" s="72"/>
      <c r="T17" s="100">
        <f t="shared" si="4"/>
        <v>1128142.4400000002</v>
      </c>
      <c r="U17" s="100">
        <f t="shared" si="5"/>
        <v>1128142.4400000002</v>
      </c>
    </row>
    <row r="18" spans="1:24" x14ac:dyDescent="0.25">
      <c r="A18" s="290"/>
      <c r="B18" s="293"/>
      <c r="C18" s="63" t="s">
        <v>167</v>
      </c>
      <c r="D18" s="64"/>
      <c r="E18" s="59">
        <v>1</v>
      </c>
      <c r="F18" s="59">
        <v>1</v>
      </c>
      <c r="G18" s="59">
        <f t="shared" si="0"/>
        <v>1</v>
      </c>
      <c r="H18" s="59">
        <v>1</v>
      </c>
      <c r="I18" s="59">
        <v>1</v>
      </c>
      <c r="J18" s="71">
        <f t="shared" si="2"/>
        <v>174890.83</v>
      </c>
      <c r="K18" s="75">
        <v>174890.83</v>
      </c>
      <c r="L18" s="72" t="s">
        <v>104</v>
      </c>
      <c r="M18" s="224" t="s">
        <v>104</v>
      </c>
      <c r="N18" s="216">
        <f t="shared" si="3"/>
        <v>174890.83</v>
      </c>
      <c r="O18" s="71">
        <f t="shared" si="1"/>
        <v>174890.83</v>
      </c>
      <c r="P18" s="72" t="s">
        <v>104</v>
      </c>
      <c r="Q18" s="72"/>
      <c r="R18" s="224" t="s">
        <v>104</v>
      </c>
      <c r="S18" s="72"/>
      <c r="T18" s="100">
        <f t="shared" si="4"/>
        <v>174890.83</v>
      </c>
      <c r="U18" s="100">
        <f t="shared" si="5"/>
        <v>174890.83</v>
      </c>
    </row>
    <row r="19" spans="1:24" x14ac:dyDescent="0.25">
      <c r="A19" s="290"/>
      <c r="B19" s="293"/>
      <c r="C19" s="63" t="s">
        <v>190</v>
      </c>
      <c r="D19" s="64"/>
      <c r="E19" s="59">
        <v>1</v>
      </c>
      <c r="F19" s="59">
        <v>1</v>
      </c>
      <c r="G19" s="157">
        <f t="shared" si="0"/>
        <v>1</v>
      </c>
      <c r="H19" s="59">
        <v>1</v>
      </c>
      <c r="I19" s="59">
        <v>1</v>
      </c>
      <c r="J19" s="71">
        <f t="shared" si="2"/>
        <v>178794.98</v>
      </c>
      <c r="K19" s="75">
        <v>178794.98</v>
      </c>
      <c r="L19" s="72"/>
      <c r="M19" s="224"/>
      <c r="N19" s="216">
        <f t="shared" si="3"/>
        <v>178794.98</v>
      </c>
      <c r="O19" s="71">
        <f t="shared" si="1"/>
        <v>178794.98</v>
      </c>
      <c r="P19" s="72" t="s">
        <v>104</v>
      </c>
      <c r="Q19" s="72"/>
      <c r="R19" s="224" t="s">
        <v>104</v>
      </c>
      <c r="S19" s="72"/>
      <c r="T19" s="100">
        <f t="shared" si="4"/>
        <v>178794.98</v>
      </c>
      <c r="U19" s="100">
        <f t="shared" si="5"/>
        <v>178794.98</v>
      </c>
    </row>
    <row r="20" spans="1:24" x14ac:dyDescent="0.25">
      <c r="A20" s="290"/>
      <c r="B20" s="293"/>
      <c r="C20" s="63" t="s">
        <v>170</v>
      </c>
      <c r="D20" s="64"/>
      <c r="E20" s="59">
        <v>1</v>
      </c>
      <c r="F20" s="59">
        <v>1</v>
      </c>
      <c r="G20" s="59">
        <f t="shared" si="0"/>
        <v>1</v>
      </c>
      <c r="H20" s="59">
        <v>1</v>
      </c>
      <c r="I20" s="59">
        <v>1</v>
      </c>
      <c r="J20" s="71">
        <f t="shared" si="2"/>
        <v>99648.29</v>
      </c>
      <c r="K20" s="75">
        <v>99648.29</v>
      </c>
      <c r="L20" s="72" t="s">
        <v>104</v>
      </c>
      <c r="M20" s="224" t="s">
        <v>104</v>
      </c>
      <c r="N20" s="216">
        <f t="shared" si="3"/>
        <v>99648.29</v>
      </c>
      <c r="O20" s="71">
        <f t="shared" si="1"/>
        <v>99648.29</v>
      </c>
      <c r="P20" s="72" t="s">
        <v>104</v>
      </c>
      <c r="Q20" s="72"/>
      <c r="R20" s="224" t="s">
        <v>104</v>
      </c>
      <c r="S20" s="72"/>
      <c r="T20" s="100">
        <f t="shared" si="4"/>
        <v>99648.29</v>
      </c>
      <c r="U20" s="100">
        <f t="shared" si="5"/>
        <v>99648.29</v>
      </c>
    </row>
    <row r="21" spans="1:24" x14ac:dyDescent="0.25">
      <c r="A21" s="290"/>
      <c r="B21" s="293"/>
      <c r="C21" s="63" t="s">
        <v>168</v>
      </c>
      <c r="D21" s="64"/>
      <c r="E21" s="59">
        <v>1</v>
      </c>
      <c r="F21" s="59">
        <v>1</v>
      </c>
      <c r="G21" s="157">
        <f t="shared" si="0"/>
        <v>1</v>
      </c>
      <c r="H21" s="59">
        <v>1</v>
      </c>
      <c r="I21" s="59">
        <v>1</v>
      </c>
      <c r="J21" s="71">
        <f t="shared" si="2"/>
        <v>23553.439999999999</v>
      </c>
      <c r="K21" s="75">
        <v>23553.439999999999</v>
      </c>
      <c r="L21" s="72" t="s">
        <v>104</v>
      </c>
      <c r="M21" s="224" t="s">
        <v>104</v>
      </c>
      <c r="N21" s="216">
        <f t="shared" si="3"/>
        <v>23553.439999999999</v>
      </c>
      <c r="O21" s="71">
        <f t="shared" si="1"/>
        <v>23553.439999999999</v>
      </c>
      <c r="P21" s="72" t="s">
        <v>104</v>
      </c>
      <c r="Q21" s="72"/>
      <c r="R21" s="224" t="s">
        <v>104</v>
      </c>
      <c r="S21" s="72"/>
      <c r="T21" s="100">
        <f t="shared" si="4"/>
        <v>23553.439999999999</v>
      </c>
      <c r="U21" s="100">
        <f t="shared" si="5"/>
        <v>23553.439999999999</v>
      </c>
    </row>
    <row r="22" spans="1:24" ht="120" x14ac:dyDescent="0.25">
      <c r="A22" s="290"/>
      <c r="B22" s="293"/>
      <c r="C22" s="61" t="s">
        <v>105</v>
      </c>
      <c r="D22" s="64" t="s">
        <v>101</v>
      </c>
      <c r="E22" s="59">
        <v>4</v>
      </c>
      <c r="F22" s="59">
        <v>4</v>
      </c>
      <c r="G22" s="59">
        <f t="shared" si="0"/>
        <v>4</v>
      </c>
      <c r="H22" s="59">
        <v>4</v>
      </c>
      <c r="I22" s="59">
        <v>4</v>
      </c>
      <c r="J22" s="75">
        <f>SUM(K22:M22)</f>
        <v>142568.18657309999</v>
      </c>
      <c r="K22" s="75">
        <f>121412.92+1351.63</f>
        <v>122764.55</v>
      </c>
      <c r="L22" s="72">
        <f>4001.99*2.3654</f>
        <v>9466.307146000001</v>
      </c>
      <c r="M22" s="220">
        <f>10183.7704+153.5590271</f>
        <v>10337.3294271</v>
      </c>
      <c r="N22" s="71">
        <f>SUM(O22:R22)</f>
        <v>570272.74629239994</v>
      </c>
      <c r="O22" s="71">
        <f>G22*K22</f>
        <v>491058.2</v>
      </c>
      <c r="P22" s="71">
        <f>G22*L22</f>
        <v>37865.228584000004</v>
      </c>
      <c r="Q22" s="71"/>
      <c r="R22" s="46">
        <f>G22*M22</f>
        <v>41349.317708399998</v>
      </c>
      <c r="S22" s="75"/>
      <c r="T22" s="100">
        <f>H22*J22</f>
        <v>570272.74629239994</v>
      </c>
      <c r="U22" s="100">
        <f t="shared" ref="U22:U122" si="6">I22*J22</f>
        <v>570272.74629239994</v>
      </c>
    </row>
    <row r="23" spans="1:24" x14ac:dyDescent="0.25">
      <c r="A23" s="290"/>
      <c r="B23" s="294"/>
      <c r="C23" s="66" t="s">
        <v>106</v>
      </c>
      <c r="D23" s="67"/>
      <c r="E23" s="59">
        <f>E12+E22</f>
        <v>272</v>
      </c>
      <c r="F23" s="59">
        <f>F12+F22</f>
        <v>272</v>
      </c>
      <c r="G23" s="59">
        <f>G12+G22</f>
        <v>272</v>
      </c>
      <c r="H23" s="59">
        <f t="shared" ref="H23:I23" si="7">H12+H22</f>
        <v>272</v>
      </c>
      <c r="I23" s="59">
        <f t="shared" si="7"/>
        <v>272</v>
      </c>
      <c r="J23" s="71" t="s">
        <v>104</v>
      </c>
      <c r="K23" s="71" t="s">
        <v>104</v>
      </c>
      <c r="L23" s="71" t="s">
        <v>104</v>
      </c>
      <c r="M23" s="221" t="s">
        <v>104</v>
      </c>
      <c r="N23" s="71">
        <f>SUM(N12:N22)</f>
        <v>14897396.977883196</v>
      </c>
      <c r="O23" s="71">
        <f t="shared" ref="O23:R23" si="8">SUM(O12:O22)</f>
        <v>9510807.8299999982</v>
      </c>
      <c r="P23" s="71">
        <f t="shared" si="8"/>
        <v>2574835.5437120004</v>
      </c>
      <c r="Q23" s="71"/>
      <c r="R23" s="221">
        <f t="shared" si="8"/>
        <v>2811753.6041711997</v>
      </c>
      <c r="S23" s="71"/>
      <c r="T23" s="75">
        <f>SUM(T12:T22)</f>
        <v>14897396.977883196</v>
      </c>
      <c r="U23" s="75">
        <f>SUM(U12:U22)</f>
        <v>14897396.977883196</v>
      </c>
      <c r="W23" s="85">
        <f>R23+R30+R36+R42</f>
        <v>5969334.7900096001</v>
      </c>
    </row>
    <row r="24" spans="1:24" ht="90" x14ac:dyDescent="0.25">
      <c r="A24" s="290"/>
      <c r="B24" s="291" t="s">
        <v>241</v>
      </c>
      <c r="C24" s="61" t="s">
        <v>100</v>
      </c>
      <c r="D24" s="62" t="s">
        <v>101</v>
      </c>
      <c r="E24" s="59">
        <v>226</v>
      </c>
      <c r="F24" s="59">
        <v>226</v>
      </c>
      <c r="G24" s="59">
        <f>((E24*8)+(F24*4))/12</f>
        <v>226</v>
      </c>
      <c r="H24" s="59">
        <v>226</v>
      </c>
      <c r="I24" s="59">
        <v>226</v>
      </c>
      <c r="J24" s="107">
        <f>SUM(K24:M24)</f>
        <v>55799.336573100001</v>
      </c>
      <c r="K24" s="107">
        <f>34346.05+1649.65</f>
        <v>35995.700000000004</v>
      </c>
      <c r="L24" s="70">
        <f>4001.99*2.3654</f>
        <v>9466.307146000001</v>
      </c>
      <c r="M24" s="220">
        <f>10183.7704+153.5590271</f>
        <v>10337.3294271</v>
      </c>
      <c r="N24" s="71">
        <f>SUM(O24:R24)</f>
        <v>12610650.065520601</v>
      </c>
      <c r="O24" s="71">
        <f>G24*K24</f>
        <v>8135028.2000000011</v>
      </c>
      <c r="P24" s="73">
        <f>G24*L24</f>
        <v>2139385.414996</v>
      </c>
      <c r="Q24" s="73"/>
      <c r="R24" s="46">
        <f>G24*M24</f>
        <v>2336236.4505245998</v>
      </c>
      <c r="S24" s="75"/>
      <c r="T24" s="75">
        <f t="shared" ref="T24:T122" si="9">H24*J24</f>
        <v>12610650.065520599</v>
      </c>
      <c r="U24" s="75">
        <f t="shared" si="6"/>
        <v>12610650.065520599</v>
      </c>
      <c r="X24" s="85"/>
    </row>
    <row r="25" spans="1:24" ht="111.75" customHeight="1" x14ac:dyDescent="0.25">
      <c r="A25" s="290"/>
      <c r="B25" s="291"/>
      <c r="C25" s="63" t="s">
        <v>102</v>
      </c>
      <c r="D25" s="64" t="s">
        <v>101</v>
      </c>
      <c r="E25" s="59" t="s">
        <v>104</v>
      </c>
      <c r="F25" s="59" t="s">
        <v>104</v>
      </c>
      <c r="G25" s="59" t="s">
        <v>104</v>
      </c>
      <c r="H25" s="59" t="s">
        <v>104</v>
      </c>
      <c r="I25" s="59" t="s">
        <v>104</v>
      </c>
      <c r="J25" s="59" t="s">
        <v>104</v>
      </c>
      <c r="K25" s="59" t="s">
        <v>104</v>
      </c>
      <c r="L25" s="59" t="s">
        <v>104</v>
      </c>
      <c r="M25" s="123" t="s">
        <v>104</v>
      </c>
      <c r="N25" s="71"/>
      <c r="O25" s="71"/>
      <c r="P25" s="59" t="s">
        <v>104</v>
      </c>
      <c r="Q25" s="59"/>
      <c r="R25" s="123" t="s">
        <v>104</v>
      </c>
      <c r="S25" s="59"/>
      <c r="T25" s="75"/>
      <c r="U25" s="75"/>
    </row>
    <row r="26" spans="1:24" ht="20.25" customHeight="1" x14ac:dyDescent="0.25">
      <c r="A26" s="290"/>
      <c r="B26" s="291"/>
      <c r="C26" s="63" t="s">
        <v>165</v>
      </c>
      <c r="D26" s="64" t="s">
        <v>101</v>
      </c>
      <c r="E26" s="60">
        <v>2</v>
      </c>
      <c r="F26" s="60">
        <v>2</v>
      </c>
      <c r="G26" s="59">
        <f>((E26*8)+(F26*4))/12</f>
        <v>2</v>
      </c>
      <c r="H26" s="60">
        <v>2</v>
      </c>
      <c r="I26" s="60">
        <v>2</v>
      </c>
      <c r="J26" s="71">
        <f>K26</f>
        <v>92468.25</v>
      </c>
      <c r="K26" s="75">
        <v>92468.25</v>
      </c>
      <c r="L26" s="59" t="s">
        <v>104</v>
      </c>
      <c r="M26" s="123" t="s">
        <v>104</v>
      </c>
      <c r="N26" s="71">
        <f>O26</f>
        <v>184936.5</v>
      </c>
      <c r="O26" s="71">
        <f>G26*K26</f>
        <v>184936.5</v>
      </c>
      <c r="P26" s="59" t="s">
        <v>104</v>
      </c>
      <c r="Q26" s="59"/>
      <c r="R26" s="123" t="s">
        <v>104</v>
      </c>
      <c r="S26" s="59"/>
      <c r="T26" s="75">
        <f>H26*K26</f>
        <v>184936.5</v>
      </c>
      <c r="U26" s="75">
        <f>I26*K26</f>
        <v>184936.5</v>
      </c>
    </row>
    <row r="27" spans="1:24" ht="21" customHeight="1" x14ac:dyDescent="0.25">
      <c r="A27" s="290"/>
      <c r="B27" s="291"/>
      <c r="C27" s="63" t="s">
        <v>167</v>
      </c>
      <c r="D27" s="64" t="s">
        <v>101</v>
      </c>
      <c r="E27" s="60">
        <v>1</v>
      </c>
      <c r="F27" s="60">
        <v>1</v>
      </c>
      <c r="G27" s="157">
        <f t="shared" ref="G27:G29" si="10">((E27*8)+(F27*4))/12</f>
        <v>1</v>
      </c>
      <c r="H27" s="60">
        <v>1</v>
      </c>
      <c r="I27" s="60">
        <v>1</v>
      </c>
      <c r="J27" s="71">
        <f t="shared" ref="J27:J28" si="11">K27</f>
        <v>266106.15000000002</v>
      </c>
      <c r="K27" s="75">
        <v>266106.15000000002</v>
      </c>
      <c r="L27" s="59" t="s">
        <v>104</v>
      </c>
      <c r="M27" s="123" t="s">
        <v>104</v>
      </c>
      <c r="N27" s="71">
        <f t="shared" ref="N27:N28" si="12">O27</f>
        <v>266106.15000000002</v>
      </c>
      <c r="O27" s="71">
        <f t="shared" ref="O27:O28" si="13">G27*K27</f>
        <v>266106.15000000002</v>
      </c>
      <c r="P27" s="59" t="s">
        <v>104</v>
      </c>
      <c r="Q27" s="59"/>
      <c r="R27" s="123" t="s">
        <v>104</v>
      </c>
      <c r="S27" s="59"/>
      <c r="T27" s="75">
        <f t="shared" ref="T27:T28" si="14">H27*K27</f>
        <v>266106.15000000002</v>
      </c>
      <c r="U27" s="75">
        <f t="shared" ref="U27:U28" si="15">I27*K27</f>
        <v>266106.15000000002</v>
      </c>
    </row>
    <row r="28" spans="1:24" ht="21" customHeight="1" x14ac:dyDescent="0.25">
      <c r="A28" s="290"/>
      <c r="B28" s="291"/>
      <c r="C28" s="63" t="s">
        <v>168</v>
      </c>
      <c r="D28" s="64" t="s">
        <v>101</v>
      </c>
      <c r="E28" s="60">
        <v>3</v>
      </c>
      <c r="F28" s="60">
        <v>3</v>
      </c>
      <c r="G28" s="59">
        <f t="shared" si="10"/>
        <v>3</v>
      </c>
      <c r="H28" s="60">
        <v>3</v>
      </c>
      <c r="I28" s="60">
        <v>3</v>
      </c>
      <c r="J28" s="71">
        <f t="shared" si="11"/>
        <v>23553.439999999999</v>
      </c>
      <c r="K28" s="75">
        <v>23553.439999999999</v>
      </c>
      <c r="L28" s="59" t="s">
        <v>104</v>
      </c>
      <c r="M28" s="123" t="s">
        <v>104</v>
      </c>
      <c r="N28" s="71">
        <f t="shared" si="12"/>
        <v>70660.319999999992</v>
      </c>
      <c r="O28" s="71">
        <f t="shared" si="13"/>
        <v>70660.319999999992</v>
      </c>
      <c r="P28" s="59" t="s">
        <v>104</v>
      </c>
      <c r="Q28" s="59"/>
      <c r="R28" s="123" t="s">
        <v>104</v>
      </c>
      <c r="S28" s="59"/>
      <c r="T28" s="75">
        <f t="shared" si="14"/>
        <v>70660.319999999992</v>
      </c>
      <c r="U28" s="75">
        <f t="shared" si="15"/>
        <v>70660.319999999992</v>
      </c>
    </row>
    <row r="29" spans="1:24" ht="120" x14ac:dyDescent="0.25">
      <c r="A29" s="290"/>
      <c r="B29" s="291"/>
      <c r="C29" s="61" t="s">
        <v>105</v>
      </c>
      <c r="D29" s="64" t="s">
        <v>101</v>
      </c>
      <c r="E29" s="60"/>
      <c r="F29" s="60">
        <v>0</v>
      </c>
      <c r="G29" s="59">
        <f t="shared" si="10"/>
        <v>0</v>
      </c>
      <c r="H29" s="60"/>
      <c r="I29" s="60"/>
      <c r="J29" s="71">
        <f>K29</f>
        <v>153046.01</v>
      </c>
      <c r="K29" s="73">
        <f>151407.63+1638.38</f>
        <v>153046.01</v>
      </c>
      <c r="L29" s="70">
        <f>4001.99*2.3654</f>
        <v>9466.307146000001</v>
      </c>
      <c r="M29" s="220">
        <f>10183.7704+153.5590271</f>
        <v>10337.3294271</v>
      </c>
      <c r="N29" s="71">
        <f>SUM(O29:R29)</f>
        <v>0</v>
      </c>
      <c r="O29" s="71">
        <f>G29*K29</f>
        <v>0</v>
      </c>
      <c r="P29" s="73">
        <f>G29*L29</f>
        <v>0</v>
      </c>
      <c r="Q29" s="73"/>
      <c r="R29" s="46">
        <f>G29*M29</f>
        <v>0</v>
      </c>
      <c r="S29" s="75"/>
      <c r="T29" s="75">
        <f>N29</f>
        <v>0</v>
      </c>
      <c r="U29" s="75">
        <f>T29</f>
        <v>0</v>
      </c>
    </row>
    <row r="30" spans="1:24" x14ac:dyDescent="0.25">
      <c r="A30" s="290"/>
      <c r="B30" s="198"/>
      <c r="C30" s="66" t="s">
        <v>106</v>
      </c>
      <c r="D30" s="64"/>
      <c r="E30" s="60">
        <f>E24+E29</f>
        <v>226</v>
      </c>
      <c r="F30" s="60">
        <f>F24+F29</f>
        <v>226</v>
      </c>
      <c r="G30" s="60">
        <f>G24+G29</f>
        <v>226</v>
      </c>
      <c r="H30" s="60">
        <f t="shared" ref="H30:I30" si="16">H24+H29</f>
        <v>226</v>
      </c>
      <c r="I30" s="60">
        <f t="shared" si="16"/>
        <v>226</v>
      </c>
      <c r="J30" s="59" t="s">
        <v>104</v>
      </c>
      <c r="K30" s="59" t="s">
        <v>104</v>
      </c>
      <c r="L30" s="59" t="s">
        <v>104</v>
      </c>
      <c r="M30" s="123" t="s">
        <v>104</v>
      </c>
      <c r="N30" s="74">
        <f>SUM(N24:N29)</f>
        <v>13132353.035520602</v>
      </c>
      <c r="O30" s="74">
        <f t="shared" ref="O30:U30" si="17">SUM(O24:O29)</f>
        <v>8656731.1700000018</v>
      </c>
      <c r="P30" s="74">
        <f t="shared" si="17"/>
        <v>2139385.414996</v>
      </c>
      <c r="Q30" s="74"/>
      <c r="R30" s="225">
        <f t="shared" si="17"/>
        <v>2336236.4505245998</v>
      </c>
      <c r="S30" s="74"/>
      <c r="T30" s="74">
        <f t="shared" si="17"/>
        <v>13132353.0355206</v>
      </c>
      <c r="U30" s="74">
        <f t="shared" si="17"/>
        <v>13132353.0355206</v>
      </c>
    </row>
    <row r="31" spans="1:24" ht="82.9" customHeight="1" x14ac:dyDescent="0.25">
      <c r="A31" s="290"/>
      <c r="B31" s="292" t="s">
        <v>242</v>
      </c>
      <c r="C31" s="61" t="s">
        <v>100</v>
      </c>
      <c r="D31" s="62" t="s">
        <v>101</v>
      </c>
      <c r="E31" s="60">
        <v>50</v>
      </c>
      <c r="F31" s="60">
        <v>50</v>
      </c>
      <c r="G31" s="59">
        <f>((E31*8)+(F31*4))/12</f>
        <v>50</v>
      </c>
      <c r="H31" s="60">
        <v>50</v>
      </c>
      <c r="I31" s="60">
        <v>50</v>
      </c>
      <c r="J31" s="107">
        <f>SUM(K31:M31)</f>
        <v>62907.536573099998</v>
      </c>
      <c r="K31" s="107">
        <f>41105.12+1998.78</f>
        <v>43103.9</v>
      </c>
      <c r="L31" s="70">
        <f>4001.99*2.3654</f>
        <v>9466.307146000001</v>
      </c>
      <c r="M31" s="220">
        <f>10183.7704+153.5590271</f>
        <v>10337.3294271</v>
      </c>
      <c r="N31" s="73">
        <f>SUM(O31:R31)</f>
        <v>3145376.8986550001</v>
      </c>
      <c r="O31" s="73">
        <f>G31*K31</f>
        <v>2155195</v>
      </c>
      <c r="P31" s="73">
        <f>G31*L31+0.09</f>
        <v>473315.44730000006</v>
      </c>
      <c r="Q31" s="73"/>
      <c r="R31" s="46">
        <f>G31*M31-0.02</f>
        <v>516866.45135499997</v>
      </c>
      <c r="S31" s="75"/>
      <c r="T31" s="75">
        <f>N31</f>
        <v>3145376.8986550001</v>
      </c>
      <c r="U31" s="75">
        <f>T31</f>
        <v>3145376.8986550001</v>
      </c>
    </row>
    <row r="32" spans="1:24" ht="120" x14ac:dyDescent="0.25">
      <c r="A32" s="290"/>
      <c r="B32" s="293"/>
      <c r="C32" s="63" t="s">
        <v>102</v>
      </c>
      <c r="D32" s="64" t="s">
        <v>101</v>
      </c>
      <c r="E32" s="59" t="s">
        <v>104</v>
      </c>
      <c r="F32" s="59" t="s">
        <v>104</v>
      </c>
      <c r="G32" s="59" t="s">
        <v>104</v>
      </c>
      <c r="H32" s="59" t="s">
        <v>104</v>
      </c>
      <c r="I32" s="59" t="s">
        <v>104</v>
      </c>
      <c r="J32" s="59" t="s">
        <v>104</v>
      </c>
      <c r="K32" s="59" t="s">
        <v>104</v>
      </c>
      <c r="L32" s="59" t="s">
        <v>104</v>
      </c>
      <c r="M32" s="123" t="s">
        <v>104</v>
      </c>
      <c r="N32" s="71"/>
      <c r="O32" s="71"/>
      <c r="P32" s="59" t="s">
        <v>104</v>
      </c>
      <c r="Q32" s="59"/>
      <c r="R32" s="123" t="s">
        <v>104</v>
      </c>
      <c r="S32" s="59"/>
      <c r="T32" s="75"/>
      <c r="U32" s="75"/>
    </row>
    <row r="33" spans="1:24" x14ac:dyDescent="0.25">
      <c r="A33" s="290"/>
      <c r="B33" s="293"/>
      <c r="C33" s="63" t="s">
        <v>168</v>
      </c>
      <c r="D33" s="64" t="s">
        <v>101</v>
      </c>
      <c r="E33" s="59"/>
      <c r="F33" s="59"/>
      <c r="G33" s="59">
        <f>((E33*8)+(F33*4))/12</f>
        <v>0</v>
      </c>
      <c r="H33" s="59"/>
      <c r="I33" s="59"/>
      <c r="J33" s="71">
        <f t="shared" ref="J33" si="18">K33</f>
        <v>23553.439999999999</v>
      </c>
      <c r="K33" s="75">
        <v>23553.439999999999</v>
      </c>
      <c r="L33" s="59" t="s">
        <v>104</v>
      </c>
      <c r="M33" s="123" t="s">
        <v>104</v>
      </c>
      <c r="N33" s="71">
        <f t="shared" ref="N33" si="19">O33</f>
        <v>0</v>
      </c>
      <c r="O33" s="71">
        <f>G33*K33</f>
        <v>0</v>
      </c>
      <c r="P33" s="59" t="s">
        <v>104</v>
      </c>
      <c r="Q33" s="59"/>
      <c r="R33" s="123" t="s">
        <v>104</v>
      </c>
      <c r="S33" s="59"/>
      <c r="T33" s="75">
        <f t="shared" ref="T33" si="20">H33*K33</f>
        <v>0</v>
      </c>
      <c r="U33" s="75">
        <f t="shared" ref="U33" si="21">I33*K33</f>
        <v>0</v>
      </c>
    </row>
    <row r="34" spans="1:24" ht="120" x14ac:dyDescent="0.25">
      <c r="A34" s="290"/>
      <c r="B34" s="293"/>
      <c r="C34" s="61" t="s">
        <v>105</v>
      </c>
      <c r="D34" s="64" t="s">
        <v>101</v>
      </c>
      <c r="E34" s="60"/>
      <c r="F34" s="60"/>
      <c r="G34" s="60"/>
      <c r="H34" s="60"/>
      <c r="I34" s="60"/>
      <c r="J34" s="73"/>
      <c r="K34" s="73"/>
      <c r="L34" s="74"/>
      <c r="M34" s="219"/>
      <c r="N34" s="73"/>
      <c r="O34" s="73"/>
      <c r="P34" s="73"/>
      <c r="Q34" s="73"/>
      <c r="R34" s="219"/>
      <c r="S34" s="73"/>
      <c r="T34" s="75">
        <f t="shared" si="9"/>
        <v>0</v>
      </c>
      <c r="U34" s="75">
        <f t="shared" si="6"/>
        <v>0</v>
      </c>
    </row>
    <row r="35" spans="1:24" ht="92.45" customHeight="1" x14ac:dyDescent="0.25">
      <c r="A35" s="290"/>
      <c r="B35" s="294"/>
      <c r="C35" s="166" t="s">
        <v>259</v>
      </c>
      <c r="D35" s="167" t="s">
        <v>101</v>
      </c>
      <c r="E35" s="168"/>
      <c r="F35" s="168"/>
      <c r="G35" s="168">
        <f>84/12*4</f>
        <v>28</v>
      </c>
      <c r="H35" s="168">
        <f t="shared" ref="H35:I35" si="22">84/12*4</f>
        <v>28</v>
      </c>
      <c r="I35" s="168">
        <f t="shared" si="22"/>
        <v>28</v>
      </c>
      <c r="J35" s="171">
        <f>K35+L35</f>
        <v>39950.457146000001</v>
      </c>
      <c r="K35" s="171">
        <f>28499.03+1985.12</f>
        <v>30484.149999999998</v>
      </c>
      <c r="L35" s="163">
        <f>4001.99*2.3654</f>
        <v>9466.307146000001</v>
      </c>
      <c r="M35" s="163">
        <f>10183.7704+153.5590271</f>
        <v>10337.3294271</v>
      </c>
      <c r="N35" s="171">
        <f>SUM(O35:R35)</f>
        <v>1779707.8848185316</v>
      </c>
      <c r="O35" s="171">
        <f>84*K35/12*5.46314+0.11</f>
        <v>1165774.3646169999</v>
      </c>
      <c r="P35" s="171">
        <f>84*L35/12*4.8969-0.68</f>
        <v>324488.2362427318</v>
      </c>
      <c r="Q35" s="169" t="s">
        <v>104</v>
      </c>
      <c r="R35" s="232">
        <f>M35*28+0.06</f>
        <v>289445.28395879996</v>
      </c>
      <c r="S35" s="169" t="s">
        <v>104</v>
      </c>
      <c r="T35" s="156">
        <f>N35</f>
        <v>1779707.8848185316</v>
      </c>
      <c r="U35" s="156">
        <f>T35</f>
        <v>1779707.8848185316</v>
      </c>
    </row>
    <row r="36" spans="1:24" x14ac:dyDescent="0.25">
      <c r="A36" s="290"/>
      <c r="B36" s="198"/>
      <c r="C36" s="66" t="s">
        <v>106</v>
      </c>
      <c r="D36" s="64"/>
      <c r="E36" s="60">
        <f>E31</f>
        <v>50</v>
      </c>
      <c r="F36" s="60">
        <f>F31</f>
        <v>50</v>
      </c>
      <c r="G36" s="59">
        <f>((E36*8)+(F36*4))/12+G35</f>
        <v>78</v>
      </c>
      <c r="H36" s="59">
        <f>G36</f>
        <v>78</v>
      </c>
      <c r="I36" s="59">
        <f>H36</f>
        <v>78</v>
      </c>
      <c r="J36" s="73" t="s">
        <v>104</v>
      </c>
      <c r="K36" s="73" t="s">
        <v>104</v>
      </c>
      <c r="L36" s="73" t="s">
        <v>104</v>
      </c>
      <c r="M36" s="219" t="s">
        <v>104</v>
      </c>
      <c r="N36" s="74">
        <f>SUM(N31:N35)</f>
        <v>4925084.7834735317</v>
      </c>
      <c r="O36" s="74">
        <f>SUM(O31:O35)</f>
        <v>3320969.3646169999</v>
      </c>
      <c r="P36" s="74">
        <f>SUM(P31:P35)</f>
        <v>797803.68354273192</v>
      </c>
      <c r="Q36" s="74"/>
      <c r="R36" s="225">
        <f>SUM(R31:R35)</f>
        <v>806311.73531379993</v>
      </c>
      <c r="S36" s="74"/>
      <c r="T36" s="74">
        <f>SUM(T31:T35)</f>
        <v>4925084.7834735317</v>
      </c>
      <c r="U36" s="74">
        <f>SUM(U31:U35)</f>
        <v>4925084.7834735317</v>
      </c>
      <c r="W36" s="80">
        <f>R43/576</f>
        <v>10363.428454877778</v>
      </c>
    </row>
    <row r="37" spans="1:24" ht="100.9" customHeight="1" x14ac:dyDescent="0.25">
      <c r="A37" s="290"/>
      <c r="B37" s="137" t="s">
        <v>243</v>
      </c>
      <c r="C37" s="61" t="s">
        <v>187</v>
      </c>
      <c r="D37" s="64" t="s">
        <v>101</v>
      </c>
      <c r="E37" s="60">
        <v>653</v>
      </c>
      <c r="F37" s="60">
        <v>653</v>
      </c>
      <c r="G37" s="59">
        <f>((E37*8)+(F37*4))/12</f>
        <v>653</v>
      </c>
      <c r="H37" s="60">
        <v>653</v>
      </c>
      <c r="I37" s="60">
        <v>653</v>
      </c>
      <c r="J37" s="75">
        <f>K37</f>
        <v>3978.76</v>
      </c>
      <c r="K37" s="75">
        <v>3978.76</v>
      </c>
      <c r="L37" s="73" t="s">
        <v>104</v>
      </c>
      <c r="M37" s="219" t="s">
        <v>104</v>
      </c>
      <c r="N37" s="73">
        <f>SUM(O37:R37)</f>
        <v>2598124.0000000005</v>
      </c>
      <c r="O37" s="73">
        <f>J37*G37-6.28</f>
        <v>2598124.0000000005</v>
      </c>
      <c r="P37" s="73" t="s">
        <v>104</v>
      </c>
      <c r="Q37" s="73"/>
      <c r="R37" s="219" t="s">
        <v>104</v>
      </c>
      <c r="S37" s="73"/>
      <c r="T37" s="75">
        <f>N37</f>
        <v>2598124.0000000005</v>
      </c>
      <c r="U37" s="75">
        <f>T37</f>
        <v>2598124.0000000005</v>
      </c>
    </row>
    <row r="38" spans="1:24" x14ac:dyDescent="0.25">
      <c r="A38" s="290"/>
      <c r="B38" s="69"/>
      <c r="C38" s="66" t="s">
        <v>106</v>
      </c>
      <c r="D38" s="69"/>
      <c r="E38" s="60">
        <f>SUM(E37:E37)</f>
        <v>653</v>
      </c>
      <c r="F38" s="60">
        <f>SUM(F37:F37)</f>
        <v>653</v>
      </c>
      <c r="G38" s="59">
        <f>G37</f>
        <v>653</v>
      </c>
      <c r="H38" s="60">
        <f>SUM(H37:H37)</f>
        <v>653</v>
      </c>
      <c r="I38" s="60">
        <f>SUM(I37:I37)</f>
        <v>653</v>
      </c>
      <c r="J38" s="73" t="s">
        <v>104</v>
      </c>
      <c r="K38" s="73" t="s">
        <v>104</v>
      </c>
      <c r="L38" s="73" t="s">
        <v>104</v>
      </c>
      <c r="M38" s="225">
        <f t="shared" ref="M38:U38" si="23">SUM(M37:M37)</f>
        <v>0</v>
      </c>
      <c r="N38" s="74">
        <f t="shared" si="23"/>
        <v>2598124.0000000005</v>
      </c>
      <c r="O38" s="74">
        <f t="shared" si="23"/>
        <v>2598124.0000000005</v>
      </c>
      <c r="P38" s="74">
        <f t="shared" si="23"/>
        <v>0</v>
      </c>
      <c r="Q38" s="74"/>
      <c r="R38" s="225">
        <f t="shared" si="23"/>
        <v>0</v>
      </c>
      <c r="S38" s="74"/>
      <c r="T38" s="74">
        <f t="shared" si="23"/>
        <v>2598124.0000000005</v>
      </c>
      <c r="U38" s="74">
        <f t="shared" si="23"/>
        <v>2598124.0000000005</v>
      </c>
    </row>
    <row r="39" spans="1:24" x14ac:dyDescent="0.25">
      <c r="A39" s="290"/>
      <c r="B39" s="69" t="s">
        <v>280</v>
      </c>
      <c r="C39" s="187" t="s">
        <v>226</v>
      </c>
      <c r="D39" s="69"/>
      <c r="E39" s="60"/>
      <c r="F39" s="60"/>
      <c r="G39" s="59"/>
      <c r="H39" s="60"/>
      <c r="I39" s="60"/>
      <c r="J39" s="73"/>
      <c r="K39" s="73"/>
      <c r="L39" s="73"/>
      <c r="M39" s="225"/>
      <c r="N39" s="74">
        <f>P39</f>
        <v>62497</v>
      </c>
      <c r="O39" s="74"/>
      <c r="P39" s="74">
        <v>62497</v>
      </c>
      <c r="Q39" s="74"/>
      <c r="R39" s="225"/>
      <c r="S39" s="74"/>
      <c r="T39" s="74">
        <f>P39</f>
        <v>62497</v>
      </c>
      <c r="U39" s="74">
        <f>T39</f>
        <v>62497</v>
      </c>
    </row>
    <row r="40" spans="1:24" x14ac:dyDescent="0.25">
      <c r="A40" s="290"/>
      <c r="B40" s="89" t="s">
        <v>225</v>
      </c>
      <c r="C40" s="187" t="s">
        <v>219</v>
      </c>
      <c r="D40" s="64" t="s">
        <v>101</v>
      </c>
      <c r="E40" s="60"/>
      <c r="F40" s="60"/>
      <c r="G40" s="59">
        <v>17</v>
      </c>
      <c r="H40" s="60">
        <v>17</v>
      </c>
      <c r="I40" s="60">
        <v>17</v>
      </c>
      <c r="J40" s="73"/>
      <c r="K40" s="73"/>
      <c r="L40" s="73"/>
      <c r="M40" s="225"/>
      <c r="N40" s="74">
        <f>S40</f>
        <v>2967526</v>
      </c>
      <c r="O40" s="74"/>
      <c r="P40" s="74"/>
      <c r="Q40" s="74"/>
      <c r="R40" s="225"/>
      <c r="S40" s="74">
        <f>2716614+250912</f>
        <v>2967526</v>
      </c>
      <c r="T40" s="74">
        <f>S40</f>
        <v>2967526</v>
      </c>
      <c r="U40" s="74">
        <f>T40</f>
        <v>2967526</v>
      </c>
    </row>
    <row r="41" spans="1:24" x14ac:dyDescent="0.25">
      <c r="A41" s="290"/>
      <c r="B41" s="89" t="s">
        <v>225</v>
      </c>
      <c r="C41" s="187" t="s">
        <v>226</v>
      </c>
      <c r="D41" s="64" t="s">
        <v>101</v>
      </c>
      <c r="E41" s="60"/>
      <c r="F41" s="60"/>
      <c r="G41" s="59"/>
      <c r="H41" s="60"/>
      <c r="I41" s="60"/>
      <c r="J41" s="73"/>
      <c r="K41" s="73"/>
      <c r="L41" s="73"/>
      <c r="M41" s="225"/>
      <c r="N41" s="225"/>
      <c r="O41" s="225"/>
      <c r="P41" s="225"/>
      <c r="Q41" s="225"/>
      <c r="R41" s="225"/>
      <c r="S41" s="225"/>
      <c r="T41" s="225">
        <f>Q41</f>
        <v>0</v>
      </c>
      <c r="U41" s="225">
        <f>T41</f>
        <v>0</v>
      </c>
    </row>
    <row r="42" spans="1:24" x14ac:dyDescent="0.25">
      <c r="A42" s="290"/>
      <c r="B42" s="89" t="s">
        <v>280</v>
      </c>
      <c r="C42" s="187" t="s">
        <v>219</v>
      </c>
      <c r="D42" s="64"/>
      <c r="E42" s="60"/>
      <c r="F42" s="60"/>
      <c r="G42" s="59"/>
      <c r="H42" s="60"/>
      <c r="I42" s="60"/>
      <c r="J42" s="73"/>
      <c r="K42" s="73"/>
      <c r="L42" s="73"/>
      <c r="M42" s="225"/>
      <c r="N42" s="225">
        <f>R42</f>
        <v>15033</v>
      </c>
      <c r="O42" s="225"/>
      <c r="P42" s="225"/>
      <c r="Q42" s="225"/>
      <c r="R42" s="230">
        <v>15033</v>
      </c>
      <c r="S42" s="225"/>
      <c r="T42" s="225">
        <f>R42</f>
        <v>15033</v>
      </c>
      <c r="U42" s="225">
        <f>T42</f>
        <v>15033</v>
      </c>
    </row>
    <row r="43" spans="1:24" x14ac:dyDescent="0.25">
      <c r="A43" s="290"/>
      <c r="B43" s="101" t="s">
        <v>112</v>
      </c>
      <c r="C43" s="101"/>
      <c r="D43" s="69"/>
      <c r="E43" s="102"/>
      <c r="F43" s="102"/>
      <c r="G43" s="102">
        <f>G23+G30+G36</f>
        <v>576</v>
      </c>
      <c r="H43" s="102">
        <f>H23+H30+H36</f>
        <v>576</v>
      </c>
      <c r="I43" s="102">
        <f>I23+I30+I36</f>
        <v>576</v>
      </c>
      <c r="J43" s="104"/>
      <c r="K43" s="104"/>
      <c r="L43" s="103"/>
      <c r="M43" s="138"/>
      <c r="N43" s="138">
        <f>SUM(O43:S43)</f>
        <v>38598014.796877332</v>
      </c>
      <c r="O43" s="253">
        <f>O23+O30+O36+O38</f>
        <v>24086632.364617001</v>
      </c>
      <c r="P43" s="253">
        <f>P23+P30+P36+P38+P39+P40+P41</f>
        <v>5574521.6422507325</v>
      </c>
      <c r="Q43" s="138">
        <f t="shared" ref="Q43:S43" si="24">Q23+Q30+Q36+Q38+Q39+Q40+Q41</f>
        <v>0</v>
      </c>
      <c r="R43" s="253">
        <f>R23+R30+R36+R38+R39+R40+R41+R42</f>
        <v>5969334.7900096001</v>
      </c>
      <c r="S43" s="253">
        <f t="shared" si="24"/>
        <v>2967526</v>
      </c>
      <c r="T43" s="138">
        <f>T23+T30+T36+T38+T39+T40+T41+T42</f>
        <v>38598014.796877332</v>
      </c>
      <c r="U43" s="138">
        <f>U23+U30+U36+U38+U39+U40+U41+U42</f>
        <v>38598014.796877332</v>
      </c>
      <c r="V43" s="80">
        <f>5954301.79+15033</f>
        <v>5969334.79</v>
      </c>
      <c r="W43" s="85">
        <f>V43-R43</f>
        <v>-9.6000730991363525E-6</v>
      </c>
      <c r="X43" s="80">
        <f>W43/I43</f>
        <v>-1.66667935748895E-8</v>
      </c>
    </row>
    <row r="44" spans="1:24" ht="90" x14ac:dyDescent="0.25">
      <c r="A44" s="290" t="s">
        <v>113</v>
      </c>
      <c r="B44" s="291" t="s">
        <v>240</v>
      </c>
      <c r="C44" s="61" t="s">
        <v>100</v>
      </c>
      <c r="D44" s="62" t="s">
        <v>101</v>
      </c>
      <c r="E44" s="59">
        <v>261</v>
      </c>
      <c r="F44" s="59">
        <v>261</v>
      </c>
      <c r="G44" s="59">
        <f>((E44*8)+(F44*4))/12</f>
        <v>261</v>
      </c>
      <c r="H44" s="59">
        <v>261</v>
      </c>
      <c r="I44" s="59">
        <v>261</v>
      </c>
      <c r="J44" s="107">
        <f>SUM(K44:M44)</f>
        <v>42622.285663062001</v>
      </c>
      <c r="K44" s="107">
        <f>23119.12+1351.63</f>
        <v>24470.75</v>
      </c>
      <c r="L44" s="70">
        <f>4001.99*2.3654</f>
        <v>9466.307146000001</v>
      </c>
      <c r="M44" s="220">
        <f>8021.06+58.14+208.1749+2038.688218-1312.072243+0.380227662-329.1425856</f>
        <v>8685.2285170619998</v>
      </c>
      <c r="N44" s="71">
        <f>SUM(O44:R44)</f>
        <v>11124416.488059182</v>
      </c>
      <c r="O44" s="71">
        <f>G44*K44-0.07</f>
        <v>6386865.6799999997</v>
      </c>
      <c r="P44" s="71">
        <f>G44*L44</f>
        <v>2470706.1651060004</v>
      </c>
      <c r="Q44" s="71"/>
      <c r="R44" s="46">
        <f>G44*M44</f>
        <v>2266844.6429531821</v>
      </c>
      <c r="S44" s="75"/>
      <c r="T44" s="75">
        <f>N44</f>
        <v>11124416.488059182</v>
      </c>
      <c r="U44" s="75">
        <f>T44</f>
        <v>11124416.488059182</v>
      </c>
    </row>
    <row r="45" spans="1:24" ht="135" x14ac:dyDescent="0.25">
      <c r="A45" s="290"/>
      <c r="B45" s="291"/>
      <c r="C45" s="63" t="s">
        <v>163</v>
      </c>
      <c r="D45" s="64" t="s">
        <v>101</v>
      </c>
      <c r="E45" s="59" t="s">
        <v>104</v>
      </c>
      <c r="F45" s="59" t="s">
        <v>104</v>
      </c>
      <c r="G45" s="59" t="s">
        <v>104</v>
      </c>
      <c r="H45" s="59" t="s">
        <v>104</v>
      </c>
      <c r="I45" s="59" t="s">
        <v>104</v>
      </c>
      <c r="J45" s="59" t="s">
        <v>104</v>
      </c>
      <c r="K45" s="59" t="s">
        <v>104</v>
      </c>
      <c r="L45" s="59" t="s">
        <v>104</v>
      </c>
      <c r="M45" s="123" t="s">
        <v>104</v>
      </c>
      <c r="N45" s="71"/>
      <c r="O45" s="71"/>
      <c r="P45" s="59" t="s">
        <v>104</v>
      </c>
      <c r="Q45" s="59"/>
      <c r="R45" s="123" t="s">
        <v>104</v>
      </c>
      <c r="S45" s="59"/>
      <c r="T45" s="75"/>
      <c r="U45" s="75"/>
    </row>
    <row r="46" spans="1:24" x14ac:dyDescent="0.25">
      <c r="A46" s="290"/>
      <c r="B46" s="291"/>
      <c r="C46" s="63" t="s">
        <v>169</v>
      </c>
      <c r="D46" s="64" t="s">
        <v>101</v>
      </c>
      <c r="E46" s="59">
        <v>6</v>
      </c>
      <c r="F46" s="59">
        <v>6</v>
      </c>
      <c r="G46" s="59">
        <f>((E46*8)+(F46*4))/12</f>
        <v>6</v>
      </c>
      <c r="H46" s="59">
        <v>6</v>
      </c>
      <c r="I46" s="59">
        <v>6</v>
      </c>
      <c r="J46" s="75">
        <f t="shared" ref="J46:J50" si="25">K46</f>
        <v>69362.66</v>
      </c>
      <c r="K46" s="71">
        <v>69362.66</v>
      </c>
      <c r="L46" s="59"/>
      <c r="M46" s="123"/>
      <c r="N46" s="71">
        <f t="shared" ref="N46:N50" si="26">O46</f>
        <v>416175.96</v>
      </c>
      <c r="O46" s="71">
        <f t="shared" ref="O46:O51" si="27">G46*K46</f>
        <v>416175.96</v>
      </c>
      <c r="P46" s="59" t="s">
        <v>104</v>
      </c>
      <c r="Q46" s="59"/>
      <c r="R46" s="123" t="s">
        <v>104</v>
      </c>
      <c r="S46" s="59"/>
      <c r="T46" s="75">
        <f t="shared" ref="T46:T50" si="28">H46*K46</f>
        <v>416175.96</v>
      </c>
      <c r="U46" s="75">
        <f t="shared" ref="U46:U50" si="29">I46*K46</f>
        <v>416175.96</v>
      </c>
    </row>
    <row r="47" spans="1:24" x14ac:dyDescent="0.25">
      <c r="A47" s="290"/>
      <c r="B47" s="291"/>
      <c r="C47" s="63" t="s">
        <v>166</v>
      </c>
      <c r="D47" s="64" t="s">
        <v>101</v>
      </c>
      <c r="E47" s="59">
        <v>8</v>
      </c>
      <c r="F47" s="59">
        <v>8</v>
      </c>
      <c r="G47" s="59">
        <f t="shared" ref="G47:G50" si="30">((E47*8)+(F47*4))/12</f>
        <v>8</v>
      </c>
      <c r="H47" s="59">
        <v>8</v>
      </c>
      <c r="I47" s="59">
        <v>8</v>
      </c>
      <c r="J47" s="75">
        <f t="shared" si="25"/>
        <v>66361.320000000007</v>
      </c>
      <c r="K47" s="75">
        <v>66361.320000000007</v>
      </c>
      <c r="L47" s="59" t="s">
        <v>104</v>
      </c>
      <c r="M47" s="123" t="s">
        <v>104</v>
      </c>
      <c r="N47" s="71">
        <f>O47</f>
        <v>530890.56000000006</v>
      </c>
      <c r="O47" s="71">
        <f t="shared" si="27"/>
        <v>530890.56000000006</v>
      </c>
      <c r="P47" s="59" t="s">
        <v>104</v>
      </c>
      <c r="Q47" s="59"/>
      <c r="R47" s="123" t="s">
        <v>104</v>
      </c>
      <c r="S47" s="59"/>
      <c r="T47" s="75">
        <f t="shared" si="28"/>
        <v>530890.56000000006</v>
      </c>
      <c r="U47" s="75">
        <f t="shared" si="29"/>
        <v>530890.56000000006</v>
      </c>
    </row>
    <row r="48" spans="1:24" x14ac:dyDescent="0.25">
      <c r="A48" s="290"/>
      <c r="B48" s="291"/>
      <c r="C48" s="63" t="s">
        <v>167</v>
      </c>
      <c r="D48" s="64" t="s">
        <v>101</v>
      </c>
      <c r="E48" s="59">
        <v>4</v>
      </c>
      <c r="F48" s="59">
        <v>4</v>
      </c>
      <c r="G48" s="59">
        <f t="shared" si="30"/>
        <v>4</v>
      </c>
      <c r="H48" s="59">
        <v>4</v>
      </c>
      <c r="I48" s="59">
        <v>4</v>
      </c>
      <c r="J48" s="75">
        <f t="shared" si="25"/>
        <v>174890.83</v>
      </c>
      <c r="K48" s="75">
        <v>174890.83</v>
      </c>
      <c r="L48" s="59" t="s">
        <v>104</v>
      </c>
      <c r="M48" s="123" t="s">
        <v>104</v>
      </c>
      <c r="N48" s="71">
        <f t="shared" si="26"/>
        <v>699563.32</v>
      </c>
      <c r="O48" s="71">
        <f t="shared" si="27"/>
        <v>699563.32</v>
      </c>
      <c r="P48" s="59" t="s">
        <v>104</v>
      </c>
      <c r="Q48" s="59"/>
      <c r="R48" s="123" t="s">
        <v>104</v>
      </c>
      <c r="S48" s="59"/>
      <c r="T48" s="75">
        <f t="shared" si="28"/>
        <v>699563.32</v>
      </c>
      <c r="U48" s="75">
        <f t="shared" si="29"/>
        <v>699563.32</v>
      </c>
    </row>
    <row r="49" spans="1:21" x14ac:dyDescent="0.25">
      <c r="A49" s="290"/>
      <c r="B49" s="291"/>
      <c r="C49" s="63" t="s">
        <v>170</v>
      </c>
      <c r="D49" s="64" t="s">
        <v>101</v>
      </c>
      <c r="E49" s="59">
        <v>1</v>
      </c>
      <c r="F49" s="59">
        <v>1</v>
      </c>
      <c r="G49" s="59">
        <f t="shared" si="30"/>
        <v>1</v>
      </c>
      <c r="H49" s="59">
        <v>1</v>
      </c>
      <c r="I49" s="59">
        <v>1</v>
      </c>
      <c r="J49" s="75">
        <f t="shared" si="25"/>
        <v>99648.29</v>
      </c>
      <c r="K49" s="75">
        <v>99648.29</v>
      </c>
      <c r="L49" s="59"/>
      <c r="M49" s="123"/>
      <c r="N49" s="71">
        <f t="shared" si="26"/>
        <v>99648.29</v>
      </c>
      <c r="O49" s="71">
        <f t="shared" si="27"/>
        <v>99648.29</v>
      </c>
      <c r="P49" s="59" t="s">
        <v>104</v>
      </c>
      <c r="Q49" s="59"/>
      <c r="R49" s="123" t="s">
        <v>104</v>
      </c>
      <c r="S49" s="59"/>
      <c r="T49" s="75">
        <f t="shared" si="28"/>
        <v>99648.29</v>
      </c>
      <c r="U49" s="75">
        <f t="shared" si="29"/>
        <v>99648.29</v>
      </c>
    </row>
    <row r="50" spans="1:21" x14ac:dyDescent="0.25">
      <c r="A50" s="290"/>
      <c r="B50" s="291"/>
      <c r="C50" s="63" t="s">
        <v>168</v>
      </c>
      <c r="D50" s="64" t="s">
        <v>101</v>
      </c>
      <c r="E50" s="59">
        <v>1</v>
      </c>
      <c r="F50" s="59">
        <v>1</v>
      </c>
      <c r="G50" s="59">
        <f t="shared" si="30"/>
        <v>1</v>
      </c>
      <c r="H50" s="59">
        <v>1</v>
      </c>
      <c r="I50" s="59">
        <v>1</v>
      </c>
      <c r="J50" s="75">
        <f t="shared" si="25"/>
        <v>23553.439999999999</v>
      </c>
      <c r="K50" s="75">
        <v>23553.439999999999</v>
      </c>
      <c r="L50" s="59" t="s">
        <v>104</v>
      </c>
      <c r="M50" s="123" t="s">
        <v>104</v>
      </c>
      <c r="N50" s="71">
        <f t="shared" si="26"/>
        <v>23553.439999999999</v>
      </c>
      <c r="O50" s="71">
        <f t="shared" si="27"/>
        <v>23553.439999999999</v>
      </c>
      <c r="P50" s="59" t="s">
        <v>104</v>
      </c>
      <c r="Q50" s="59"/>
      <c r="R50" s="123" t="s">
        <v>104</v>
      </c>
      <c r="S50" s="59"/>
      <c r="T50" s="75">
        <f t="shared" si="28"/>
        <v>23553.439999999999</v>
      </c>
      <c r="U50" s="75">
        <f t="shared" si="29"/>
        <v>23553.439999999999</v>
      </c>
    </row>
    <row r="51" spans="1:21" ht="120" x14ac:dyDescent="0.25">
      <c r="A51" s="290"/>
      <c r="B51" s="291"/>
      <c r="C51" s="61" t="s">
        <v>105</v>
      </c>
      <c r="D51" s="64" t="s">
        <v>101</v>
      </c>
      <c r="E51" s="59"/>
      <c r="F51" s="59"/>
      <c r="G51" s="59"/>
      <c r="H51" s="59"/>
      <c r="I51" s="59"/>
      <c r="J51" s="75">
        <f>SUM(K51:M51)</f>
        <v>140906.84566306201</v>
      </c>
      <c r="K51" s="75">
        <f>121412.92+1342.39</f>
        <v>122755.31</v>
      </c>
      <c r="L51" s="72">
        <f>4001.99*2.3654</f>
        <v>9466.307146000001</v>
      </c>
      <c r="M51" s="220">
        <f>8021.06+58.14+208.1749+2038.688218-1312.072243+0.380227662-329.1425856</f>
        <v>8685.2285170619998</v>
      </c>
      <c r="N51" s="71">
        <f>SUM(O51:R51)</f>
        <v>0</v>
      </c>
      <c r="O51" s="71">
        <f t="shared" si="27"/>
        <v>0</v>
      </c>
      <c r="P51" s="71">
        <f>G51*L51</f>
        <v>0</v>
      </c>
      <c r="Q51" s="71"/>
      <c r="R51" s="46">
        <f>G51*M51</f>
        <v>0</v>
      </c>
      <c r="S51" s="75"/>
      <c r="T51" s="75">
        <f t="shared" si="9"/>
        <v>0</v>
      </c>
      <c r="U51" s="75">
        <f t="shared" si="6"/>
        <v>0</v>
      </c>
    </row>
    <row r="52" spans="1:21" x14ac:dyDescent="0.25">
      <c r="A52" s="290"/>
      <c r="B52" s="291"/>
      <c r="C52" s="66" t="s">
        <v>106</v>
      </c>
      <c r="D52" s="67"/>
      <c r="E52" s="59">
        <f>E44+E51</f>
        <v>261</v>
      </c>
      <c r="F52" s="59">
        <f>F44+F51</f>
        <v>261</v>
      </c>
      <c r="G52" s="59">
        <f>G44+G51</f>
        <v>261</v>
      </c>
      <c r="H52" s="59">
        <f>H44+H51</f>
        <v>261</v>
      </c>
      <c r="I52" s="59">
        <f>I44+I51</f>
        <v>261</v>
      </c>
      <c r="J52" s="71" t="s">
        <v>104</v>
      </c>
      <c r="K52" s="71" t="s">
        <v>104</v>
      </c>
      <c r="L52" s="71" t="s">
        <v>104</v>
      </c>
      <c r="M52" s="221" t="s">
        <v>104</v>
      </c>
      <c r="N52" s="71">
        <f t="shared" ref="N52:R52" si="31">SUM(N44:N51)</f>
        <v>12894248.058059182</v>
      </c>
      <c r="O52" s="71">
        <f t="shared" si="31"/>
        <v>8156697.25</v>
      </c>
      <c r="P52" s="71">
        <f>SUM(P44:P51)</f>
        <v>2470706.1651060004</v>
      </c>
      <c r="Q52" s="71"/>
      <c r="R52" s="221">
        <f t="shared" si="31"/>
        <v>2266844.6429531821</v>
      </c>
      <c r="S52" s="71"/>
      <c r="T52" s="75">
        <f>SUM(T44:T51)</f>
        <v>12894248.058059182</v>
      </c>
      <c r="U52" s="75">
        <f>SUM(U44:U51)</f>
        <v>12894248.058059182</v>
      </c>
    </row>
    <row r="53" spans="1:21" ht="90" x14ac:dyDescent="0.25">
      <c r="A53" s="290"/>
      <c r="B53" s="291" t="s">
        <v>241</v>
      </c>
      <c r="C53" s="61" t="s">
        <v>100</v>
      </c>
      <c r="D53" s="62" t="s">
        <v>101</v>
      </c>
      <c r="E53" s="59">
        <v>224</v>
      </c>
      <c r="F53" s="59">
        <v>224</v>
      </c>
      <c r="G53" s="59">
        <f t="shared" ref="G53" si="32">((E53*8)+(F53*4))/12</f>
        <v>224</v>
      </c>
      <c r="H53" s="59">
        <v>224</v>
      </c>
      <c r="I53" s="59">
        <v>224</v>
      </c>
      <c r="J53" s="107">
        <f>SUM(K53:M53)</f>
        <v>54147.235663062005</v>
      </c>
      <c r="K53" s="107">
        <f>34346.05+1649.65</f>
        <v>35995.700000000004</v>
      </c>
      <c r="L53" s="70">
        <f>4001.99*2.3654</f>
        <v>9466.307146000001</v>
      </c>
      <c r="M53" s="220">
        <f>8021.06+58.14+208.1749+2038.688218-1312.072243+0.380227662-329.1425856</f>
        <v>8685.2285170619998</v>
      </c>
      <c r="N53" s="71">
        <f>SUM(O53:R53)</f>
        <v>12128980.788525889</v>
      </c>
      <c r="O53" s="71">
        <f>G53*K53</f>
        <v>8063036.8000000007</v>
      </c>
      <c r="P53" s="71">
        <f>G53*L53</f>
        <v>2120452.8007040001</v>
      </c>
      <c r="Q53" s="71"/>
      <c r="R53" s="46">
        <f>G53*M53</f>
        <v>1945491.1878218879</v>
      </c>
      <c r="S53" s="75"/>
      <c r="T53" s="75">
        <f t="shared" si="9"/>
        <v>12128980.788525889</v>
      </c>
      <c r="U53" s="75">
        <f t="shared" si="6"/>
        <v>12128980.788525889</v>
      </c>
    </row>
    <row r="54" spans="1:21" ht="120" x14ac:dyDescent="0.25">
      <c r="A54" s="290"/>
      <c r="B54" s="291"/>
      <c r="C54" s="63" t="s">
        <v>102</v>
      </c>
      <c r="D54" s="64" t="s">
        <v>101</v>
      </c>
      <c r="E54" s="59" t="s">
        <v>104</v>
      </c>
      <c r="F54" s="59" t="s">
        <v>104</v>
      </c>
      <c r="G54" s="59" t="s">
        <v>104</v>
      </c>
      <c r="H54" s="59" t="s">
        <v>104</v>
      </c>
      <c r="I54" s="59" t="s">
        <v>104</v>
      </c>
      <c r="J54" s="59" t="s">
        <v>104</v>
      </c>
      <c r="K54" s="59" t="s">
        <v>191</v>
      </c>
      <c r="L54" s="59" t="s">
        <v>104</v>
      </c>
      <c r="M54" s="123" t="s">
        <v>104</v>
      </c>
      <c r="N54" s="71"/>
      <c r="O54" s="71"/>
      <c r="P54" s="59" t="s">
        <v>104</v>
      </c>
      <c r="Q54" s="59"/>
      <c r="R54" s="123" t="s">
        <v>104</v>
      </c>
      <c r="S54" s="59"/>
      <c r="T54" s="75"/>
      <c r="U54" s="75"/>
    </row>
    <row r="55" spans="1:21" x14ac:dyDescent="0.25">
      <c r="A55" s="290"/>
      <c r="B55" s="291"/>
      <c r="C55" s="63" t="s">
        <v>167</v>
      </c>
      <c r="D55" s="64" t="s">
        <v>101</v>
      </c>
      <c r="E55" s="60">
        <v>1</v>
      </c>
      <c r="F55" s="60">
        <v>1</v>
      </c>
      <c r="G55" s="59">
        <f t="shared" ref="G55:G62" si="33">((E55*8)+(F55*4))/12</f>
        <v>1</v>
      </c>
      <c r="H55" s="60">
        <v>1</v>
      </c>
      <c r="I55" s="60">
        <v>1</v>
      </c>
      <c r="J55" s="75">
        <f t="shared" ref="J55:J57" si="34">K55</f>
        <v>266106.15000000002</v>
      </c>
      <c r="K55" s="75">
        <v>266106.15000000002</v>
      </c>
      <c r="L55" s="59" t="s">
        <v>104</v>
      </c>
      <c r="M55" s="123" t="s">
        <v>104</v>
      </c>
      <c r="N55" s="71">
        <f t="shared" ref="N55:N57" si="35">O55</f>
        <v>266106.15000000002</v>
      </c>
      <c r="O55" s="71">
        <f>G55*K55</f>
        <v>266106.15000000002</v>
      </c>
      <c r="P55" s="59" t="s">
        <v>104</v>
      </c>
      <c r="Q55" s="59"/>
      <c r="R55" s="123" t="s">
        <v>104</v>
      </c>
      <c r="S55" s="59"/>
      <c r="T55" s="75">
        <f t="shared" ref="T55:T57" si="36">H55*K55</f>
        <v>266106.15000000002</v>
      </c>
      <c r="U55" s="75">
        <f t="shared" ref="U55:U57" si="37">I55*K55</f>
        <v>266106.15000000002</v>
      </c>
    </row>
    <row r="56" spans="1:21" x14ac:dyDescent="0.25">
      <c r="A56" s="290"/>
      <c r="B56" s="291"/>
      <c r="C56" s="63" t="s">
        <v>170</v>
      </c>
      <c r="D56" s="64" t="s">
        <v>101</v>
      </c>
      <c r="E56" s="60">
        <v>2</v>
      </c>
      <c r="F56" s="60">
        <v>2</v>
      </c>
      <c r="G56" s="59">
        <f t="shared" si="33"/>
        <v>2</v>
      </c>
      <c r="H56" s="60">
        <v>2</v>
      </c>
      <c r="I56" s="60">
        <v>2</v>
      </c>
      <c r="J56" s="75">
        <f t="shared" si="34"/>
        <v>32769.75</v>
      </c>
      <c r="K56" s="75">
        <v>32769.75</v>
      </c>
      <c r="L56" s="59" t="s">
        <v>104</v>
      </c>
      <c r="M56" s="123" t="s">
        <v>104</v>
      </c>
      <c r="N56" s="71">
        <f t="shared" si="35"/>
        <v>65539.5</v>
      </c>
      <c r="O56" s="71">
        <f t="shared" ref="O56:O57" si="38">G56*K56</f>
        <v>65539.5</v>
      </c>
      <c r="P56" s="59" t="s">
        <v>104</v>
      </c>
      <c r="Q56" s="59"/>
      <c r="R56" s="123" t="s">
        <v>104</v>
      </c>
      <c r="S56" s="59"/>
      <c r="T56" s="75">
        <f t="shared" si="36"/>
        <v>65539.5</v>
      </c>
      <c r="U56" s="75">
        <f t="shared" si="37"/>
        <v>65539.5</v>
      </c>
    </row>
    <row r="57" spans="1:21" x14ac:dyDescent="0.25">
      <c r="A57" s="290"/>
      <c r="B57" s="291"/>
      <c r="C57" s="63" t="s">
        <v>168</v>
      </c>
      <c r="D57" s="64" t="s">
        <v>101</v>
      </c>
      <c r="E57" s="60">
        <v>5</v>
      </c>
      <c r="F57" s="60">
        <v>5</v>
      </c>
      <c r="G57" s="59">
        <f t="shared" si="33"/>
        <v>5</v>
      </c>
      <c r="H57" s="60">
        <v>5</v>
      </c>
      <c r="I57" s="60">
        <v>5</v>
      </c>
      <c r="J57" s="75">
        <f t="shared" si="34"/>
        <v>23553.439999999999</v>
      </c>
      <c r="K57" s="75">
        <v>23553.439999999999</v>
      </c>
      <c r="L57" s="59" t="s">
        <v>104</v>
      </c>
      <c r="M57" s="123" t="s">
        <v>104</v>
      </c>
      <c r="N57" s="71">
        <f t="shared" si="35"/>
        <v>117767.2</v>
      </c>
      <c r="O57" s="71">
        <f t="shared" si="38"/>
        <v>117767.2</v>
      </c>
      <c r="P57" s="59" t="s">
        <v>104</v>
      </c>
      <c r="Q57" s="59"/>
      <c r="R57" s="123" t="s">
        <v>104</v>
      </c>
      <c r="S57" s="59"/>
      <c r="T57" s="75">
        <f t="shared" si="36"/>
        <v>117767.2</v>
      </c>
      <c r="U57" s="75">
        <f t="shared" si="37"/>
        <v>117767.2</v>
      </c>
    </row>
    <row r="58" spans="1:21" ht="120" x14ac:dyDescent="0.25">
      <c r="A58" s="290"/>
      <c r="B58" s="291"/>
      <c r="C58" s="61" t="s">
        <v>105</v>
      </c>
      <c r="D58" s="64" t="s">
        <v>101</v>
      </c>
      <c r="E58" s="60">
        <v>2</v>
      </c>
      <c r="F58" s="60">
        <v>2</v>
      </c>
      <c r="G58" s="59">
        <f t="shared" si="33"/>
        <v>2</v>
      </c>
      <c r="H58" s="60">
        <v>2</v>
      </c>
      <c r="I58" s="60">
        <v>2</v>
      </c>
      <c r="J58" s="75">
        <f>SUM(K58:M58)</f>
        <v>171208.81566306201</v>
      </c>
      <c r="K58" s="75">
        <f>151407.63+1649.65</f>
        <v>153057.28</v>
      </c>
      <c r="L58" s="72">
        <f>4001.99*2.3654</f>
        <v>9466.307146000001</v>
      </c>
      <c r="M58" s="220">
        <f>8021.06+58.14+208.1749+2038.688218-1312.072243+0.380227662-329.1425856</f>
        <v>8685.2285170619998</v>
      </c>
      <c r="N58" s="71">
        <f>SUM(O58:R58)</f>
        <v>342417.63132612401</v>
      </c>
      <c r="O58" s="71">
        <f>G58*K58</f>
        <v>306114.56</v>
      </c>
      <c r="P58" s="73">
        <f>G58*L58</f>
        <v>18932.614292000002</v>
      </c>
      <c r="Q58" s="73"/>
      <c r="R58" s="46">
        <f>G58*M58</f>
        <v>17370.457034124</v>
      </c>
      <c r="S58" s="75"/>
      <c r="T58" s="75">
        <f t="shared" si="9"/>
        <v>342417.63132612401</v>
      </c>
      <c r="U58" s="75">
        <f t="shared" si="6"/>
        <v>342417.63132612401</v>
      </c>
    </row>
    <row r="59" spans="1:21" x14ac:dyDescent="0.25">
      <c r="A59" s="290"/>
      <c r="B59" s="198"/>
      <c r="C59" s="66" t="s">
        <v>106</v>
      </c>
      <c r="D59" s="64"/>
      <c r="E59" s="60">
        <f>E53+E58</f>
        <v>226</v>
      </c>
      <c r="F59" s="60">
        <f>F53+F58</f>
        <v>226</v>
      </c>
      <c r="G59" s="60">
        <f>G53+G58</f>
        <v>226</v>
      </c>
      <c r="H59" s="60">
        <f>H53+H58</f>
        <v>226</v>
      </c>
      <c r="I59" s="60">
        <f>I53+I58</f>
        <v>226</v>
      </c>
      <c r="J59" s="73" t="s">
        <v>104</v>
      </c>
      <c r="K59" s="73" t="s">
        <v>104</v>
      </c>
      <c r="L59" s="74" t="s">
        <v>104</v>
      </c>
      <c r="M59" s="225" t="s">
        <v>104</v>
      </c>
      <c r="N59" s="74">
        <f t="shared" ref="N59:U59" si="39">SUM(N53:N58)</f>
        <v>12920811.269852012</v>
      </c>
      <c r="O59" s="74">
        <f t="shared" si="39"/>
        <v>8818564.2100000009</v>
      </c>
      <c r="P59" s="74">
        <f t="shared" si="39"/>
        <v>2139385.414996</v>
      </c>
      <c r="Q59" s="74"/>
      <c r="R59" s="225">
        <f t="shared" si="39"/>
        <v>1962861.644856012</v>
      </c>
      <c r="S59" s="74"/>
      <c r="T59" s="75">
        <f t="shared" si="39"/>
        <v>12920811.269852012</v>
      </c>
      <c r="U59" s="75">
        <f t="shared" si="39"/>
        <v>12920811.269852012</v>
      </c>
    </row>
    <row r="60" spans="1:21" ht="90" x14ac:dyDescent="0.25">
      <c r="A60" s="290"/>
      <c r="B60" s="291" t="s">
        <v>242</v>
      </c>
      <c r="C60" s="61" t="s">
        <v>100</v>
      </c>
      <c r="D60" s="62" t="s">
        <v>101</v>
      </c>
      <c r="E60" s="60">
        <v>39</v>
      </c>
      <c r="F60" s="60">
        <v>39</v>
      </c>
      <c r="G60" s="59">
        <f t="shared" si="33"/>
        <v>39</v>
      </c>
      <c r="H60" s="60">
        <v>39</v>
      </c>
      <c r="I60" s="60">
        <v>39</v>
      </c>
      <c r="J60" s="107">
        <f>SUM(K60:M60)</f>
        <v>61255.435663062002</v>
      </c>
      <c r="K60" s="107">
        <f>41105.12+1998.78</f>
        <v>43103.9</v>
      </c>
      <c r="L60" s="70">
        <f>4001.99*2.3654</f>
        <v>9466.307146000001</v>
      </c>
      <c r="M60" s="220">
        <f>8021.06+58.14+208.1749+2038.688218-1312.072243+0.380227662-329.1425856</f>
        <v>8685.2285170619998</v>
      </c>
      <c r="N60" s="73">
        <f>SUM(O60:R60)</f>
        <v>2388962.1808594181</v>
      </c>
      <c r="O60" s="73">
        <f>G60*K60</f>
        <v>1681052.1</v>
      </c>
      <c r="P60" s="73">
        <f>G60*L60+0.19</f>
        <v>369186.16869400005</v>
      </c>
      <c r="Q60" s="73"/>
      <c r="R60" s="46">
        <f>G60*M60</f>
        <v>338723.91216541798</v>
      </c>
      <c r="S60" s="75"/>
      <c r="T60" s="75">
        <f>N60</f>
        <v>2388962.1808594181</v>
      </c>
      <c r="U60" s="75">
        <f>T60</f>
        <v>2388962.1808594181</v>
      </c>
    </row>
    <row r="61" spans="1:21" ht="120" x14ac:dyDescent="0.25">
      <c r="A61" s="290"/>
      <c r="B61" s="291"/>
      <c r="C61" s="63" t="s">
        <v>102</v>
      </c>
      <c r="D61" s="64" t="s">
        <v>101</v>
      </c>
      <c r="E61" s="59" t="s">
        <v>104</v>
      </c>
      <c r="F61" s="59" t="s">
        <v>104</v>
      </c>
      <c r="G61" s="59" t="s">
        <v>104</v>
      </c>
      <c r="H61" s="59" t="s">
        <v>104</v>
      </c>
      <c r="I61" s="59" t="s">
        <v>104</v>
      </c>
      <c r="J61" s="59" t="s">
        <v>104</v>
      </c>
      <c r="K61" s="59" t="s">
        <v>104</v>
      </c>
      <c r="L61" s="59" t="s">
        <v>104</v>
      </c>
      <c r="M61" s="123" t="s">
        <v>104</v>
      </c>
      <c r="N61" s="71"/>
      <c r="O61" s="71"/>
      <c r="P61" s="59" t="s">
        <v>104</v>
      </c>
      <c r="Q61" s="59"/>
      <c r="R61" s="123" t="s">
        <v>104</v>
      </c>
      <c r="S61" s="59"/>
      <c r="T61" s="75"/>
      <c r="U61" s="75"/>
    </row>
    <row r="62" spans="1:21" x14ac:dyDescent="0.25">
      <c r="A62" s="290"/>
      <c r="B62" s="291"/>
      <c r="C62" s="63" t="s">
        <v>168</v>
      </c>
      <c r="D62" s="64" t="s">
        <v>101</v>
      </c>
      <c r="E62" s="60">
        <v>1</v>
      </c>
      <c r="F62" s="60">
        <v>1</v>
      </c>
      <c r="G62" s="59">
        <f t="shared" si="33"/>
        <v>1</v>
      </c>
      <c r="H62" s="60">
        <v>1</v>
      </c>
      <c r="I62" s="60">
        <v>1</v>
      </c>
      <c r="J62" s="75">
        <f>K62</f>
        <v>23553.439999999999</v>
      </c>
      <c r="K62" s="75">
        <v>23553.439999999999</v>
      </c>
      <c r="L62" s="59" t="s">
        <v>104</v>
      </c>
      <c r="M62" s="123" t="s">
        <v>104</v>
      </c>
      <c r="N62" s="71">
        <f>O62</f>
        <v>23553.439999999999</v>
      </c>
      <c r="O62" s="71">
        <f>G62*K62</f>
        <v>23553.439999999999</v>
      </c>
      <c r="P62" s="59" t="s">
        <v>104</v>
      </c>
      <c r="Q62" s="59"/>
      <c r="R62" s="123" t="s">
        <v>104</v>
      </c>
      <c r="S62" s="59"/>
      <c r="T62" s="75">
        <f>H62*K62</f>
        <v>23553.439999999999</v>
      </c>
      <c r="U62" s="75">
        <f>I62*K62</f>
        <v>23553.439999999999</v>
      </c>
    </row>
    <row r="63" spans="1:21" ht="120" x14ac:dyDescent="0.25">
      <c r="A63" s="290"/>
      <c r="B63" s="291"/>
      <c r="C63" s="61" t="s">
        <v>105</v>
      </c>
      <c r="D63" s="64" t="s">
        <v>101</v>
      </c>
      <c r="E63" s="60">
        <v>0</v>
      </c>
      <c r="F63" s="60"/>
      <c r="G63" s="60"/>
      <c r="H63" s="60">
        <v>0</v>
      </c>
      <c r="I63" s="60">
        <v>0</v>
      </c>
      <c r="J63" s="73">
        <f>K63</f>
        <v>183387.47</v>
      </c>
      <c r="K63" s="73">
        <f>181402.35+1985.12</f>
        <v>183387.47</v>
      </c>
      <c r="L63" s="70">
        <f>4001.99*2.3654</f>
        <v>9466.307146000001</v>
      </c>
      <c r="M63" s="220">
        <f>8021.06+58.14+208.1749+2038.688218-1312.072243+0.380227662-329.1425856</f>
        <v>8685.2285170619998</v>
      </c>
      <c r="N63" s="71">
        <f>SUM(O63:R63)</f>
        <v>0</v>
      </c>
      <c r="O63" s="73">
        <f>G63*K63</f>
        <v>0</v>
      </c>
      <c r="P63" s="73">
        <f>E63*L63</f>
        <v>0</v>
      </c>
      <c r="Q63" s="73"/>
      <c r="R63" s="46">
        <f>G63*M63</f>
        <v>0</v>
      </c>
      <c r="S63" s="75"/>
      <c r="T63" s="75">
        <f>H63*K63</f>
        <v>0</v>
      </c>
      <c r="U63" s="75">
        <f>I63*K63</f>
        <v>0</v>
      </c>
    </row>
    <row r="64" spans="1:21" x14ac:dyDescent="0.25">
      <c r="A64" s="290"/>
      <c r="B64" s="198"/>
      <c r="C64" s="66" t="s">
        <v>106</v>
      </c>
      <c r="D64" s="64"/>
      <c r="E64" s="60">
        <f>E60+E63</f>
        <v>39</v>
      </c>
      <c r="F64" s="60">
        <f>F60+F63</f>
        <v>39</v>
      </c>
      <c r="G64" s="60">
        <f>G60+G63</f>
        <v>39</v>
      </c>
      <c r="H64" s="60">
        <f>H60+H63</f>
        <v>39</v>
      </c>
      <c r="I64" s="60">
        <f>I60+I63</f>
        <v>39</v>
      </c>
      <c r="J64" s="73" t="s">
        <v>104</v>
      </c>
      <c r="K64" s="73" t="s">
        <v>104</v>
      </c>
      <c r="L64" s="74" t="s">
        <v>104</v>
      </c>
      <c r="M64" s="225" t="s">
        <v>104</v>
      </c>
      <c r="N64" s="74">
        <f t="shared" ref="N64:R64" si="40">SUM(N60:N63)</f>
        <v>2412515.6208594181</v>
      </c>
      <c r="O64" s="74">
        <f t="shared" si="40"/>
        <v>1704605.54</v>
      </c>
      <c r="P64" s="74">
        <f t="shared" si="40"/>
        <v>369186.16869400005</v>
      </c>
      <c r="Q64" s="74"/>
      <c r="R64" s="225">
        <f t="shared" si="40"/>
        <v>338723.91216541798</v>
      </c>
      <c r="S64" s="74"/>
      <c r="T64" s="75">
        <f>SUM(T60:T63)</f>
        <v>2412515.6208594181</v>
      </c>
      <c r="U64" s="75">
        <f>SUM(U60:U63)</f>
        <v>2412515.6208594181</v>
      </c>
    </row>
    <row r="65" spans="1:24" ht="100.9" customHeight="1" x14ac:dyDescent="0.25">
      <c r="A65" s="290"/>
      <c r="B65" s="137" t="s">
        <v>243</v>
      </c>
      <c r="C65" s="61" t="s">
        <v>187</v>
      </c>
      <c r="D65" s="64" t="s">
        <v>101</v>
      </c>
      <c r="E65" s="60">
        <v>776</v>
      </c>
      <c r="F65" s="60">
        <v>776</v>
      </c>
      <c r="G65" s="59">
        <f t="shared" ref="G65" si="41">((E65*8)+(F65*4))/12</f>
        <v>776</v>
      </c>
      <c r="H65" s="60">
        <v>776</v>
      </c>
      <c r="I65" s="60">
        <v>776</v>
      </c>
      <c r="J65" s="75">
        <f>K65</f>
        <v>3978.76</v>
      </c>
      <c r="K65" s="75">
        <v>3978.76</v>
      </c>
      <c r="L65" s="72" t="s">
        <v>104</v>
      </c>
      <c r="M65" s="224" t="s">
        <v>104</v>
      </c>
      <c r="N65" s="73">
        <f>SUM(O65:R65)</f>
        <v>3087511.0000000005</v>
      </c>
      <c r="O65" s="73">
        <f>K65*G65-6.76</f>
        <v>3087511.0000000005</v>
      </c>
      <c r="P65" s="73" t="s">
        <v>104</v>
      </c>
      <c r="Q65" s="73"/>
      <c r="R65" s="219" t="s">
        <v>104</v>
      </c>
      <c r="S65" s="73"/>
      <c r="T65" s="75">
        <f>N65</f>
        <v>3087511.0000000005</v>
      </c>
      <c r="U65" s="75">
        <f>T65</f>
        <v>3087511.0000000005</v>
      </c>
    </row>
    <row r="66" spans="1:24" x14ac:dyDescent="0.25">
      <c r="A66" s="290"/>
      <c r="B66" s="69"/>
      <c r="C66" s="66" t="s">
        <v>106</v>
      </c>
      <c r="D66" s="69"/>
      <c r="E66" s="60">
        <f>SUM(E65:E65)</f>
        <v>776</v>
      </c>
      <c r="F66" s="60">
        <f>SUM(F65:F65)</f>
        <v>776</v>
      </c>
      <c r="G66" s="60">
        <f>SUM(G65:G65)</f>
        <v>776</v>
      </c>
      <c r="H66" s="60">
        <f>SUM(H65:H65)</f>
        <v>776</v>
      </c>
      <c r="I66" s="60">
        <f>SUM(I65:I65)</f>
        <v>776</v>
      </c>
      <c r="J66" s="73" t="s">
        <v>104</v>
      </c>
      <c r="K66" s="73" t="s">
        <v>104</v>
      </c>
      <c r="L66" s="74" t="s">
        <v>104</v>
      </c>
      <c r="M66" s="225">
        <f t="shared" ref="M66:R66" si="42">SUM(M65:M65)</f>
        <v>0</v>
      </c>
      <c r="N66" s="74">
        <f t="shared" si="42"/>
        <v>3087511.0000000005</v>
      </c>
      <c r="O66" s="74">
        <f>SUM(O65:O65)</f>
        <v>3087511.0000000005</v>
      </c>
      <c r="P66" s="74">
        <f t="shared" si="42"/>
        <v>0</v>
      </c>
      <c r="Q66" s="74"/>
      <c r="R66" s="225">
        <f t="shared" si="42"/>
        <v>0</v>
      </c>
      <c r="S66" s="74"/>
      <c r="T66" s="75">
        <f>N66</f>
        <v>3087511.0000000005</v>
      </c>
      <c r="U66" s="75">
        <f>T66</f>
        <v>3087511.0000000005</v>
      </c>
    </row>
    <row r="67" spans="1:24" x14ac:dyDescent="0.25">
      <c r="A67" s="290"/>
      <c r="B67" s="69" t="s">
        <v>280</v>
      </c>
      <c r="C67" s="187" t="s">
        <v>226</v>
      </c>
      <c r="D67" s="69"/>
      <c r="E67" s="60"/>
      <c r="F67" s="60"/>
      <c r="G67" s="60"/>
      <c r="H67" s="60"/>
      <c r="I67" s="60"/>
      <c r="J67" s="73"/>
      <c r="K67" s="73"/>
      <c r="L67" s="74"/>
      <c r="M67" s="225"/>
      <c r="N67" s="74">
        <f>P67</f>
        <v>52087</v>
      </c>
      <c r="O67" s="74"/>
      <c r="P67" s="74">
        <v>52087</v>
      </c>
      <c r="Q67" s="74"/>
      <c r="R67" s="225"/>
      <c r="S67" s="74"/>
      <c r="T67" s="75">
        <f>P67</f>
        <v>52087</v>
      </c>
      <c r="U67" s="75">
        <f>T67</f>
        <v>52087</v>
      </c>
    </row>
    <row r="68" spans="1:24" x14ac:dyDescent="0.25">
      <c r="A68" s="290"/>
      <c r="B68" s="89" t="s">
        <v>225</v>
      </c>
      <c r="C68" s="187" t="s">
        <v>219</v>
      </c>
      <c r="D68" s="64" t="s">
        <v>101</v>
      </c>
      <c r="E68" s="60"/>
      <c r="F68" s="60"/>
      <c r="G68" s="60">
        <v>19</v>
      </c>
      <c r="H68" s="60">
        <v>19</v>
      </c>
      <c r="I68" s="60">
        <v>19</v>
      </c>
      <c r="J68" s="73"/>
      <c r="K68" s="73"/>
      <c r="L68" s="74"/>
      <c r="M68" s="225"/>
      <c r="N68" s="74">
        <f>S68</f>
        <v>3257618</v>
      </c>
      <c r="O68" s="74"/>
      <c r="P68" s="74"/>
      <c r="Q68" s="74"/>
      <c r="R68" s="225"/>
      <c r="S68" s="74">
        <f>3089218+168400</f>
        <v>3257618</v>
      </c>
      <c r="T68" s="75">
        <f>S68</f>
        <v>3257618</v>
      </c>
      <c r="U68" s="75">
        <f>T68</f>
        <v>3257618</v>
      </c>
    </row>
    <row r="69" spans="1:24" x14ac:dyDescent="0.25">
      <c r="A69" s="290"/>
      <c r="B69" s="89" t="s">
        <v>225</v>
      </c>
      <c r="C69" s="187" t="s">
        <v>226</v>
      </c>
      <c r="D69" s="64" t="s">
        <v>101</v>
      </c>
      <c r="E69" s="60"/>
      <c r="F69" s="60"/>
      <c r="G69" s="60">
        <v>3</v>
      </c>
      <c r="H69" s="60">
        <v>3</v>
      </c>
      <c r="I69" s="60">
        <v>3</v>
      </c>
      <c r="J69" s="73"/>
      <c r="K69" s="73"/>
      <c r="L69" s="74"/>
      <c r="M69" s="225"/>
      <c r="N69" s="74">
        <f>Q69</f>
        <v>490718.33</v>
      </c>
      <c r="O69" s="74"/>
      <c r="P69" s="74"/>
      <c r="Q69" s="74">
        <f>321333.33+115665+53720</f>
        <v>490718.33</v>
      </c>
      <c r="R69" s="225"/>
      <c r="S69" s="74"/>
      <c r="T69" s="75">
        <f>Q69</f>
        <v>490718.33</v>
      </c>
      <c r="U69" s="75">
        <f>T69</f>
        <v>490718.33</v>
      </c>
    </row>
    <row r="70" spans="1:24" x14ac:dyDescent="0.25">
      <c r="A70" s="290"/>
      <c r="B70" s="101" t="s">
        <v>112</v>
      </c>
      <c r="C70" s="101"/>
      <c r="D70" s="69"/>
      <c r="E70" s="102"/>
      <c r="F70" s="102"/>
      <c r="G70" s="102">
        <f>G52+G59+G64</f>
        <v>526</v>
      </c>
      <c r="H70" s="102">
        <f t="shared" ref="H70:I70" si="43">H52+H59+H64</f>
        <v>526</v>
      </c>
      <c r="I70" s="102">
        <f t="shared" si="43"/>
        <v>526</v>
      </c>
      <c r="J70" s="104"/>
      <c r="K70" s="104"/>
      <c r="L70" s="103"/>
      <c r="M70" s="138"/>
      <c r="N70" s="138">
        <f>SUM(O70:S70)</f>
        <v>35115509.278770611</v>
      </c>
      <c r="O70" s="253">
        <f>O52+O59+O64+O66</f>
        <v>21767378</v>
      </c>
      <c r="P70" s="253">
        <f>P52+P59+P64+P66+P67+P68+P69</f>
        <v>5031364.7487960001</v>
      </c>
      <c r="Q70" s="253">
        <f t="shared" ref="Q70:U70" si="44">Q52+Q59+Q64+Q66+Q67+Q68+Q69</f>
        <v>490718.33</v>
      </c>
      <c r="R70" s="253">
        <f t="shared" si="44"/>
        <v>4568430.1999746123</v>
      </c>
      <c r="S70" s="253">
        <f t="shared" si="44"/>
        <v>3257618</v>
      </c>
      <c r="T70" s="138">
        <f t="shared" si="44"/>
        <v>35115509.278770611</v>
      </c>
      <c r="U70" s="138">
        <f t="shared" si="44"/>
        <v>35115509.278770611</v>
      </c>
      <c r="V70" s="80">
        <v>4568430.2</v>
      </c>
      <c r="W70" s="85">
        <f>V70-R70</f>
        <v>2.5387853384017944E-5</v>
      </c>
      <c r="X70" s="80">
        <f>W70/I70</f>
        <v>4.8265880958209018E-8</v>
      </c>
    </row>
    <row r="71" spans="1:24" ht="90" x14ac:dyDescent="0.25">
      <c r="A71" s="290" t="s">
        <v>114</v>
      </c>
      <c r="B71" s="291" t="s">
        <v>240</v>
      </c>
      <c r="C71" s="61" t="s">
        <v>100</v>
      </c>
      <c r="D71" s="62" t="s">
        <v>101</v>
      </c>
      <c r="E71" s="59">
        <v>211</v>
      </c>
      <c r="F71" s="59">
        <v>211</v>
      </c>
      <c r="G71" s="59">
        <f t="shared" ref="G71:G93" si="45">((E71*8)+(F71*4))/12</f>
        <v>211</v>
      </c>
      <c r="H71" s="59">
        <v>211</v>
      </c>
      <c r="I71" s="59">
        <v>211</v>
      </c>
      <c r="J71" s="107">
        <f>SUM(K71:M71)</f>
        <v>42126.508391099997</v>
      </c>
      <c r="K71" s="107">
        <f>23119.12+1351.63</f>
        <v>24470.75</v>
      </c>
      <c r="L71" s="70">
        <f>4001.99*2.3654</f>
        <v>9466.307146000001</v>
      </c>
      <c r="M71" s="220">
        <f>8021.06+58.14+110.2512451</f>
        <v>8189.451245100001</v>
      </c>
      <c r="N71" s="221">
        <f>SUM(O71:R71)</f>
        <v>8888693.9005220998</v>
      </c>
      <c r="O71" s="221">
        <f>G71*K71+0.63</f>
        <v>5163328.88</v>
      </c>
      <c r="P71" s="221">
        <f>G71*L71</f>
        <v>1997390.8078060001</v>
      </c>
      <c r="Q71" s="221"/>
      <c r="R71" s="46">
        <f>G71*M71</f>
        <v>1727974.2127161003</v>
      </c>
      <c r="S71" s="46"/>
      <c r="T71" s="46">
        <f>N71</f>
        <v>8888693.9005220998</v>
      </c>
      <c r="U71" s="46">
        <f>T71</f>
        <v>8888693.9005220998</v>
      </c>
    </row>
    <row r="72" spans="1:24" ht="135" x14ac:dyDescent="0.25">
      <c r="A72" s="290"/>
      <c r="B72" s="291"/>
      <c r="C72" s="63" t="s">
        <v>163</v>
      </c>
      <c r="D72" s="64" t="s">
        <v>101</v>
      </c>
      <c r="E72" s="59" t="s">
        <v>104</v>
      </c>
      <c r="F72" s="59" t="s">
        <v>104</v>
      </c>
      <c r="G72" s="59" t="s">
        <v>104</v>
      </c>
      <c r="H72" s="59" t="s">
        <v>104</v>
      </c>
      <c r="I72" s="59" t="s">
        <v>104</v>
      </c>
      <c r="J72" s="59" t="s">
        <v>104</v>
      </c>
      <c r="K72" s="59" t="s">
        <v>104</v>
      </c>
      <c r="L72" s="59" t="s">
        <v>104</v>
      </c>
      <c r="M72" s="123" t="s">
        <v>104</v>
      </c>
      <c r="N72" s="59"/>
      <c r="O72" s="59"/>
      <c r="P72" s="59" t="s">
        <v>104</v>
      </c>
      <c r="Q72" s="59"/>
      <c r="R72" s="123" t="s">
        <v>104</v>
      </c>
      <c r="S72" s="59"/>
      <c r="T72" s="75"/>
      <c r="U72" s="75"/>
    </row>
    <row r="73" spans="1:24" x14ac:dyDescent="0.25">
      <c r="A73" s="290"/>
      <c r="B73" s="291"/>
      <c r="C73" s="63" t="s">
        <v>171</v>
      </c>
      <c r="D73" s="64" t="s">
        <v>101</v>
      </c>
      <c r="E73" s="59">
        <v>1</v>
      </c>
      <c r="F73" s="59">
        <v>1</v>
      </c>
      <c r="G73" s="59">
        <f t="shared" si="45"/>
        <v>1</v>
      </c>
      <c r="H73" s="59">
        <v>1</v>
      </c>
      <c r="I73" s="59">
        <v>1</v>
      </c>
      <c r="J73" s="75">
        <f t="shared" ref="J73:J77" si="46">K73</f>
        <v>69362.66</v>
      </c>
      <c r="K73" s="75">
        <v>69362.66</v>
      </c>
      <c r="L73" s="59" t="s">
        <v>104</v>
      </c>
      <c r="M73" s="123" t="s">
        <v>104</v>
      </c>
      <c r="N73" s="71">
        <f>O73</f>
        <v>69362.66</v>
      </c>
      <c r="O73" s="71">
        <f>G73*K73</f>
        <v>69362.66</v>
      </c>
      <c r="P73" s="59" t="s">
        <v>104</v>
      </c>
      <c r="Q73" s="59"/>
      <c r="R73" s="123" t="s">
        <v>104</v>
      </c>
      <c r="S73" s="59"/>
      <c r="T73" s="75">
        <f>H73*K73</f>
        <v>69362.66</v>
      </c>
      <c r="U73" s="75">
        <f>I73*K73</f>
        <v>69362.66</v>
      </c>
    </row>
    <row r="74" spans="1:24" x14ac:dyDescent="0.25">
      <c r="A74" s="290"/>
      <c r="B74" s="291"/>
      <c r="C74" s="63" t="s">
        <v>164</v>
      </c>
      <c r="D74" s="64" t="s">
        <v>101</v>
      </c>
      <c r="E74" s="59">
        <v>4</v>
      </c>
      <c r="F74" s="59">
        <v>4</v>
      </c>
      <c r="G74" s="59">
        <f t="shared" si="45"/>
        <v>4</v>
      </c>
      <c r="H74" s="59">
        <v>4</v>
      </c>
      <c r="I74" s="59">
        <v>4</v>
      </c>
      <c r="J74" s="75">
        <f t="shared" si="46"/>
        <v>25589.72</v>
      </c>
      <c r="K74" s="75">
        <v>25589.72</v>
      </c>
      <c r="L74" s="59" t="s">
        <v>104</v>
      </c>
      <c r="M74" s="123" t="s">
        <v>104</v>
      </c>
      <c r="N74" s="71">
        <f>O74</f>
        <v>102358.88</v>
      </c>
      <c r="O74" s="71">
        <f t="shared" ref="O74:O78" si="47">G74*K74</f>
        <v>102358.88</v>
      </c>
      <c r="P74" s="59" t="s">
        <v>104</v>
      </c>
      <c r="Q74" s="59"/>
      <c r="R74" s="123" t="s">
        <v>104</v>
      </c>
      <c r="S74" s="59"/>
      <c r="T74" s="75">
        <f>H74*K74</f>
        <v>102358.88</v>
      </c>
      <c r="U74" s="75">
        <f>I74*K74</f>
        <v>102358.88</v>
      </c>
    </row>
    <row r="75" spans="1:24" x14ac:dyDescent="0.25">
      <c r="A75" s="290"/>
      <c r="B75" s="291"/>
      <c r="C75" s="63" t="s">
        <v>169</v>
      </c>
      <c r="D75" s="64" t="s">
        <v>101</v>
      </c>
      <c r="E75" s="59">
        <v>7</v>
      </c>
      <c r="F75" s="59">
        <v>7</v>
      </c>
      <c r="G75" s="59">
        <f t="shared" si="45"/>
        <v>7</v>
      </c>
      <c r="H75" s="59">
        <v>7</v>
      </c>
      <c r="I75" s="59">
        <v>7</v>
      </c>
      <c r="J75" s="75">
        <f t="shared" si="46"/>
        <v>69362.66</v>
      </c>
      <c r="K75" s="75">
        <v>69362.66</v>
      </c>
      <c r="L75" s="59" t="s">
        <v>104</v>
      </c>
      <c r="M75" s="123" t="s">
        <v>104</v>
      </c>
      <c r="N75" s="71">
        <f t="shared" ref="N75:N77" si="48">O75</f>
        <v>485538.62</v>
      </c>
      <c r="O75" s="71">
        <f t="shared" si="47"/>
        <v>485538.62</v>
      </c>
      <c r="P75" s="59" t="s">
        <v>104</v>
      </c>
      <c r="Q75" s="59"/>
      <c r="R75" s="123" t="s">
        <v>104</v>
      </c>
      <c r="S75" s="59"/>
      <c r="T75" s="75">
        <f t="shared" ref="T75:T77" si="49">H75*K75</f>
        <v>485538.62</v>
      </c>
      <c r="U75" s="75">
        <f t="shared" ref="U75:U77" si="50">I75*K75</f>
        <v>485538.62</v>
      </c>
    </row>
    <row r="76" spans="1:24" x14ac:dyDescent="0.25">
      <c r="A76" s="290"/>
      <c r="B76" s="291"/>
      <c r="C76" s="63" t="s">
        <v>166</v>
      </c>
      <c r="D76" s="64" t="s">
        <v>101</v>
      </c>
      <c r="E76" s="59">
        <v>4</v>
      </c>
      <c r="F76" s="59">
        <v>4</v>
      </c>
      <c r="G76" s="59">
        <f t="shared" si="45"/>
        <v>4</v>
      </c>
      <c r="H76" s="59">
        <v>4</v>
      </c>
      <c r="I76" s="59">
        <v>4</v>
      </c>
      <c r="J76" s="75">
        <f t="shared" si="46"/>
        <v>66361.320000000007</v>
      </c>
      <c r="K76" s="75">
        <v>66361.320000000007</v>
      </c>
      <c r="L76" s="59" t="s">
        <v>104</v>
      </c>
      <c r="M76" s="123" t="s">
        <v>104</v>
      </c>
      <c r="N76" s="71">
        <f t="shared" si="48"/>
        <v>265445.28000000003</v>
      </c>
      <c r="O76" s="71">
        <f t="shared" si="47"/>
        <v>265445.28000000003</v>
      </c>
      <c r="P76" s="59" t="s">
        <v>104</v>
      </c>
      <c r="Q76" s="59"/>
      <c r="R76" s="123" t="s">
        <v>104</v>
      </c>
      <c r="S76" s="59"/>
      <c r="T76" s="75">
        <f t="shared" si="49"/>
        <v>265445.28000000003</v>
      </c>
      <c r="U76" s="75">
        <f t="shared" si="50"/>
        <v>265445.28000000003</v>
      </c>
    </row>
    <row r="77" spans="1:24" x14ac:dyDescent="0.25">
      <c r="A77" s="290"/>
      <c r="B77" s="291"/>
      <c r="C77" s="63" t="s">
        <v>168</v>
      </c>
      <c r="D77" s="64" t="s">
        <v>101</v>
      </c>
      <c r="E77" s="59">
        <v>1</v>
      </c>
      <c r="F77" s="59">
        <v>1</v>
      </c>
      <c r="G77" s="59">
        <f t="shared" si="45"/>
        <v>1</v>
      </c>
      <c r="H77" s="59">
        <v>1</v>
      </c>
      <c r="I77" s="59">
        <v>1</v>
      </c>
      <c r="J77" s="75">
        <f t="shared" si="46"/>
        <v>23553.439999999999</v>
      </c>
      <c r="K77" s="75">
        <v>23553.439999999999</v>
      </c>
      <c r="L77" s="59" t="s">
        <v>104</v>
      </c>
      <c r="M77" s="123" t="s">
        <v>104</v>
      </c>
      <c r="N77" s="71">
        <f t="shared" si="48"/>
        <v>23553.439999999999</v>
      </c>
      <c r="O77" s="71">
        <f t="shared" si="47"/>
        <v>23553.439999999999</v>
      </c>
      <c r="P77" s="59" t="s">
        <v>104</v>
      </c>
      <c r="Q77" s="59"/>
      <c r="R77" s="123" t="s">
        <v>104</v>
      </c>
      <c r="S77" s="59"/>
      <c r="T77" s="75">
        <f t="shared" si="49"/>
        <v>23553.439999999999</v>
      </c>
      <c r="U77" s="75">
        <f t="shared" si="50"/>
        <v>23553.439999999999</v>
      </c>
    </row>
    <row r="78" spans="1:24" ht="120" x14ac:dyDescent="0.25">
      <c r="A78" s="290"/>
      <c r="B78" s="291"/>
      <c r="C78" s="61" t="s">
        <v>105</v>
      </c>
      <c r="D78" s="64" t="s">
        <v>101</v>
      </c>
      <c r="E78" s="59">
        <v>1</v>
      </c>
      <c r="F78" s="59">
        <v>1</v>
      </c>
      <c r="G78" s="59">
        <f t="shared" si="45"/>
        <v>1</v>
      </c>
      <c r="H78" s="59">
        <v>1</v>
      </c>
      <c r="I78" s="59">
        <v>1</v>
      </c>
      <c r="J78" s="75">
        <f>SUM(K78:M78)</f>
        <v>140420.3083911</v>
      </c>
      <c r="K78" s="75">
        <f>121412.92+1351.63</f>
        <v>122764.55</v>
      </c>
      <c r="L78" s="72">
        <f>4001.99*2.3654</f>
        <v>9466.307146000001</v>
      </c>
      <c r="M78" s="220">
        <f>8021.06+58.14+110.2512451</f>
        <v>8189.451245100001</v>
      </c>
      <c r="N78" s="71">
        <f>SUM(O78:R78)</f>
        <v>140420.3083911</v>
      </c>
      <c r="O78" s="71">
        <f t="shared" si="47"/>
        <v>122764.55</v>
      </c>
      <c r="P78" s="71">
        <f>G78*L78</f>
        <v>9466.307146000001</v>
      </c>
      <c r="Q78" s="71"/>
      <c r="R78" s="46">
        <f>G78*M78</f>
        <v>8189.451245100001</v>
      </c>
      <c r="S78" s="75"/>
      <c r="T78" s="75">
        <f t="shared" si="9"/>
        <v>140420.3083911</v>
      </c>
      <c r="U78" s="75">
        <f t="shared" si="6"/>
        <v>140420.3083911</v>
      </c>
    </row>
    <row r="79" spans="1:24" x14ac:dyDescent="0.25">
      <c r="A79" s="290"/>
      <c r="B79" s="291"/>
      <c r="C79" s="66" t="s">
        <v>106</v>
      </c>
      <c r="D79" s="67"/>
      <c r="E79" s="59">
        <f>E71+E78</f>
        <v>212</v>
      </c>
      <c r="F79" s="59">
        <f t="shared" ref="F79:I79" si="51">F71+F78</f>
        <v>212</v>
      </c>
      <c r="G79" s="59">
        <f>G71+G78</f>
        <v>212</v>
      </c>
      <c r="H79" s="59">
        <f t="shared" si="51"/>
        <v>212</v>
      </c>
      <c r="I79" s="59">
        <f t="shared" si="51"/>
        <v>212</v>
      </c>
      <c r="J79" s="71" t="s">
        <v>104</v>
      </c>
      <c r="K79" s="71" t="s">
        <v>104</v>
      </c>
      <c r="L79" s="71" t="s">
        <v>104</v>
      </c>
      <c r="M79" s="221" t="s">
        <v>104</v>
      </c>
      <c r="N79" s="71">
        <f t="shared" ref="N79:R79" si="52">SUM(N71:N78)</f>
        <v>9975373.0889131986</v>
      </c>
      <c r="O79" s="71">
        <f t="shared" si="52"/>
        <v>6232352.3100000005</v>
      </c>
      <c r="P79" s="71">
        <f t="shared" si="52"/>
        <v>2006857.1149520001</v>
      </c>
      <c r="Q79" s="71"/>
      <c r="R79" s="221">
        <f t="shared" si="52"/>
        <v>1736163.6639612003</v>
      </c>
      <c r="S79" s="71"/>
      <c r="T79" s="71">
        <f>N79</f>
        <v>9975373.0889131986</v>
      </c>
      <c r="U79" s="71">
        <f>T79</f>
        <v>9975373.0889131986</v>
      </c>
    </row>
    <row r="80" spans="1:24" ht="90" x14ac:dyDescent="0.25">
      <c r="A80" s="290"/>
      <c r="B80" s="291" t="s">
        <v>241</v>
      </c>
      <c r="C80" s="61" t="s">
        <v>100</v>
      </c>
      <c r="D80" s="62" t="s">
        <v>101</v>
      </c>
      <c r="E80" s="59">
        <v>223</v>
      </c>
      <c r="F80" s="59">
        <v>223</v>
      </c>
      <c r="G80" s="59">
        <f t="shared" si="45"/>
        <v>223</v>
      </c>
      <c r="H80" s="59">
        <v>223</v>
      </c>
      <c r="I80" s="59">
        <v>223</v>
      </c>
      <c r="J80" s="107">
        <f>SUM(K80:M80)</f>
        <v>53651.458391100008</v>
      </c>
      <c r="K80" s="107">
        <f>34346.05+1649.65</f>
        <v>35995.700000000004</v>
      </c>
      <c r="L80" s="70">
        <f>4001.99*2.3654</f>
        <v>9466.307146000001</v>
      </c>
      <c r="M80" s="220">
        <f>8021.06+58.14+110.2512451</f>
        <v>8189.451245100001</v>
      </c>
      <c r="N80" s="71">
        <f>SUM(O80:R80)</f>
        <v>11964275.2212153</v>
      </c>
      <c r="O80" s="71">
        <f>G80*K80</f>
        <v>8027041.1000000006</v>
      </c>
      <c r="P80" s="71">
        <f>G80*L80</f>
        <v>2110986.4935580003</v>
      </c>
      <c r="Q80" s="71"/>
      <c r="R80" s="46">
        <f>G80*M80</f>
        <v>1826247.6276573003</v>
      </c>
      <c r="S80" s="75"/>
      <c r="T80" s="75">
        <f t="shared" si="9"/>
        <v>11964275.221215302</v>
      </c>
      <c r="U80" s="75">
        <f t="shared" si="6"/>
        <v>11964275.221215302</v>
      </c>
    </row>
    <row r="81" spans="1:21" ht="135" x14ac:dyDescent="0.25">
      <c r="A81" s="290"/>
      <c r="B81" s="291"/>
      <c r="C81" s="63" t="s">
        <v>163</v>
      </c>
      <c r="D81" s="64" t="s">
        <v>101</v>
      </c>
      <c r="E81" s="59" t="s">
        <v>104</v>
      </c>
      <c r="F81" s="59" t="s">
        <v>104</v>
      </c>
      <c r="G81" s="59" t="s">
        <v>104</v>
      </c>
      <c r="H81" s="59" t="s">
        <v>104</v>
      </c>
      <c r="I81" s="59" t="s">
        <v>104</v>
      </c>
      <c r="J81" s="59" t="s">
        <v>104</v>
      </c>
      <c r="K81" s="59" t="s">
        <v>104</v>
      </c>
      <c r="L81" s="59" t="s">
        <v>104</v>
      </c>
      <c r="M81" s="123" t="s">
        <v>104</v>
      </c>
      <c r="N81" s="71"/>
      <c r="O81" s="71"/>
      <c r="P81" s="59" t="s">
        <v>104</v>
      </c>
      <c r="Q81" s="59"/>
      <c r="R81" s="123" t="s">
        <v>104</v>
      </c>
      <c r="S81" s="59"/>
      <c r="T81" s="75"/>
      <c r="U81" s="75"/>
    </row>
    <row r="82" spans="1:21" x14ac:dyDescent="0.25">
      <c r="A82" s="290"/>
      <c r="B82" s="291"/>
      <c r="C82" s="63" t="s">
        <v>171</v>
      </c>
      <c r="D82" s="64" t="s">
        <v>101</v>
      </c>
      <c r="E82" s="60">
        <v>1</v>
      </c>
      <c r="F82" s="60">
        <v>1</v>
      </c>
      <c r="G82" s="59">
        <f t="shared" si="45"/>
        <v>1</v>
      </c>
      <c r="H82" s="60">
        <v>1</v>
      </c>
      <c r="I82" s="60">
        <v>1</v>
      </c>
      <c r="J82" s="75">
        <f t="shared" ref="J82:J83" si="53">K82</f>
        <v>69362.66</v>
      </c>
      <c r="K82" s="75">
        <v>69362.66</v>
      </c>
      <c r="L82" s="59" t="s">
        <v>104</v>
      </c>
      <c r="M82" s="123" t="s">
        <v>104</v>
      </c>
      <c r="N82" s="71">
        <f t="shared" ref="N82:N83" si="54">O82</f>
        <v>69362.66</v>
      </c>
      <c r="O82" s="71">
        <f>G82*K82</f>
        <v>69362.66</v>
      </c>
      <c r="P82" s="59" t="s">
        <v>104</v>
      </c>
      <c r="Q82" s="59"/>
      <c r="R82" s="123" t="s">
        <v>104</v>
      </c>
      <c r="S82" s="59"/>
      <c r="T82" s="75">
        <f>H82*K82</f>
        <v>69362.66</v>
      </c>
      <c r="U82" s="75">
        <f>I82*K82</f>
        <v>69362.66</v>
      </c>
    </row>
    <row r="83" spans="1:21" x14ac:dyDescent="0.25">
      <c r="A83" s="290"/>
      <c r="B83" s="291"/>
      <c r="C83" s="63" t="s">
        <v>165</v>
      </c>
      <c r="D83" s="64" t="s">
        <v>101</v>
      </c>
      <c r="E83" s="60">
        <v>1</v>
      </c>
      <c r="F83" s="60">
        <v>1</v>
      </c>
      <c r="G83" s="59">
        <f t="shared" si="45"/>
        <v>1</v>
      </c>
      <c r="H83" s="60">
        <v>1</v>
      </c>
      <c r="I83" s="60">
        <v>1</v>
      </c>
      <c r="J83" s="75">
        <f t="shared" si="53"/>
        <v>92468.25</v>
      </c>
      <c r="K83" s="75">
        <v>92468.25</v>
      </c>
      <c r="L83" s="59" t="s">
        <v>104</v>
      </c>
      <c r="M83" s="123" t="s">
        <v>104</v>
      </c>
      <c r="N83" s="71">
        <f t="shared" si="54"/>
        <v>92468.25</v>
      </c>
      <c r="O83" s="71">
        <f t="shared" ref="O83:O85" si="55">G83*K83</f>
        <v>92468.25</v>
      </c>
      <c r="P83" s="59" t="s">
        <v>104</v>
      </c>
      <c r="Q83" s="59"/>
      <c r="R83" s="123" t="s">
        <v>104</v>
      </c>
      <c r="S83" s="59"/>
      <c r="T83" s="75">
        <f t="shared" ref="T83:T84" si="56">H83*K83</f>
        <v>92468.25</v>
      </c>
      <c r="U83" s="75">
        <f t="shared" ref="U83:U84" si="57">I83*K83</f>
        <v>92468.25</v>
      </c>
    </row>
    <row r="84" spans="1:21" x14ac:dyDescent="0.25">
      <c r="A84" s="290"/>
      <c r="B84" s="291"/>
      <c r="C84" s="63" t="s">
        <v>168</v>
      </c>
      <c r="D84" s="64" t="s">
        <v>101</v>
      </c>
      <c r="E84" s="60">
        <v>6</v>
      </c>
      <c r="F84" s="60">
        <v>6</v>
      </c>
      <c r="G84" s="59">
        <f t="shared" si="45"/>
        <v>6</v>
      </c>
      <c r="H84" s="60">
        <v>6</v>
      </c>
      <c r="I84" s="60">
        <v>6</v>
      </c>
      <c r="J84" s="75">
        <f>K84</f>
        <v>23553.439999999999</v>
      </c>
      <c r="K84" s="75">
        <v>23553.439999999999</v>
      </c>
      <c r="L84" s="59" t="s">
        <v>104</v>
      </c>
      <c r="M84" s="123" t="s">
        <v>104</v>
      </c>
      <c r="N84" s="71">
        <f>O84</f>
        <v>141320.63999999998</v>
      </c>
      <c r="O84" s="71">
        <f t="shared" si="55"/>
        <v>141320.63999999998</v>
      </c>
      <c r="P84" s="59" t="s">
        <v>104</v>
      </c>
      <c r="Q84" s="59"/>
      <c r="R84" s="123" t="s">
        <v>104</v>
      </c>
      <c r="S84" s="59"/>
      <c r="T84" s="75">
        <f t="shared" si="56"/>
        <v>141320.63999999998</v>
      </c>
      <c r="U84" s="75">
        <f t="shared" si="57"/>
        <v>141320.63999999998</v>
      </c>
    </row>
    <row r="85" spans="1:21" ht="120" x14ac:dyDescent="0.25">
      <c r="A85" s="290"/>
      <c r="B85" s="291"/>
      <c r="C85" s="61" t="s">
        <v>105</v>
      </c>
      <c r="D85" s="64" t="s">
        <v>101</v>
      </c>
      <c r="E85" s="60">
        <v>3</v>
      </c>
      <c r="F85" s="60">
        <v>3</v>
      </c>
      <c r="G85" s="59">
        <f t="shared" si="45"/>
        <v>3</v>
      </c>
      <c r="H85" s="60">
        <v>3</v>
      </c>
      <c r="I85" s="60">
        <v>3</v>
      </c>
      <c r="J85" s="75">
        <f>SUM(K85:M85)</f>
        <v>170713.03839110001</v>
      </c>
      <c r="K85" s="75">
        <f>151407.63+1649.65</f>
        <v>153057.28</v>
      </c>
      <c r="L85" s="72">
        <f>4001.99*2.3654</f>
        <v>9466.307146000001</v>
      </c>
      <c r="M85" s="220">
        <f>8021.06+58.14+110.2512451</f>
        <v>8189.451245100001</v>
      </c>
      <c r="N85" s="73">
        <f>SUM(O85:R85)</f>
        <v>512139.11517329997</v>
      </c>
      <c r="O85" s="71">
        <f t="shared" si="55"/>
        <v>459171.83999999997</v>
      </c>
      <c r="P85" s="73">
        <f>G85*L85</f>
        <v>28398.921438000005</v>
      </c>
      <c r="Q85" s="73"/>
      <c r="R85" s="46">
        <f>G85*M85</f>
        <v>24568.353735300003</v>
      </c>
      <c r="S85" s="75"/>
      <c r="T85" s="75">
        <f t="shared" si="9"/>
        <v>512139.11517330003</v>
      </c>
      <c r="U85" s="75">
        <f t="shared" si="6"/>
        <v>512139.11517330003</v>
      </c>
    </row>
    <row r="86" spans="1:21" x14ac:dyDescent="0.25">
      <c r="A86" s="290"/>
      <c r="B86" s="198"/>
      <c r="C86" s="66" t="s">
        <v>106</v>
      </c>
      <c r="D86" s="64"/>
      <c r="E86" s="60">
        <f>E80+E85</f>
        <v>226</v>
      </c>
      <c r="F86" s="60">
        <f t="shared" ref="F86:I86" si="58">F80+F85</f>
        <v>226</v>
      </c>
      <c r="G86" s="60">
        <f t="shared" si="58"/>
        <v>226</v>
      </c>
      <c r="H86" s="60">
        <f t="shared" si="58"/>
        <v>226</v>
      </c>
      <c r="I86" s="60">
        <f t="shared" si="58"/>
        <v>226</v>
      </c>
      <c r="J86" s="73" t="s">
        <v>104</v>
      </c>
      <c r="K86" s="73" t="s">
        <v>104</v>
      </c>
      <c r="L86" s="74" t="s">
        <v>104</v>
      </c>
      <c r="M86" s="225" t="s">
        <v>104</v>
      </c>
      <c r="N86" s="74">
        <f t="shared" ref="N86:U86" si="59">SUM(N80:N85)</f>
        <v>12779565.886388602</v>
      </c>
      <c r="O86" s="74">
        <f t="shared" si="59"/>
        <v>8789364.4900000002</v>
      </c>
      <c r="P86" s="74">
        <f t="shared" si="59"/>
        <v>2139385.4149960005</v>
      </c>
      <c r="Q86" s="74"/>
      <c r="R86" s="225">
        <f t="shared" si="59"/>
        <v>1850815.9813926003</v>
      </c>
      <c r="S86" s="74"/>
      <c r="T86" s="74">
        <f t="shared" si="59"/>
        <v>12779565.886388604</v>
      </c>
      <c r="U86" s="74">
        <f t="shared" si="59"/>
        <v>12779565.886388604</v>
      </c>
    </row>
    <row r="87" spans="1:21" ht="90" x14ac:dyDescent="0.25">
      <c r="A87" s="290"/>
      <c r="B87" s="291" t="s">
        <v>242</v>
      </c>
      <c r="C87" s="61" t="s">
        <v>100</v>
      </c>
      <c r="D87" s="62" t="s">
        <v>101</v>
      </c>
      <c r="E87" s="60">
        <v>68</v>
      </c>
      <c r="F87" s="60">
        <v>68</v>
      </c>
      <c r="G87" s="59">
        <f t="shared" si="45"/>
        <v>68</v>
      </c>
      <c r="H87" s="60">
        <v>68</v>
      </c>
      <c r="I87" s="60">
        <v>68</v>
      </c>
      <c r="J87" s="107">
        <f>SUM(K87:M87)</f>
        <v>60759.658391100005</v>
      </c>
      <c r="K87" s="107">
        <f>41105.12+1998.78</f>
        <v>43103.9</v>
      </c>
      <c r="L87" s="70">
        <f>4001.99*2.3654</f>
        <v>9466.307146000001</v>
      </c>
      <c r="M87" s="220">
        <f>8021.06+58.14+110.2512451</f>
        <v>8189.451245100001</v>
      </c>
      <c r="N87" s="73">
        <f>SUM(O87:R87)</f>
        <v>4131656.4815948</v>
      </c>
      <c r="O87" s="73">
        <f>G87*K87</f>
        <v>2931065.2</v>
      </c>
      <c r="P87" s="73">
        <f>G87*L87-0.289</f>
        <v>643708.5969280001</v>
      </c>
      <c r="Q87" s="73"/>
      <c r="R87" s="46">
        <f>G87*M87</f>
        <v>556882.68466680008</v>
      </c>
      <c r="S87" s="75"/>
      <c r="T87" s="75">
        <f>N87</f>
        <v>4131656.4815948</v>
      </c>
      <c r="U87" s="75">
        <f>T87</f>
        <v>4131656.4815948</v>
      </c>
    </row>
    <row r="88" spans="1:21" ht="135" x14ac:dyDescent="0.25">
      <c r="A88" s="290"/>
      <c r="B88" s="291"/>
      <c r="C88" s="63" t="s">
        <v>163</v>
      </c>
      <c r="D88" s="64" t="s">
        <v>101</v>
      </c>
      <c r="E88" s="59" t="s">
        <v>104</v>
      </c>
      <c r="F88" s="59" t="s">
        <v>104</v>
      </c>
      <c r="G88" s="59" t="s">
        <v>104</v>
      </c>
      <c r="H88" s="59" t="s">
        <v>104</v>
      </c>
      <c r="I88" s="59" t="s">
        <v>104</v>
      </c>
      <c r="J88" s="59" t="s">
        <v>104</v>
      </c>
      <c r="K88" s="59" t="s">
        <v>104</v>
      </c>
      <c r="L88" s="59" t="s">
        <v>104</v>
      </c>
      <c r="M88" s="123" t="s">
        <v>104</v>
      </c>
      <c r="N88" s="71"/>
      <c r="O88" s="71"/>
      <c r="P88" s="59" t="s">
        <v>104</v>
      </c>
      <c r="Q88" s="59"/>
      <c r="R88" s="123" t="s">
        <v>104</v>
      </c>
      <c r="S88" s="59"/>
      <c r="T88" s="75"/>
      <c r="U88" s="75"/>
    </row>
    <row r="89" spans="1:21" x14ac:dyDescent="0.25">
      <c r="A89" s="290"/>
      <c r="B89" s="291"/>
      <c r="C89" s="63" t="s">
        <v>165</v>
      </c>
      <c r="D89" s="64" t="s">
        <v>101</v>
      </c>
      <c r="E89" s="60"/>
      <c r="F89" s="60"/>
      <c r="G89" s="59">
        <f t="shared" si="45"/>
        <v>0</v>
      </c>
      <c r="H89" s="60"/>
      <c r="I89" s="60"/>
      <c r="J89" s="75">
        <f>K89</f>
        <v>92468.25</v>
      </c>
      <c r="K89" s="75">
        <v>92468.25</v>
      </c>
      <c r="L89" s="59" t="s">
        <v>104</v>
      </c>
      <c r="M89" s="123" t="s">
        <v>104</v>
      </c>
      <c r="N89" s="71">
        <f>O89</f>
        <v>0</v>
      </c>
      <c r="O89" s="71">
        <f>G89*K89</f>
        <v>0</v>
      </c>
      <c r="P89" s="59" t="s">
        <v>104</v>
      </c>
      <c r="Q89" s="59"/>
      <c r="R89" s="123" t="s">
        <v>104</v>
      </c>
      <c r="S89" s="59"/>
      <c r="T89" s="75">
        <f>H89*K89</f>
        <v>0</v>
      </c>
      <c r="U89" s="75">
        <f>I89*K89</f>
        <v>0</v>
      </c>
    </row>
    <row r="90" spans="1:21" x14ac:dyDescent="0.25">
      <c r="A90" s="290"/>
      <c r="B90" s="291"/>
      <c r="C90" s="63" t="s">
        <v>168</v>
      </c>
      <c r="D90" s="64" t="s">
        <v>101</v>
      </c>
      <c r="E90" s="60"/>
      <c r="F90" s="60"/>
      <c r="G90" s="59">
        <f t="shared" si="45"/>
        <v>0</v>
      </c>
      <c r="H90" s="60"/>
      <c r="I90" s="60"/>
      <c r="J90" s="75">
        <f>K90</f>
        <v>23553.439999999999</v>
      </c>
      <c r="K90" s="75">
        <v>23553.439999999999</v>
      </c>
      <c r="L90" s="59" t="s">
        <v>104</v>
      </c>
      <c r="M90" s="123" t="s">
        <v>104</v>
      </c>
      <c r="N90" s="71">
        <f>O90</f>
        <v>0</v>
      </c>
      <c r="O90" s="71">
        <f>G90*K90</f>
        <v>0</v>
      </c>
      <c r="P90" s="59" t="s">
        <v>104</v>
      </c>
      <c r="Q90" s="59"/>
      <c r="R90" s="123" t="s">
        <v>104</v>
      </c>
      <c r="S90" s="59"/>
      <c r="T90" s="75">
        <f>H90*K90</f>
        <v>0</v>
      </c>
      <c r="U90" s="75">
        <f>I90*K90</f>
        <v>0</v>
      </c>
    </row>
    <row r="91" spans="1:21" ht="120" x14ac:dyDescent="0.25">
      <c r="A91" s="290"/>
      <c r="B91" s="291"/>
      <c r="C91" s="61" t="s">
        <v>105</v>
      </c>
      <c r="D91" s="64" t="s">
        <v>101</v>
      </c>
      <c r="E91" s="60"/>
      <c r="F91" s="60"/>
      <c r="G91" s="59">
        <f t="shared" si="45"/>
        <v>0</v>
      </c>
      <c r="H91" s="60"/>
      <c r="I91" s="60"/>
      <c r="J91" s="75">
        <f>SUM(K91:M91)</f>
        <v>201043.22839110001</v>
      </c>
      <c r="K91" s="75">
        <f>181402.35+1985.12</f>
        <v>183387.47</v>
      </c>
      <c r="L91" s="72">
        <f>4001.99*2.3654</f>
        <v>9466.307146000001</v>
      </c>
      <c r="M91" s="220">
        <f>8021.06+58.14+110.2512451</f>
        <v>8189.451245100001</v>
      </c>
      <c r="N91" s="73"/>
      <c r="O91" s="71">
        <f>G91*K91</f>
        <v>0</v>
      </c>
      <c r="P91" s="73"/>
      <c r="Q91" s="73"/>
      <c r="R91" s="219"/>
      <c r="S91" s="73"/>
      <c r="T91" s="75">
        <f t="shared" si="9"/>
        <v>0</v>
      </c>
      <c r="U91" s="75">
        <f t="shared" si="6"/>
        <v>0</v>
      </c>
    </row>
    <row r="92" spans="1:21" x14ac:dyDescent="0.25">
      <c r="A92" s="290"/>
      <c r="B92" s="198"/>
      <c r="C92" s="66" t="s">
        <v>106</v>
      </c>
      <c r="D92" s="64"/>
      <c r="E92" s="60">
        <f>E87+E91</f>
        <v>68</v>
      </c>
      <c r="F92" s="60">
        <f t="shared" ref="F92:I92" si="60">F87+F91</f>
        <v>68</v>
      </c>
      <c r="G92" s="60">
        <f t="shared" si="60"/>
        <v>68</v>
      </c>
      <c r="H92" s="60">
        <f t="shared" si="60"/>
        <v>68</v>
      </c>
      <c r="I92" s="60">
        <f t="shared" si="60"/>
        <v>68</v>
      </c>
      <c r="J92" s="73" t="s">
        <v>104</v>
      </c>
      <c r="K92" s="73" t="s">
        <v>104</v>
      </c>
      <c r="L92" s="74" t="s">
        <v>104</v>
      </c>
      <c r="M92" s="225" t="s">
        <v>104</v>
      </c>
      <c r="N92" s="74">
        <f t="shared" ref="N92:U92" si="61">SUM(N87:N91)</f>
        <v>4131656.4815948</v>
      </c>
      <c r="O92" s="74">
        <f t="shared" si="61"/>
        <v>2931065.2</v>
      </c>
      <c r="P92" s="74">
        <f t="shared" si="61"/>
        <v>643708.5969280001</v>
      </c>
      <c r="Q92" s="74"/>
      <c r="R92" s="225">
        <f t="shared" si="61"/>
        <v>556882.68466680008</v>
      </c>
      <c r="S92" s="74"/>
      <c r="T92" s="74">
        <f t="shared" si="61"/>
        <v>4131656.4815948</v>
      </c>
      <c r="U92" s="74">
        <f t="shared" si="61"/>
        <v>4131656.4815948</v>
      </c>
    </row>
    <row r="93" spans="1:21" ht="100.15" customHeight="1" x14ac:dyDescent="0.25">
      <c r="A93" s="290"/>
      <c r="B93" s="137" t="s">
        <v>243</v>
      </c>
      <c r="C93" s="61" t="s">
        <v>187</v>
      </c>
      <c r="D93" s="64" t="s">
        <v>101</v>
      </c>
      <c r="E93" s="60">
        <v>426</v>
      </c>
      <c r="F93" s="60">
        <v>426</v>
      </c>
      <c r="G93" s="59">
        <f t="shared" si="45"/>
        <v>426</v>
      </c>
      <c r="H93" s="60">
        <v>426</v>
      </c>
      <c r="I93" s="60">
        <v>426</v>
      </c>
      <c r="J93" s="75">
        <f>K93</f>
        <v>3978.76</v>
      </c>
      <c r="K93" s="75">
        <v>3978.76</v>
      </c>
      <c r="L93" s="72" t="s">
        <v>104</v>
      </c>
      <c r="M93" s="224" t="s">
        <v>104</v>
      </c>
      <c r="N93" s="73">
        <f>SUM(O93:R93)</f>
        <v>1694948</v>
      </c>
      <c r="O93" s="73">
        <f>K93*G93-3.76</f>
        <v>1694948</v>
      </c>
      <c r="P93" s="73" t="s">
        <v>104</v>
      </c>
      <c r="Q93" s="73"/>
      <c r="R93" s="219" t="s">
        <v>104</v>
      </c>
      <c r="S93" s="73"/>
      <c r="T93" s="75">
        <f>N93</f>
        <v>1694948</v>
      </c>
      <c r="U93" s="75">
        <f>T93</f>
        <v>1694948</v>
      </c>
    </row>
    <row r="94" spans="1:21" x14ac:dyDescent="0.25">
      <c r="A94" s="290"/>
      <c r="B94" s="69"/>
      <c r="C94" s="66" t="s">
        <v>106</v>
      </c>
      <c r="D94" s="69"/>
      <c r="E94" s="60">
        <f>SUM(E93:E93)</f>
        <v>426</v>
      </c>
      <c r="F94" s="60">
        <f>SUM(F93:F93)</f>
        <v>426</v>
      </c>
      <c r="G94" s="60">
        <f>SUM(G93:G93)</f>
        <v>426</v>
      </c>
      <c r="H94" s="60">
        <f>SUM(H93:H93)</f>
        <v>426</v>
      </c>
      <c r="I94" s="60">
        <f>SUM(I93:I93)</f>
        <v>426</v>
      </c>
      <c r="J94" s="73" t="s">
        <v>104</v>
      </c>
      <c r="K94" s="73" t="s">
        <v>104</v>
      </c>
      <c r="L94" s="74" t="s">
        <v>104</v>
      </c>
      <c r="M94" s="225">
        <f t="shared" ref="M94:R94" si="62">SUM(M93:M93)</f>
        <v>0</v>
      </c>
      <c r="N94" s="74">
        <f t="shared" si="62"/>
        <v>1694948</v>
      </c>
      <c r="O94" s="74">
        <f t="shared" si="62"/>
        <v>1694948</v>
      </c>
      <c r="P94" s="74">
        <f t="shared" si="62"/>
        <v>0</v>
      </c>
      <c r="Q94" s="74"/>
      <c r="R94" s="225">
        <f t="shared" si="62"/>
        <v>0</v>
      </c>
      <c r="S94" s="74"/>
      <c r="T94" s="75">
        <f>N94</f>
        <v>1694948</v>
      </c>
      <c r="U94" s="75">
        <f>T94</f>
        <v>1694948</v>
      </c>
    </row>
    <row r="95" spans="1:21" x14ac:dyDescent="0.25">
      <c r="A95" s="290"/>
      <c r="B95" s="69" t="s">
        <v>280</v>
      </c>
      <c r="C95" s="187" t="s">
        <v>226</v>
      </c>
      <c r="D95" s="69"/>
      <c r="E95" s="60"/>
      <c r="F95" s="60"/>
      <c r="G95" s="60"/>
      <c r="H95" s="60"/>
      <c r="I95" s="60"/>
      <c r="J95" s="73"/>
      <c r="K95" s="73"/>
      <c r="L95" s="74"/>
      <c r="M95" s="225"/>
      <c r="N95" s="74">
        <f>P95</f>
        <v>49950</v>
      </c>
      <c r="O95" s="74"/>
      <c r="P95" s="74">
        <v>49950</v>
      </c>
      <c r="Q95" s="74"/>
      <c r="R95" s="225"/>
      <c r="S95" s="74"/>
      <c r="T95" s="75">
        <f>P95</f>
        <v>49950</v>
      </c>
      <c r="U95" s="75">
        <f>T95</f>
        <v>49950</v>
      </c>
    </row>
    <row r="96" spans="1:21" x14ac:dyDescent="0.25">
      <c r="A96" s="290"/>
      <c r="B96" s="89" t="s">
        <v>225</v>
      </c>
      <c r="C96" s="187" t="s">
        <v>219</v>
      </c>
      <c r="D96" s="64" t="s">
        <v>101</v>
      </c>
      <c r="E96" s="60"/>
      <c r="F96" s="60"/>
      <c r="G96" s="60">
        <v>12</v>
      </c>
      <c r="H96" s="60">
        <v>12</v>
      </c>
      <c r="I96" s="60">
        <v>12</v>
      </c>
      <c r="J96" s="73"/>
      <c r="K96" s="73"/>
      <c r="L96" s="74"/>
      <c r="M96" s="225"/>
      <c r="N96" s="74">
        <f>S96</f>
        <v>1539389</v>
      </c>
      <c r="O96" s="74"/>
      <c r="P96" s="74"/>
      <c r="Q96" s="74"/>
      <c r="R96" s="225"/>
      <c r="S96" s="74">
        <f>1388178+151211</f>
        <v>1539389</v>
      </c>
      <c r="T96" s="75">
        <f>S96</f>
        <v>1539389</v>
      </c>
      <c r="U96" s="75">
        <f>T96</f>
        <v>1539389</v>
      </c>
    </row>
    <row r="97" spans="1:24" x14ac:dyDescent="0.25">
      <c r="A97" s="290"/>
      <c r="B97" s="89" t="s">
        <v>225</v>
      </c>
      <c r="C97" s="187" t="s">
        <v>226</v>
      </c>
      <c r="D97" s="64" t="s">
        <v>101</v>
      </c>
      <c r="E97" s="60"/>
      <c r="F97" s="60"/>
      <c r="G97" s="60">
        <v>1</v>
      </c>
      <c r="H97" s="60">
        <v>1</v>
      </c>
      <c r="I97" s="60">
        <v>1</v>
      </c>
      <c r="J97" s="73"/>
      <c r="K97" s="73"/>
      <c r="L97" s="74"/>
      <c r="M97" s="225"/>
      <c r="N97" s="74">
        <f>Q97</f>
        <v>190671.67</v>
      </c>
      <c r="O97" s="74"/>
      <c r="P97" s="74"/>
      <c r="Q97" s="74">
        <f>160666.67+19435+10570</f>
        <v>190671.67</v>
      </c>
      <c r="R97" s="225"/>
      <c r="S97" s="74"/>
      <c r="T97" s="75">
        <f>Q97</f>
        <v>190671.67</v>
      </c>
      <c r="U97" s="75">
        <f>T97</f>
        <v>190671.67</v>
      </c>
    </row>
    <row r="98" spans="1:24" x14ac:dyDescent="0.25">
      <c r="A98" s="290"/>
      <c r="B98" s="101" t="s">
        <v>112</v>
      </c>
      <c r="C98" s="101"/>
      <c r="D98" s="69"/>
      <c r="E98" s="102"/>
      <c r="F98" s="102"/>
      <c r="G98" s="102">
        <f>G79+G86+G92</f>
        <v>506</v>
      </c>
      <c r="H98" s="102">
        <f t="shared" ref="H98:I98" si="63">H79+H86+H92</f>
        <v>506</v>
      </c>
      <c r="I98" s="102">
        <f t="shared" si="63"/>
        <v>506</v>
      </c>
      <c r="J98" s="104"/>
      <c r="K98" s="104"/>
      <c r="L98" s="103"/>
      <c r="M98" s="138"/>
      <c r="N98" s="138">
        <f>SUM(O98:S98)</f>
        <v>30361554.126896605</v>
      </c>
      <c r="O98" s="253">
        <f>O79+O86+O92+O94</f>
        <v>19647730</v>
      </c>
      <c r="P98" s="253">
        <f>P79+P86+P92+P94+P95+P96+P97</f>
        <v>4839901.1268760012</v>
      </c>
      <c r="Q98" s="253">
        <f t="shared" ref="Q98:U98" si="64">Q79+Q86+Q92+Q94+Q95+Q96+Q97</f>
        <v>190671.67</v>
      </c>
      <c r="R98" s="253">
        <f t="shared" si="64"/>
        <v>4143862.3300206009</v>
      </c>
      <c r="S98" s="253">
        <f t="shared" si="64"/>
        <v>1539389</v>
      </c>
      <c r="T98" s="138">
        <f t="shared" si="64"/>
        <v>30361554.126896605</v>
      </c>
      <c r="U98" s="138">
        <f t="shared" si="64"/>
        <v>30361554.126896605</v>
      </c>
      <c r="V98" s="80">
        <v>4143862.33</v>
      </c>
      <c r="W98" s="85">
        <f>V98-R98</f>
        <v>-2.0600855350494385E-5</v>
      </c>
      <c r="X98" s="80">
        <f>W98/I98</f>
        <v>-4.0713152866589691E-8</v>
      </c>
    </row>
    <row r="99" spans="1:24" ht="90" x14ac:dyDescent="0.25">
      <c r="A99" s="290" t="s">
        <v>115</v>
      </c>
      <c r="B99" s="291" t="s">
        <v>240</v>
      </c>
      <c r="C99" s="61" t="s">
        <v>100</v>
      </c>
      <c r="D99" s="62" t="s">
        <v>101</v>
      </c>
      <c r="E99" s="59">
        <v>207</v>
      </c>
      <c r="F99" s="59">
        <v>207</v>
      </c>
      <c r="G99" s="59">
        <f t="shared" ref="G99:G124" si="65">((E99*8)+(F99*4))/12</f>
        <v>207</v>
      </c>
      <c r="H99" s="59">
        <v>207</v>
      </c>
      <c r="I99" s="59">
        <v>207</v>
      </c>
      <c r="J99" s="107">
        <f>SUM(K99:M99)</f>
        <v>41848.002664</v>
      </c>
      <c r="K99" s="107">
        <f>23119.12+1351.63</f>
        <v>24470.75</v>
      </c>
      <c r="L99" s="70">
        <f>4001.99*2.3654</f>
        <v>9466.307146000001</v>
      </c>
      <c r="M99" s="220">
        <f>8021.06+58.14+584.5665962-483.0811205-269.7399577</f>
        <v>7910.9455180000014</v>
      </c>
      <c r="N99" s="71">
        <f>SUM(O99:R99)</f>
        <v>8662537.2614479996</v>
      </c>
      <c r="O99" s="71">
        <f>G99*K99+0.71</f>
        <v>5065445.96</v>
      </c>
      <c r="P99" s="71">
        <f>G99*L99</f>
        <v>1959525.5792220002</v>
      </c>
      <c r="Q99" s="71"/>
      <c r="R99" s="46">
        <f>G99*M99</f>
        <v>1637565.7222260004</v>
      </c>
      <c r="S99" s="75"/>
      <c r="T99" s="75">
        <f>N99</f>
        <v>8662537.2614479996</v>
      </c>
      <c r="U99" s="75">
        <f>T99</f>
        <v>8662537.2614479996</v>
      </c>
    </row>
    <row r="100" spans="1:24" ht="135" x14ac:dyDescent="0.25">
      <c r="A100" s="290"/>
      <c r="B100" s="291"/>
      <c r="C100" s="63" t="s">
        <v>163</v>
      </c>
      <c r="D100" s="64" t="s">
        <v>101</v>
      </c>
      <c r="E100" s="59" t="s">
        <v>104</v>
      </c>
      <c r="F100" s="59" t="s">
        <v>104</v>
      </c>
      <c r="G100" s="59" t="s">
        <v>104</v>
      </c>
      <c r="H100" s="59" t="s">
        <v>104</v>
      </c>
      <c r="I100" s="59" t="s">
        <v>104</v>
      </c>
      <c r="J100" s="59" t="s">
        <v>104</v>
      </c>
      <c r="K100" s="59" t="s">
        <v>104</v>
      </c>
      <c r="L100" s="59" t="s">
        <v>104</v>
      </c>
      <c r="M100" s="123" t="s">
        <v>104</v>
      </c>
      <c r="N100" s="71"/>
      <c r="O100" s="71"/>
      <c r="P100" s="59" t="s">
        <v>104</v>
      </c>
      <c r="Q100" s="59"/>
      <c r="R100" s="123" t="s">
        <v>104</v>
      </c>
      <c r="S100" s="59"/>
      <c r="T100" s="75"/>
      <c r="U100" s="75"/>
    </row>
    <row r="101" spans="1:24" x14ac:dyDescent="0.25">
      <c r="A101" s="290"/>
      <c r="B101" s="291"/>
      <c r="C101" s="63" t="s">
        <v>164</v>
      </c>
      <c r="D101" s="64" t="s">
        <v>101</v>
      </c>
      <c r="E101" s="59">
        <v>1</v>
      </c>
      <c r="F101" s="59">
        <v>1</v>
      </c>
      <c r="G101" s="59">
        <f t="shared" si="65"/>
        <v>1</v>
      </c>
      <c r="H101" s="59">
        <v>1</v>
      </c>
      <c r="I101" s="59">
        <v>1</v>
      </c>
      <c r="J101" s="75">
        <f>K101</f>
        <v>25589.72</v>
      </c>
      <c r="K101" s="71">
        <v>25589.72</v>
      </c>
      <c r="L101" s="59" t="s">
        <v>104</v>
      </c>
      <c r="M101" s="123" t="s">
        <v>104</v>
      </c>
      <c r="N101" s="71">
        <f t="shared" ref="N101:N103" si="66">O101</f>
        <v>25589.72</v>
      </c>
      <c r="O101" s="71">
        <f>G101*K101</f>
        <v>25589.72</v>
      </c>
      <c r="P101" s="59" t="s">
        <v>104</v>
      </c>
      <c r="Q101" s="59"/>
      <c r="R101" s="123" t="s">
        <v>104</v>
      </c>
      <c r="S101" s="59"/>
      <c r="T101" s="75">
        <f t="shared" ref="T101:T103" si="67">H101*K101</f>
        <v>25589.72</v>
      </c>
      <c r="U101" s="75">
        <f t="shared" ref="U101:U103" si="68">I101*K101</f>
        <v>25589.72</v>
      </c>
    </row>
    <row r="102" spans="1:24" x14ac:dyDescent="0.25">
      <c r="A102" s="290"/>
      <c r="B102" s="291"/>
      <c r="C102" s="63" t="s">
        <v>169</v>
      </c>
      <c r="D102" s="64" t="s">
        <v>101</v>
      </c>
      <c r="E102" s="59">
        <v>10</v>
      </c>
      <c r="F102" s="59">
        <v>10</v>
      </c>
      <c r="G102" s="59">
        <f t="shared" si="65"/>
        <v>10</v>
      </c>
      <c r="H102" s="59">
        <v>10</v>
      </c>
      <c r="I102" s="59">
        <v>10</v>
      </c>
      <c r="J102" s="75">
        <f>K102</f>
        <v>69362.66</v>
      </c>
      <c r="K102" s="71">
        <v>69362.66</v>
      </c>
      <c r="L102" s="59" t="s">
        <v>104</v>
      </c>
      <c r="M102" s="123" t="s">
        <v>104</v>
      </c>
      <c r="N102" s="71">
        <f t="shared" si="66"/>
        <v>693626.60000000009</v>
      </c>
      <c r="O102" s="71">
        <f t="shared" ref="O102:O107" si="69">G102*K102</f>
        <v>693626.60000000009</v>
      </c>
      <c r="P102" s="59" t="s">
        <v>104</v>
      </c>
      <c r="Q102" s="59"/>
      <c r="R102" s="123" t="s">
        <v>104</v>
      </c>
      <c r="S102" s="59"/>
      <c r="T102" s="75">
        <f t="shared" si="67"/>
        <v>693626.60000000009</v>
      </c>
      <c r="U102" s="75">
        <f t="shared" si="68"/>
        <v>693626.60000000009</v>
      </c>
    </row>
    <row r="103" spans="1:24" x14ac:dyDescent="0.25">
      <c r="A103" s="290"/>
      <c r="B103" s="291"/>
      <c r="C103" s="63" t="s">
        <v>165</v>
      </c>
      <c r="D103" s="64" t="s">
        <v>101</v>
      </c>
      <c r="E103" s="59">
        <v>1</v>
      </c>
      <c r="F103" s="59">
        <v>1</v>
      </c>
      <c r="G103" s="59">
        <f t="shared" si="65"/>
        <v>1</v>
      </c>
      <c r="H103" s="59">
        <v>1</v>
      </c>
      <c r="I103" s="59">
        <v>1</v>
      </c>
      <c r="J103" s="75">
        <f>K103</f>
        <v>92468.25</v>
      </c>
      <c r="K103" s="71">
        <v>92468.25</v>
      </c>
      <c r="L103" s="59" t="s">
        <v>104</v>
      </c>
      <c r="M103" s="123" t="s">
        <v>104</v>
      </c>
      <c r="N103" s="71">
        <f t="shared" si="66"/>
        <v>92468.25</v>
      </c>
      <c r="O103" s="71">
        <f t="shared" si="69"/>
        <v>92468.25</v>
      </c>
      <c r="P103" s="59" t="s">
        <v>104</v>
      </c>
      <c r="Q103" s="59"/>
      <c r="R103" s="123" t="s">
        <v>104</v>
      </c>
      <c r="S103" s="59"/>
      <c r="T103" s="75">
        <f t="shared" si="67"/>
        <v>92468.25</v>
      </c>
      <c r="U103" s="75">
        <f t="shared" si="68"/>
        <v>92468.25</v>
      </c>
    </row>
    <row r="104" spans="1:24" x14ac:dyDescent="0.25">
      <c r="A104" s="290"/>
      <c r="B104" s="291"/>
      <c r="C104" s="63" t="s">
        <v>166</v>
      </c>
      <c r="D104" s="64" t="s">
        <v>101</v>
      </c>
      <c r="E104" s="59">
        <v>14</v>
      </c>
      <c r="F104" s="59">
        <v>14</v>
      </c>
      <c r="G104" s="59">
        <f t="shared" si="65"/>
        <v>14</v>
      </c>
      <c r="H104" s="59">
        <v>14</v>
      </c>
      <c r="I104" s="59">
        <v>14</v>
      </c>
      <c r="J104" s="75">
        <f>K104</f>
        <v>66361.320000000007</v>
      </c>
      <c r="K104" s="75">
        <v>66361.320000000007</v>
      </c>
      <c r="L104" s="59" t="s">
        <v>104</v>
      </c>
      <c r="M104" s="123" t="s">
        <v>104</v>
      </c>
      <c r="N104" s="71">
        <f>O104</f>
        <v>929058.4800000001</v>
      </c>
      <c r="O104" s="71">
        <f t="shared" si="69"/>
        <v>929058.4800000001</v>
      </c>
      <c r="P104" s="59" t="s">
        <v>104</v>
      </c>
      <c r="Q104" s="59"/>
      <c r="R104" s="123" t="s">
        <v>104</v>
      </c>
      <c r="S104" s="59"/>
      <c r="T104" s="75">
        <f>H104*K104</f>
        <v>929058.4800000001</v>
      </c>
      <c r="U104" s="75">
        <f>I104*K104</f>
        <v>929058.4800000001</v>
      </c>
    </row>
    <row r="105" spans="1:24" x14ac:dyDescent="0.25">
      <c r="A105" s="290"/>
      <c r="B105" s="291"/>
      <c r="C105" s="63" t="s">
        <v>167</v>
      </c>
      <c r="D105" s="64" t="s">
        <v>101</v>
      </c>
      <c r="E105" s="59">
        <v>3</v>
      </c>
      <c r="F105" s="59">
        <v>3</v>
      </c>
      <c r="G105" s="59">
        <f t="shared" si="65"/>
        <v>3</v>
      </c>
      <c r="H105" s="59">
        <v>3</v>
      </c>
      <c r="I105" s="59">
        <v>3</v>
      </c>
      <c r="J105" s="75">
        <f>K105</f>
        <v>174890.83</v>
      </c>
      <c r="K105" s="75">
        <v>174890.83</v>
      </c>
      <c r="L105" s="59" t="s">
        <v>104</v>
      </c>
      <c r="M105" s="123" t="s">
        <v>104</v>
      </c>
      <c r="N105" s="71">
        <f>O105</f>
        <v>524672.49</v>
      </c>
      <c r="O105" s="71">
        <f t="shared" si="69"/>
        <v>524672.49</v>
      </c>
      <c r="P105" s="59" t="s">
        <v>104</v>
      </c>
      <c r="Q105" s="59"/>
      <c r="R105" s="123" t="s">
        <v>104</v>
      </c>
      <c r="S105" s="59"/>
      <c r="T105" s="75">
        <f>H105*K105</f>
        <v>524672.49</v>
      </c>
      <c r="U105" s="75">
        <f>I105*K105</f>
        <v>524672.49</v>
      </c>
    </row>
    <row r="106" spans="1:24" x14ac:dyDescent="0.25">
      <c r="A106" s="290"/>
      <c r="B106" s="291"/>
      <c r="C106" s="63" t="s">
        <v>170</v>
      </c>
      <c r="D106" s="64" t="s">
        <v>101</v>
      </c>
      <c r="E106" s="59">
        <v>1</v>
      </c>
      <c r="F106" s="59">
        <v>1</v>
      </c>
      <c r="G106" s="59">
        <f t="shared" si="65"/>
        <v>1</v>
      </c>
      <c r="H106" s="59">
        <v>1</v>
      </c>
      <c r="I106" s="59">
        <v>1</v>
      </c>
      <c r="J106" s="75">
        <f t="shared" ref="J106:J107" si="70">K106</f>
        <v>99648.29</v>
      </c>
      <c r="K106" s="75">
        <v>99648.29</v>
      </c>
      <c r="L106" s="59" t="s">
        <v>104</v>
      </c>
      <c r="M106" s="123" t="s">
        <v>104</v>
      </c>
      <c r="N106" s="71">
        <f t="shared" ref="N106:N107" si="71">O106</f>
        <v>99648.29</v>
      </c>
      <c r="O106" s="71">
        <f t="shared" si="69"/>
        <v>99648.29</v>
      </c>
      <c r="P106" s="59" t="s">
        <v>104</v>
      </c>
      <c r="Q106" s="59"/>
      <c r="R106" s="123" t="s">
        <v>104</v>
      </c>
      <c r="S106" s="59"/>
      <c r="T106" s="75">
        <f t="shared" ref="T106:T107" si="72">H106*K106</f>
        <v>99648.29</v>
      </c>
      <c r="U106" s="75">
        <f t="shared" ref="U106:U107" si="73">I106*K106</f>
        <v>99648.29</v>
      </c>
    </row>
    <row r="107" spans="1:24" x14ac:dyDescent="0.25">
      <c r="A107" s="290"/>
      <c r="B107" s="291"/>
      <c r="C107" s="63" t="s">
        <v>168</v>
      </c>
      <c r="D107" s="64" t="s">
        <v>101</v>
      </c>
      <c r="E107" s="59">
        <v>2</v>
      </c>
      <c r="F107" s="59">
        <v>2</v>
      </c>
      <c r="G107" s="59">
        <f t="shared" si="65"/>
        <v>2</v>
      </c>
      <c r="H107" s="59">
        <v>2</v>
      </c>
      <c r="I107" s="59">
        <v>2</v>
      </c>
      <c r="J107" s="75">
        <f t="shared" si="70"/>
        <v>23553.439999999999</v>
      </c>
      <c r="K107" s="75">
        <v>23553.439999999999</v>
      </c>
      <c r="L107" s="59" t="s">
        <v>104</v>
      </c>
      <c r="M107" s="123" t="s">
        <v>104</v>
      </c>
      <c r="N107" s="71">
        <f t="shared" si="71"/>
        <v>47106.879999999997</v>
      </c>
      <c r="O107" s="71">
        <f t="shared" si="69"/>
        <v>47106.879999999997</v>
      </c>
      <c r="P107" s="59" t="s">
        <v>104</v>
      </c>
      <c r="Q107" s="59"/>
      <c r="R107" s="123" t="s">
        <v>104</v>
      </c>
      <c r="S107" s="59"/>
      <c r="T107" s="75">
        <f t="shared" si="72"/>
        <v>47106.879999999997</v>
      </c>
      <c r="U107" s="75">
        <f t="shared" si="73"/>
        <v>47106.879999999997</v>
      </c>
    </row>
    <row r="108" spans="1:24" ht="120" x14ac:dyDescent="0.25">
      <c r="A108" s="290"/>
      <c r="B108" s="291"/>
      <c r="C108" s="61" t="s">
        <v>105</v>
      </c>
      <c r="D108" s="64" t="s">
        <v>101</v>
      </c>
      <c r="E108" s="59">
        <v>2</v>
      </c>
      <c r="F108" s="59">
        <v>2</v>
      </c>
      <c r="G108" s="59">
        <f t="shared" si="65"/>
        <v>2</v>
      </c>
      <c r="H108" s="59">
        <v>2</v>
      </c>
      <c r="I108" s="59">
        <v>2</v>
      </c>
      <c r="J108" s="75">
        <f>SUM(K108:M108)</f>
        <v>140141.80266399999</v>
      </c>
      <c r="K108" s="75">
        <f>121412.92+1351.63</f>
        <v>122764.55</v>
      </c>
      <c r="L108" s="72">
        <f>4001.99*2.3654</f>
        <v>9466.307146000001</v>
      </c>
      <c r="M108" s="220">
        <f>8021.06+58.14+584.5665962-483.0811205-269.7399577</f>
        <v>7910.9455180000014</v>
      </c>
      <c r="N108" s="71">
        <f>SUM(O108:R108)</f>
        <v>280283.60532799998</v>
      </c>
      <c r="O108" s="71">
        <f>G108*K108</f>
        <v>245529.1</v>
      </c>
      <c r="P108" s="71">
        <f>G108*L108</f>
        <v>18932.614292000002</v>
      </c>
      <c r="Q108" s="71"/>
      <c r="R108" s="46">
        <f>G108*M108</f>
        <v>15821.891036000003</v>
      </c>
      <c r="S108" s="75"/>
      <c r="T108" s="75">
        <f t="shared" si="9"/>
        <v>280283.60532799998</v>
      </c>
      <c r="U108" s="75">
        <f t="shared" si="6"/>
        <v>280283.60532799998</v>
      </c>
    </row>
    <row r="109" spans="1:24" x14ac:dyDescent="0.25">
      <c r="A109" s="290"/>
      <c r="B109" s="291"/>
      <c r="C109" s="66" t="s">
        <v>106</v>
      </c>
      <c r="D109" s="67"/>
      <c r="E109" s="59">
        <f>E99+E108</f>
        <v>209</v>
      </c>
      <c r="F109" s="59">
        <f t="shared" ref="F109:I109" si="74">F99+F108</f>
        <v>209</v>
      </c>
      <c r="G109" s="59">
        <f t="shared" si="74"/>
        <v>209</v>
      </c>
      <c r="H109" s="59">
        <f t="shared" si="74"/>
        <v>209</v>
      </c>
      <c r="I109" s="59">
        <f t="shared" si="74"/>
        <v>209</v>
      </c>
      <c r="J109" s="71" t="s">
        <v>104</v>
      </c>
      <c r="K109" s="71" t="s">
        <v>104</v>
      </c>
      <c r="L109" s="71" t="s">
        <v>104</v>
      </c>
      <c r="M109" s="221" t="s">
        <v>104</v>
      </c>
      <c r="N109" s="71">
        <f>SUM(N99:N108)</f>
        <v>11354991.576776</v>
      </c>
      <c r="O109" s="71">
        <f>SUM(O99:O108)</f>
        <v>7723145.7699999996</v>
      </c>
      <c r="P109" s="71">
        <f>SUM(P99:P108)</f>
        <v>1978458.1935140002</v>
      </c>
      <c r="Q109" s="71"/>
      <c r="R109" s="221">
        <f t="shared" ref="R109" si="75">SUM(R99:R108)</f>
        <v>1653387.6132620005</v>
      </c>
      <c r="S109" s="71"/>
      <c r="T109" s="71">
        <f>N109</f>
        <v>11354991.576776</v>
      </c>
      <c r="U109" s="71">
        <f>T109</f>
        <v>11354991.576776</v>
      </c>
    </row>
    <row r="110" spans="1:24" ht="90" x14ac:dyDescent="0.25">
      <c r="A110" s="290"/>
      <c r="B110" s="291" t="s">
        <v>241</v>
      </c>
      <c r="C110" s="61" t="s">
        <v>100</v>
      </c>
      <c r="D110" s="62" t="s">
        <v>101</v>
      </c>
      <c r="E110" s="59">
        <v>229</v>
      </c>
      <c r="F110" s="59">
        <v>229</v>
      </c>
      <c r="G110" s="59">
        <f t="shared" si="65"/>
        <v>229</v>
      </c>
      <c r="H110" s="59">
        <v>229</v>
      </c>
      <c r="I110" s="59">
        <v>229</v>
      </c>
      <c r="J110" s="107">
        <f>SUM(K110:M110)</f>
        <v>53372.952664000004</v>
      </c>
      <c r="K110" s="107">
        <f>34346.05+1649.65</f>
        <v>35995.700000000004</v>
      </c>
      <c r="L110" s="70">
        <f>4001.99*2.3654</f>
        <v>9466.307146000001</v>
      </c>
      <c r="M110" s="220">
        <f>8021.06+58.14+584.5665962-483.0811205-269.7399577</f>
        <v>7910.9455180000014</v>
      </c>
      <c r="N110" s="71">
        <f>SUM(O110:R110)</f>
        <v>12222406.160056001</v>
      </c>
      <c r="O110" s="71">
        <f>G110*K110</f>
        <v>8243015.3000000007</v>
      </c>
      <c r="P110" s="71">
        <f>G110*L110</f>
        <v>2167784.3364340002</v>
      </c>
      <c r="Q110" s="71"/>
      <c r="R110" s="46">
        <f>G110*M110</f>
        <v>1811606.5236220004</v>
      </c>
      <c r="S110" s="75"/>
      <c r="T110" s="75">
        <f t="shared" si="9"/>
        <v>12222406.160056001</v>
      </c>
      <c r="U110" s="75">
        <f t="shared" si="6"/>
        <v>12222406.160056001</v>
      </c>
    </row>
    <row r="111" spans="1:24" ht="135" x14ac:dyDescent="0.25">
      <c r="A111" s="290"/>
      <c r="B111" s="291"/>
      <c r="C111" s="63" t="s">
        <v>163</v>
      </c>
      <c r="D111" s="64" t="s">
        <v>101</v>
      </c>
      <c r="E111" s="59" t="s">
        <v>104</v>
      </c>
      <c r="F111" s="59" t="s">
        <v>104</v>
      </c>
      <c r="G111" s="59" t="s">
        <v>104</v>
      </c>
      <c r="H111" s="59" t="s">
        <v>104</v>
      </c>
      <c r="I111" s="59" t="s">
        <v>104</v>
      </c>
      <c r="J111" s="59" t="s">
        <v>104</v>
      </c>
      <c r="K111" s="59" t="s">
        <v>104</v>
      </c>
      <c r="L111" s="59" t="s">
        <v>104</v>
      </c>
      <c r="M111" s="123" t="s">
        <v>104</v>
      </c>
      <c r="N111" s="71"/>
      <c r="O111" s="71"/>
      <c r="P111" s="59" t="s">
        <v>104</v>
      </c>
      <c r="Q111" s="59"/>
      <c r="R111" s="123" t="s">
        <v>104</v>
      </c>
      <c r="S111" s="59"/>
      <c r="T111" s="75"/>
      <c r="U111" s="75"/>
    </row>
    <row r="112" spans="1:24" x14ac:dyDescent="0.25">
      <c r="A112" s="290"/>
      <c r="B112" s="291"/>
      <c r="C112" s="63" t="s">
        <v>164</v>
      </c>
      <c r="D112" s="64" t="s">
        <v>101</v>
      </c>
      <c r="E112" s="60">
        <v>2</v>
      </c>
      <c r="F112" s="60">
        <v>2</v>
      </c>
      <c r="G112" s="59">
        <f t="shared" si="65"/>
        <v>2</v>
      </c>
      <c r="H112" s="60">
        <v>2</v>
      </c>
      <c r="I112" s="60">
        <v>2</v>
      </c>
      <c r="J112" s="75">
        <f>K112</f>
        <v>25589.72</v>
      </c>
      <c r="K112" s="75">
        <v>25589.72</v>
      </c>
      <c r="L112" s="59" t="s">
        <v>104</v>
      </c>
      <c r="M112" s="123" t="s">
        <v>104</v>
      </c>
      <c r="N112" s="71">
        <f>O112</f>
        <v>51179.44</v>
      </c>
      <c r="O112" s="71">
        <f>G112*K112</f>
        <v>51179.44</v>
      </c>
      <c r="P112" s="59" t="s">
        <v>104</v>
      </c>
      <c r="Q112" s="59"/>
      <c r="R112" s="123" t="s">
        <v>104</v>
      </c>
      <c r="S112" s="59"/>
      <c r="T112" s="75">
        <f>H112*K112</f>
        <v>51179.44</v>
      </c>
      <c r="U112" s="75">
        <f t="shared" ref="U112:U116" si="76">I112*K112</f>
        <v>51179.44</v>
      </c>
    </row>
    <row r="113" spans="1:22" x14ac:dyDescent="0.25">
      <c r="A113" s="290"/>
      <c r="B113" s="291"/>
      <c r="C113" s="63" t="s">
        <v>165</v>
      </c>
      <c r="D113" s="64" t="s">
        <v>101</v>
      </c>
      <c r="E113" s="60">
        <v>2</v>
      </c>
      <c r="F113" s="60">
        <v>2</v>
      </c>
      <c r="G113" s="59">
        <f t="shared" si="65"/>
        <v>2</v>
      </c>
      <c r="H113" s="60">
        <v>2</v>
      </c>
      <c r="I113" s="60">
        <v>2</v>
      </c>
      <c r="J113" s="75">
        <f t="shared" ref="J113:J116" si="77">K113</f>
        <v>92468.25</v>
      </c>
      <c r="K113" s="75">
        <v>92468.25</v>
      </c>
      <c r="L113" s="59" t="s">
        <v>104</v>
      </c>
      <c r="M113" s="123" t="s">
        <v>104</v>
      </c>
      <c r="N113" s="71">
        <f t="shared" ref="N113:N116" si="78">O113</f>
        <v>184936.5</v>
      </c>
      <c r="O113" s="71">
        <f t="shared" ref="O113:O116" si="79">G113*K113</f>
        <v>184936.5</v>
      </c>
      <c r="P113" s="59" t="s">
        <v>104</v>
      </c>
      <c r="Q113" s="59"/>
      <c r="R113" s="123" t="s">
        <v>104</v>
      </c>
      <c r="S113" s="59"/>
      <c r="T113" s="75">
        <f t="shared" ref="T113:T116" si="80">H113*K113</f>
        <v>184936.5</v>
      </c>
      <c r="U113" s="75">
        <f t="shared" si="76"/>
        <v>184936.5</v>
      </c>
    </row>
    <row r="114" spans="1:22" x14ac:dyDescent="0.25">
      <c r="A114" s="290"/>
      <c r="B114" s="291"/>
      <c r="C114" s="63" t="s">
        <v>167</v>
      </c>
      <c r="D114" s="64" t="s">
        <v>101</v>
      </c>
      <c r="E114" s="60">
        <v>2</v>
      </c>
      <c r="F114" s="60">
        <v>2</v>
      </c>
      <c r="G114" s="59">
        <f t="shared" si="65"/>
        <v>2</v>
      </c>
      <c r="H114" s="60">
        <v>2</v>
      </c>
      <c r="I114" s="60">
        <v>2</v>
      </c>
      <c r="J114" s="75">
        <f t="shared" si="77"/>
        <v>266106.15000000002</v>
      </c>
      <c r="K114" s="75">
        <v>266106.15000000002</v>
      </c>
      <c r="L114" s="59"/>
      <c r="M114" s="123"/>
      <c r="N114" s="71">
        <f t="shared" si="78"/>
        <v>532212.30000000005</v>
      </c>
      <c r="O114" s="71">
        <f t="shared" si="79"/>
        <v>532212.30000000005</v>
      </c>
      <c r="P114" s="59" t="s">
        <v>104</v>
      </c>
      <c r="Q114" s="59"/>
      <c r="R114" s="123"/>
      <c r="S114" s="59"/>
      <c r="T114" s="75">
        <f t="shared" si="80"/>
        <v>532212.30000000005</v>
      </c>
      <c r="U114" s="75">
        <f t="shared" si="76"/>
        <v>532212.30000000005</v>
      </c>
    </row>
    <row r="115" spans="1:22" x14ac:dyDescent="0.25">
      <c r="A115" s="290"/>
      <c r="B115" s="291"/>
      <c r="C115" s="63" t="s">
        <v>170</v>
      </c>
      <c r="D115" s="64" t="s">
        <v>101</v>
      </c>
      <c r="E115" s="60">
        <v>1</v>
      </c>
      <c r="F115" s="60">
        <v>1</v>
      </c>
      <c r="G115" s="59">
        <f t="shared" si="65"/>
        <v>1</v>
      </c>
      <c r="H115" s="60">
        <v>1</v>
      </c>
      <c r="I115" s="60">
        <v>1</v>
      </c>
      <c r="J115" s="75">
        <f t="shared" si="77"/>
        <v>32769.75</v>
      </c>
      <c r="K115" s="75">
        <v>32769.75</v>
      </c>
      <c r="L115" s="59"/>
      <c r="M115" s="123"/>
      <c r="N115" s="71">
        <f t="shared" si="78"/>
        <v>32769.75</v>
      </c>
      <c r="O115" s="71">
        <f t="shared" si="79"/>
        <v>32769.75</v>
      </c>
      <c r="P115" s="59" t="s">
        <v>104</v>
      </c>
      <c r="Q115" s="59"/>
      <c r="R115" s="123"/>
      <c r="S115" s="59"/>
      <c r="T115" s="75">
        <f t="shared" si="80"/>
        <v>32769.75</v>
      </c>
      <c r="U115" s="75">
        <f t="shared" si="76"/>
        <v>32769.75</v>
      </c>
    </row>
    <row r="116" spans="1:22" x14ac:dyDescent="0.25">
      <c r="A116" s="290"/>
      <c r="B116" s="291"/>
      <c r="C116" s="63" t="s">
        <v>168</v>
      </c>
      <c r="D116" s="64" t="s">
        <v>101</v>
      </c>
      <c r="E116" s="60">
        <v>1</v>
      </c>
      <c r="F116" s="60">
        <v>1</v>
      </c>
      <c r="G116" s="59">
        <f t="shared" si="65"/>
        <v>1</v>
      </c>
      <c r="H116" s="60">
        <v>1</v>
      </c>
      <c r="I116" s="60">
        <v>1</v>
      </c>
      <c r="J116" s="75">
        <f t="shared" si="77"/>
        <v>23553.439999999999</v>
      </c>
      <c r="K116" s="75">
        <v>23553.439999999999</v>
      </c>
      <c r="L116" s="59" t="s">
        <v>104</v>
      </c>
      <c r="M116" s="123" t="s">
        <v>104</v>
      </c>
      <c r="N116" s="71">
        <f t="shared" si="78"/>
        <v>23553.439999999999</v>
      </c>
      <c r="O116" s="71">
        <f t="shared" si="79"/>
        <v>23553.439999999999</v>
      </c>
      <c r="P116" s="59" t="s">
        <v>104</v>
      </c>
      <c r="Q116" s="59"/>
      <c r="R116" s="123" t="s">
        <v>104</v>
      </c>
      <c r="S116" s="59"/>
      <c r="T116" s="75">
        <f t="shared" si="80"/>
        <v>23553.439999999999</v>
      </c>
      <c r="U116" s="75">
        <f t="shared" si="76"/>
        <v>23553.439999999999</v>
      </c>
    </row>
    <row r="117" spans="1:22" ht="120" x14ac:dyDescent="0.25">
      <c r="A117" s="290"/>
      <c r="B117" s="291"/>
      <c r="C117" s="61" t="s">
        <v>105</v>
      </c>
      <c r="D117" s="64" t="s">
        <v>101</v>
      </c>
      <c r="E117" s="60"/>
      <c r="F117" s="60"/>
      <c r="G117" s="59">
        <f t="shared" si="65"/>
        <v>0</v>
      </c>
      <c r="H117" s="60"/>
      <c r="I117" s="60"/>
      <c r="J117" s="75">
        <f>SUM(K117:M117)</f>
        <v>170423.26266400001</v>
      </c>
      <c r="K117" s="75">
        <f>151407.63+1638.38</f>
        <v>153046.01</v>
      </c>
      <c r="L117" s="72">
        <f>4001.99*2.3654</f>
        <v>9466.307146000001</v>
      </c>
      <c r="M117" s="220">
        <f>8021.06+58.14+584.5665962-483.0811205-269.7399577</f>
        <v>7910.9455180000014</v>
      </c>
      <c r="N117" s="73">
        <f>SUM(O117:R117)</f>
        <v>0</v>
      </c>
      <c r="O117" s="73">
        <f>G117*K117</f>
        <v>0</v>
      </c>
      <c r="P117" s="73">
        <f>G117*L117</f>
        <v>0</v>
      </c>
      <c r="Q117" s="73"/>
      <c r="R117" s="46">
        <f>G117*M117</f>
        <v>0</v>
      </c>
      <c r="S117" s="75"/>
      <c r="T117" s="75">
        <f t="shared" si="9"/>
        <v>0</v>
      </c>
      <c r="U117" s="75">
        <f t="shared" si="6"/>
        <v>0</v>
      </c>
    </row>
    <row r="118" spans="1:22" x14ac:dyDescent="0.25">
      <c r="A118" s="290"/>
      <c r="B118" s="198"/>
      <c r="C118" s="66" t="s">
        <v>106</v>
      </c>
      <c r="D118" s="64"/>
      <c r="E118" s="60">
        <f>E110+E117</f>
        <v>229</v>
      </c>
      <c r="F118" s="60">
        <f t="shared" ref="F118:I118" si="81">F110+F117</f>
        <v>229</v>
      </c>
      <c r="G118" s="60">
        <f t="shared" si="81"/>
        <v>229</v>
      </c>
      <c r="H118" s="60">
        <f t="shared" si="81"/>
        <v>229</v>
      </c>
      <c r="I118" s="60">
        <f t="shared" si="81"/>
        <v>229</v>
      </c>
      <c r="J118" s="73" t="s">
        <v>104</v>
      </c>
      <c r="K118" s="73" t="s">
        <v>104</v>
      </c>
      <c r="L118" s="73" t="s">
        <v>104</v>
      </c>
      <c r="M118" s="219" t="s">
        <v>104</v>
      </c>
      <c r="N118" s="74">
        <f>SUM(N110:N117)</f>
        <v>13047057.590056</v>
      </c>
      <c r="O118" s="74">
        <f>SUM(O110:O117)</f>
        <v>9067666.7300000023</v>
      </c>
      <c r="P118" s="74">
        <f>SUM(P110:P117)</f>
        <v>2167784.3364340002</v>
      </c>
      <c r="Q118" s="74"/>
      <c r="R118" s="225">
        <f t="shared" ref="R118:U118" si="82">SUM(R110:R117)</f>
        <v>1811606.5236220004</v>
      </c>
      <c r="S118" s="74"/>
      <c r="T118" s="74">
        <f t="shared" si="82"/>
        <v>13047057.590056</v>
      </c>
      <c r="U118" s="74">
        <f t="shared" si="82"/>
        <v>13047057.590056</v>
      </c>
    </row>
    <row r="119" spans="1:22" ht="90" x14ac:dyDescent="0.25">
      <c r="A119" s="290"/>
      <c r="B119" s="291" t="s">
        <v>242</v>
      </c>
      <c r="C119" s="61" t="s">
        <v>100</v>
      </c>
      <c r="D119" s="62" t="s">
        <v>101</v>
      </c>
      <c r="E119" s="60">
        <v>35</v>
      </c>
      <c r="F119" s="60">
        <v>35</v>
      </c>
      <c r="G119" s="59">
        <f t="shared" si="65"/>
        <v>35</v>
      </c>
      <c r="H119" s="60">
        <v>35</v>
      </c>
      <c r="I119" s="60">
        <v>35</v>
      </c>
      <c r="J119" s="107">
        <f>SUM(K119:M119)</f>
        <v>60481.152664000001</v>
      </c>
      <c r="K119" s="107">
        <f>41105.12+1998.78</f>
        <v>43103.9</v>
      </c>
      <c r="L119" s="70">
        <f>4001.99*2.3654</f>
        <v>9466.307146000001</v>
      </c>
      <c r="M119" s="220">
        <f>8021.06+58.14+584.5665962-483.0811205-269.7399577</f>
        <v>7910.9455180000014</v>
      </c>
      <c r="N119" s="73">
        <f>SUM(O119:R119)</f>
        <v>2116840.5832400001</v>
      </c>
      <c r="O119" s="73">
        <f>G119*K119</f>
        <v>1508636.5</v>
      </c>
      <c r="P119" s="73">
        <f>G119*L119+0.24</f>
        <v>331320.99011000001</v>
      </c>
      <c r="Q119" s="73"/>
      <c r="R119" s="46">
        <f>G119*M119</f>
        <v>276883.09313000005</v>
      </c>
      <c r="S119" s="75"/>
      <c r="T119" s="75">
        <f>N119</f>
        <v>2116840.5832400001</v>
      </c>
      <c r="U119" s="75">
        <f>T119</f>
        <v>2116840.5832400001</v>
      </c>
    </row>
    <row r="120" spans="1:22" ht="135" x14ac:dyDescent="0.25">
      <c r="A120" s="290"/>
      <c r="B120" s="291"/>
      <c r="C120" s="63" t="s">
        <v>163</v>
      </c>
      <c r="D120" s="64" t="s">
        <v>101</v>
      </c>
      <c r="E120" s="59" t="s">
        <v>104</v>
      </c>
      <c r="F120" s="59" t="s">
        <v>104</v>
      </c>
      <c r="G120" s="59" t="s">
        <v>104</v>
      </c>
      <c r="H120" s="59" t="s">
        <v>104</v>
      </c>
      <c r="I120" s="59" t="s">
        <v>104</v>
      </c>
      <c r="J120" s="59" t="s">
        <v>104</v>
      </c>
      <c r="K120" s="59" t="s">
        <v>104</v>
      </c>
      <c r="L120" s="59" t="s">
        <v>104</v>
      </c>
      <c r="M120" s="123" t="s">
        <v>104</v>
      </c>
      <c r="N120" s="71"/>
      <c r="O120" s="71"/>
      <c r="P120" s="59" t="s">
        <v>104</v>
      </c>
      <c r="Q120" s="59"/>
      <c r="R120" s="123" t="s">
        <v>104</v>
      </c>
      <c r="S120" s="59"/>
      <c r="T120" s="75"/>
      <c r="U120" s="75"/>
    </row>
    <row r="121" spans="1:22" x14ac:dyDescent="0.25">
      <c r="A121" s="290"/>
      <c r="B121" s="291"/>
      <c r="C121" s="63" t="s">
        <v>165</v>
      </c>
      <c r="D121" s="64" t="s">
        <v>101</v>
      </c>
      <c r="E121" s="60">
        <v>0</v>
      </c>
      <c r="F121" s="60"/>
      <c r="G121" s="59">
        <f t="shared" si="65"/>
        <v>0</v>
      </c>
      <c r="H121" s="60">
        <v>0</v>
      </c>
      <c r="I121" s="60">
        <v>0</v>
      </c>
      <c r="J121" s="75">
        <f>K121</f>
        <v>92468.25</v>
      </c>
      <c r="K121" s="75">
        <v>92468.25</v>
      </c>
      <c r="L121" s="59" t="s">
        <v>104</v>
      </c>
      <c r="M121" s="123" t="s">
        <v>104</v>
      </c>
      <c r="N121" s="71">
        <f>O121</f>
        <v>0</v>
      </c>
      <c r="O121" s="71">
        <f>G121*K121</f>
        <v>0</v>
      </c>
      <c r="P121" s="59" t="s">
        <v>104</v>
      </c>
      <c r="Q121" s="59"/>
      <c r="R121" s="123" t="s">
        <v>104</v>
      </c>
      <c r="S121" s="59"/>
      <c r="T121" s="75">
        <f>H121*K121</f>
        <v>0</v>
      </c>
      <c r="U121" s="75">
        <f>I121*K121</f>
        <v>0</v>
      </c>
    </row>
    <row r="122" spans="1:22" ht="120" x14ac:dyDescent="0.25">
      <c r="A122" s="290"/>
      <c r="B122" s="291"/>
      <c r="C122" s="61" t="s">
        <v>105</v>
      </c>
      <c r="D122" s="64" t="s">
        <v>101</v>
      </c>
      <c r="E122" s="60"/>
      <c r="F122" s="60">
        <v>0</v>
      </c>
      <c r="G122" s="157">
        <f t="shared" si="65"/>
        <v>0</v>
      </c>
      <c r="H122" s="60">
        <v>0</v>
      </c>
      <c r="I122" s="60">
        <v>0</v>
      </c>
      <c r="J122" s="75">
        <f>SUM(K122:M122)</f>
        <v>200764.722664</v>
      </c>
      <c r="K122" s="75">
        <f>181402.35+1985.12</f>
        <v>183387.47</v>
      </c>
      <c r="L122" s="72">
        <f>4001.99*2.3654</f>
        <v>9466.307146000001</v>
      </c>
      <c r="M122" s="220">
        <f>8021.06+58.14+584.5665962-483.0811205-269.7399577</f>
        <v>7910.9455180000014</v>
      </c>
      <c r="N122" s="73"/>
      <c r="O122" s="73">
        <f>K122*G122</f>
        <v>0</v>
      </c>
      <c r="P122" s="73">
        <f>L122*G122</f>
        <v>0</v>
      </c>
      <c r="Q122" s="73"/>
      <c r="R122" s="219"/>
      <c r="S122" s="73"/>
      <c r="T122" s="75">
        <f t="shared" si="9"/>
        <v>0</v>
      </c>
      <c r="U122" s="75">
        <f t="shared" si="6"/>
        <v>0</v>
      </c>
    </row>
    <row r="123" spans="1:22" x14ac:dyDescent="0.25">
      <c r="A123" s="290"/>
      <c r="B123" s="198"/>
      <c r="C123" s="66" t="s">
        <v>106</v>
      </c>
      <c r="D123" s="64"/>
      <c r="E123" s="60">
        <f>E119+E122</f>
        <v>35</v>
      </c>
      <c r="F123" s="60">
        <f t="shared" ref="F123:I123" si="83">F119+F122</f>
        <v>35</v>
      </c>
      <c r="G123" s="60">
        <f t="shared" si="83"/>
        <v>35</v>
      </c>
      <c r="H123" s="60">
        <f t="shared" si="83"/>
        <v>35</v>
      </c>
      <c r="I123" s="60">
        <f t="shared" si="83"/>
        <v>35</v>
      </c>
      <c r="J123" s="73" t="s">
        <v>104</v>
      </c>
      <c r="K123" s="73" t="s">
        <v>104</v>
      </c>
      <c r="L123" s="73" t="s">
        <v>104</v>
      </c>
      <c r="M123" s="219" t="s">
        <v>104</v>
      </c>
      <c r="N123" s="74">
        <f>SUM(N119:N122)</f>
        <v>2116840.5832400001</v>
      </c>
      <c r="O123" s="74">
        <f>SUM(O119:O122)</f>
        <v>1508636.5</v>
      </c>
      <c r="P123" s="74">
        <f>SUM(P119:P122)</f>
        <v>331320.99011000001</v>
      </c>
      <c r="Q123" s="74"/>
      <c r="R123" s="225">
        <f t="shared" ref="R123:U123" si="84">SUM(R119:R122)</f>
        <v>276883.09313000005</v>
      </c>
      <c r="S123" s="74"/>
      <c r="T123" s="74">
        <f t="shared" si="84"/>
        <v>2116840.5832400001</v>
      </c>
      <c r="U123" s="74">
        <f t="shared" si="84"/>
        <v>2116840.5832400001</v>
      </c>
    </row>
    <row r="124" spans="1:22" ht="102" customHeight="1" x14ac:dyDescent="0.25">
      <c r="A124" s="290"/>
      <c r="B124" s="137" t="s">
        <v>243</v>
      </c>
      <c r="C124" s="61" t="s">
        <v>187</v>
      </c>
      <c r="D124" s="64" t="s">
        <v>101</v>
      </c>
      <c r="E124" s="60">
        <v>416</v>
      </c>
      <c r="F124" s="60">
        <v>416</v>
      </c>
      <c r="G124" s="157">
        <f t="shared" si="65"/>
        <v>416</v>
      </c>
      <c r="H124" s="60">
        <v>416</v>
      </c>
      <c r="I124" s="60">
        <v>416</v>
      </c>
      <c r="J124" s="75">
        <f>K124</f>
        <v>3978.76</v>
      </c>
      <c r="K124" s="75">
        <v>3978.76</v>
      </c>
      <c r="L124" s="73" t="s">
        <v>104</v>
      </c>
      <c r="M124" s="219" t="s">
        <v>104</v>
      </c>
      <c r="N124" s="73">
        <f>SUM(O124:R124)</f>
        <v>1655160.0000000002</v>
      </c>
      <c r="O124" s="73">
        <f>G124*K124-4.16</f>
        <v>1655160.0000000002</v>
      </c>
      <c r="P124" s="73" t="s">
        <v>104</v>
      </c>
      <c r="Q124" s="73"/>
      <c r="R124" s="219" t="s">
        <v>104</v>
      </c>
      <c r="S124" s="73"/>
      <c r="T124" s="75">
        <f>N124</f>
        <v>1655160.0000000002</v>
      </c>
      <c r="U124" s="75">
        <f>T124</f>
        <v>1655160.0000000002</v>
      </c>
    </row>
    <row r="125" spans="1:22" x14ac:dyDescent="0.25">
      <c r="A125" s="290"/>
      <c r="B125" s="69"/>
      <c r="C125" s="66" t="s">
        <v>106</v>
      </c>
      <c r="D125" s="69"/>
      <c r="E125" s="60">
        <f>SUM(E124:E124)</f>
        <v>416</v>
      </c>
      <c r="F125" s="60">
        <f>SUM(F124:F124)</f>
        <v>416</v>
      </c>
      <c r="G125" s="60">
        <f>SUM(G124:G124)</f>
        <v>416</v>
      </c>
      <c r="H125" s="60">
        <f>SUM(H124:H124)</f>
        <v>416</v>
      </c>
      <c r="I125" s="60">
        <f>SUM(I124:I124)</f>
        <v>416</v>
      </c>
      <c r="J125" s="73" t="s">
        <v>104</v>
      </c>
      <c r="K125" s="73" t="s">
        <v>104</v>
      </c>
      <c r="L125" s="73" t="s">
        <v>104</v>
      </c>
      <c r="M125" s="225">
        <f t="shared" ref="M125:R125" si="85">SUM(M124:M124)</f>
        <v>0</v>
      </c>
      <c r="N125" s="74">
        <f>SUM(N124:N124)</f>
        <v>1655160.0000000002</v>
      </c>
      <c r="O125" s="74">
        <f t="shared" si="85"/>
        <v>1655160.0000000002</v>
      </c>
      <c r="P125" s="74">
        <f t="shared" si="85"/>
        <v>0</v>
      </c>
      <c r="Q125" s="74"/>
      <c r="R125" s="225">
        <f t="shared" si="85"/>
        <v>0</v>
      </c>
      <c r="S125" s="74"/>
      <c r="T125" s="75">
        <f>N125</f>
        <v>1655160.0000000002</v>
      </c>
      <c r="U125" s="75">
        <f>T125</f>
        <v>1655160.0000000002</v>
      </c>
      <c r="V125" s="85">
        <f>T109+T118+T123+T125+T126+T127</f>
        <v>30529822.750071999</v>
      </c>
    </row>
    <row r="126" spans="1:22" x14ac:dyDescent="0.25">
      <c r="A126" s="290"/>
      <c r="B126" s="69" t="s">
        <v>280</v>
      </c>
      <c r="C126" s="187" t="s">
        <v>226</v>
      </c>
      <c r="D126" s="69"/>
      <c r="E126" s="60"/>
      <c r="F126" s="60"/>
      <c r="G126" s="60"/>
      <c r="H126" s="60"/>
      <c r="I126" s="60"/>
      <c r="J126" s="73"/>
      <c r="K126" s="73"/>
      <c r="L126" s="73"/>
      <c r="M126" s="225"/>
      <c r="N126" s="74">
        <f>P126</f>
        <v>46826</v>
      </c>
      <c r="O126" s="74"/>
      <c r="P126" s="74">
        <v>46826</v>
      </c>
      <c r="Q126" s="74"/>
      <c r="R126" s="225"/>
      <c r="S126" s="74"/>
      <c r="T126" s="75">
        <f>P126</f>
        <v>46826</v>
      </c>
      <c r="U126" s="75">
        <f>T126</f>
        <v>46826</v>
      </c>
      <c r="V126" s="85">
        <f>N109+N118+N123+N125+N126</f>
        <v>28220875.750071999</v>
      </c>
    </row>
    <row r="127" spans="1:22" x14ac:dyDescent="0.25">
      <c r="A127" s="290"/>
      <c r="B127" s="89" t="s">
        <v>225</v>
      </c>
      <c r="C127" s="187" t="s">
        <v>219</v>
      </c>
      <c r="D127" s="64" t="s">
        <v>101</v>
      </c>
      <c r="E127" s="60"/>
      <c r="F127" s="60"/>
      <c r="G127" s="60">
        <v>14</v>
      </c>
      <c r="H127" s="60">
        <v>14</v>
      </c>
      <c r="I127" s="60">
        <v>14</v>
      </c>
      <c r="J127" s="73"/>
      <c r="K127" s="73"/>
      <c r="L127" s="73"/>
      <c r="M127" s="225"/>
      <c r="N127" s="74">
        <f>S127</f>
        <v>2308947</v>
      </c>
      <c r="O127" s="74"/>
      <c r="P127" s="74"/>
      <c r="Q127" s="74"/>
      <c r="R127" s="225"/>
      <c r="S127" s="74">
        <f>2220367+88580</f>
        <v>2308947</v>
      </c>
      <c r="T127" s="75">
        <f>S127</f>
        <v>2308947</v>
      </c>
      <c r="U127" s="75">
        <f>T127</f>
        <v>2308947</v>
      </c>
    </row>
    <row r="128" spans="1:22" x14ac:dyDescent="0.25">
      <c r="A128" s="290"/>
      <c r="B128" s="89" t="s">
        <v>225</v>
      </c>
      <c r="C128" s="187" t="s">
        <v>226</v>
      </c>
      <c r="D128" s="64" t="s">
        <v>101</v>
      </c>
      <c r="E128" s="60"/>
      <c r="F128" s="60"/>
      <c r="G128" s="60"/>
      <c r="H128" s="60"/>
      <c r="I128" s="60"/>
      <c r="J128" s="73"/>
      <c r="K128" s="73"/>
      <c r="L128" s="73"/>
      <c r="M128" s="225"/>
      <c r="N128" s="74"/>
      <c r="O128" s="74"/>
      <c r="P128" s="74"/>
      <c r="Q128" s="74"/>
      <c r="R128" s="225"/>
      <c r="S128" s="74"/>
      <c r="T128" s="75">
        <f>Q128</f>
        <v>0</v>
      </c>
      <c r="U128" s="75">
        <f>T128</f>
        <v>0</v>
      </c>
    </row>
    <row r="129" spans="1:24" x14ac:dyDescent="0.25">
      <c r="A129" s="290"/>
      <c r="B129" s="101" t="s">
        <v>112</v>
      </c>
      <c r="C129" s="101"/>
      <c r="D129" s="69"/>
      <c r="E129" s="102"/>
      <c r="F129" s="102"/>
      <c r="G129" s="102">
        <f>G109+G118+G123</f>
        <v>473</v>
      </c>
      <c r="H129" s="102">
        <f t="shared" ref="H129:I129" si="86">H109+H118+H123</f>
        <v>473</v>
      </c>
      <c r="I129" s="102">
        <f t="shared" si="86"/>
        <v>473</v>
      </c>
      <c r="J129" s="104"/>
      <c r="K129" s="104"/>
      <c r="L129" s="103"/>
      <c r="M129" s="138"/>
      <c r="N129" s="138">
        <f>SUM(O129:S129)</f>
        <v>30529822.750071999</v>
      </c>
      <c r="O129" s="255">
        <f>O109+O118+O123+O125</f>
        <v>19954609</v>
      </c>
      <c r="P129" s="253">
        <f>P109+P118+P123+P125+P126+P127+P128</f>
        <v>4524389.5200580005</v>
      </c>
      <c r="Q129" s="138">
        <f t="shared" ref="Q129:U129" si="87">Q109+Q118+Q123+Q125+Q126+Q127+Q128</f>
        <v>0</v>
      </c>
      <c r="R129" s="253">
        <f>R109+R118+R123+R125+R126+R127+R128</f>
        <v>3741877.230014001</v>
      </c>
      <c r="S129" s="253">
        <f>S109+S118+S123+S125+S126+S127+S128</f>
        <v>2308947</v>
      </c>
      <c r="T129" s="138">
        <f>T109+T118+T123+T125+T126+T127+T128</f>
        <v>30529822.750071999</v>
      </c>
      <c r="U129" s="138">
        <f t="shared" si="87"/>
        <v>30529822.750071999</v>
      </c>
      <c r="V129" s="80">
        <v>3741877.23</v>
      </c>
      <c r="W129" s="85">
        <f>V129-R129</f>
        <v>-1.4001037925481796E-5</v>
      </c>
      <c r="X129" s="80">
        <f>W129/I129</f>
        <v>-2.9600503013703585E-8</v>
      </c>
    </row>
    <row r="130" spans="1:24" ht="90" x14ac:dyDescent="0.25">
      <c r="A130" s="290" t="s">
        <v>116</v>
      </c>
      <c r="B130" s="292" t="s">
        <v>240</v>
      </c>
      <c r="C130" s="61" t="s">
        <v>100</v>
      </c>
      <c r="D130" s="62" t="s">
        <v>101</v>
      </c>
      <c r="E130" s="59">
        <v>326</v>
      </c>
      <c r="F130" s="59">
        <v>326</v>
      </c>
      <c r="G130" s="157">
        <f t="shared" ref="G130:G156" si="88">((E130*8)+(F130*4))/12</f>
        <v>326</v>
      </c>
      <c r="H130" s="59">
        <v>326</v>
      </c>
      <c r="I130" s="59">
        <v>326</v>
      </c>
      <c r="J130" s="107">
        <f>SUM(K130:M130)</f>
        <v>43584.004240429997</v>
      </c>
      <c r="K130" s="107">
        <f>23119.12+1351.63</f>
        <v>24470.75</v>
      </c>
      <c r="L130" s="70">
        <f>4001.99*2.3654</f>
        <v>9466.307146000001</v>
      </c>
      <c r="M130" s="220">
        <f>8981.692857+606.1985474+59.05569003</f>
        <v>9646.9470944299992</v>
      </c>
      <c r="N130" s="71">
        <f>SUM(O130:R130)</f>
        <v>14208488.172380181</v>
      </c>
      <c r="O130" s="71">
        <f>G130*K130+102.79</f>
        <v>7977567.29</v>
      </c>
      <c r="P130" s="71">
        <f>G130*L130</f>
        <v>3086016.1295960005</v>
      </c>
      <c r="Q130" s="71"/>
      <c r="R130" s="46">
        <f>G130*M130</f>
        <v>3144904.7527841795</v>
      </c>
      <c r="S130" s="75"/>
      <c r="T130" s="75">
        <f>N130</f>
        <v>14208488.172380181</v>
      </c>
      <c r="U130" s="75">
        <f>T130</f>
        <v>14208488.172380181</v>
      </c>
    </row>
    <row r="131" spans="1:24" ht="135" x14ac:dyDescent="0.25">
      <c r="A131" s="290"/>
      <c r="B131" s="293"/>
      <c r="C131" s="63" t="s">
        <v>163</v>
      </c>
      <c r="D131" s="64" t="s">
        <v>101</v>
      </c>
      <c r="E131" s="59" t="s">
        <v>104</v>
      </c>
      <c r="F131" s="59" t="s">
        <v>104</v>
      </c>
      <c r="G131" s="59" t="s">
        <v>104</v>
      </c>
      <c r="H131" s="59" t="s">
        <v>104</v>
      </c>
      <c r="I131" s="59" t="s">
        <v>104</v>
      </c>
      <c r="J131" s="59" t="s">
        <v>104</v>
      </c>
      <c r="K131" s="59" t="s">
        <v>104</v>
      </c>
      <c r="L131" s="59" t="s">
        <v>104</v>
      </c>
      <c r="M131" s="123" t="s">
        <v>104</v>
      </c>
      <c r="N131" s="71"/>
      <c r="O131" s="71"/>
      <c r="P131" s="59" t="s">
        <v>104</v>
      </c>
      <c r="Q131" s="59"/>
      <c r="R131" s="123" t="s">
        <v>104</v>
      </c>
      <c r="S131" s="59"/>
      <c r="T131" s="75"/>
      <c r="U131" s="75"/>
    </row>
    <row r="132" spans="1:24" x14ac:dyDescent="0.25">
      <c r="A132" s="290"/>
      <c r="B132" s="293"/>
      <c r="C132" s="63" t="s">
        <v>164</v>
      </c>
      <c r="D132" s="64" t="s">
        <v>101</v>
      </c>
      <c r="E132" s="59">
        <v>1</v>
      </c>
      <c r="F132" s="59">
        <v>1</v>
      </c>
      <c r="G132" s="59">
        <f t="shared" si="88"/>
        <v>1</v>
      </c>
      <c r="H132" s="59">
        <v>1</v>
      </c>
      <c r="I132" s="59">
        <v>1</v>
      </c>
      <c r="J132" s="75">
        <f t="shared" ref="J132:J137" si="89">K132</f>
        <v>25589.72</v>
      </c>
      <c r="K132" s="71">
        <v>25589.72</v>
      </c>
      <c r="L132" s="59"/>
      <c r="M132" s="123"/>
      <c r="N132" s="71">
        <f t="shared" ref="N132:N133" si="90">O132</f>
        <v>25589.72</v>
      </c>
      <c r="O132" s="71">
        <f>G132*K132</f>
        <v>25589.72</v>
      </c>
      <c r="P132" s="59" t="s">
        <v>104</v>
      </c>
      <c r="Q132" s="59"/>
      <c r="R132" s="123"/>
      <c r="S132" s="59"/>
      <c r="T132" s="75">
        <f t="shared" ref="T132:T137" si="91">H132*K132</f>
        <v>25589.72</v>
      </c>
      <c r="U132" s="75">
        <f t="shared" ref="U132:U133" si="92">I132*K132</f>
        <v>25589.72</v>
      </c>
    </row>
    <row r="133" spans="1:24" x14ac:dyDescent="0.25">
      <c r="A133" s="290"/>
      <c r="B133" s="293"/>
      <c r="C133" s="63" t="s">
        <v>169</v>
      </c>
      <c r="D133" s="64" t="s">
        <v>101</v>
      </c>
      <c r="E133" s="59">
        <v>3</v>
      </c>
      <c r="F133" s="59">
        <v>3</v>
      </c>
      <c r="G133" s="59">
        <f t="shared" si="88"/>
        <v>3</v>
      </c>
      <c r="H133" s="59">
        <v>3</v>
      </c>
      <c r="I133" s="59">
        <v>3</v>
      </c>
      <c r="J133" s="75">
        <f t="shared" si="89"/>
        <v>69362.66</v>
      </c>
      <c r="K133" s="71">
        <v>69362.66</v>
      </c>
      <c r="L133" s="59" t="s">
        <v>104</v>
      </c>
      <c r="M133" s="123" t="s">
        <v>104</v>
      </c>
      <c r="N133" s="71">
        <f t="shared" si="90"/>
        <v>208087.98</v>
      </c>
      <c r="O133" s="71">
        <f t="shared" ref="O133:O137" si="93">G133*K133</f>
        <v>208087.98</v>
      </c>
      <c r="P133" s="59" t="s">
        <v>104</v>
      </c>
      <c r="Q133" s="59"/>
      <c r="R133" s="123" t="s">
        <v>104</v>
      </c>
      <c r="S133" s="59"/>
      <c r="T133" s="75">
        <f t="shared" si="91"/>
        <v>208087.98</v>
      </c>
      <c r="U133" s="75">
        <f t="shared" si="92"/>
        <v>208087.98</v>
      </c>
    </row>
    <row r="134" spans="1:24" x14ac:dyDescent="0.25">
      <c r="A134" s="290"/>
      <c r="B134" s="293"/>
      <c r="C134" s="63" t="s">
        <v>166</v>
      </c>
      <c r="D134" s="64" t="s">
        <v>101</v>
      </c>
      <c r="E134" s="59">
        <v>1</v>
      </c>
      <c r="F134" s="59">
        <v>1</v>
      </c>
      <c r="G134" s="59">
        <f t="shared" si="88"/>
        <v>1</v>
      </c>
      <c r="H134" s="59">
        <v>1</v>
      </c>
      <c r="I134" s="59">
        <v>1</v>
      </c>
      <c r="J134" s="75">
        <f t="shared" si="89"/>
        <v>66361.320000000007</v>
      </c>
      <c r="K134" s="75">
        <v>66361.320000000007</v>
      </c>
      <c r="L134" s="59" t="s">
        <v>104</v>
      </c>
      <c r="M134" s="123" t="s">
        <v>104</v>
      </c>
      <c r="N134" s="71">
        <f>O134</f>
        <v>66361.320000000007</v>
      </c>
      <c r="O134" s="71">
        <f t="shared" si="93"/>
        <v>66361.320000000007</v>
      </c>
      <c r="P134" s="59" t="s">
        <v>104</v>
      </c>
      <c r="Q134" s="59"/>
      <c r="R134" s="123" t="s">
        <v>104</v>
      </c>
      <c r="S134" s="59"/>
      <c r="T134" s="75">
        <f t="shared" si="91"/>
        <v>66361.320000000007</v>
      </c>
      <c r="U134" s="75">
        <f>I134*K134</f>
        <v>66361.320000000007</v>
      </c>
    </row>
    <row r="135" spans="1:24" x14ac:dyDescent="0.25">
      <c r="A135" s="290"/>
      <c r="B135" s="293"/>
      <c r="C135" s="63" t="s">
        <v>167</v>
      </c>
      <c r="D135" s="64" t="s">
        <v>101</v>
      </c>
      <c r="E135" s="59"/>
      <c r="F135" s="59"/>
      <c r="G135" s="59">
        <f t="shared" si="88"/>
        <v>0</v>
      </c>
      <c r="H135" s="59"/>
      <c r="I135" s="59"/>
      <c r="J135" s="75">
        <f t="shared" si="89"/>
        <v>174890.83</v>
      </c>
      <c r="K135" s="75">
        <v>174890.83</v>
      </c>
      <c r="L135" s="59" t="s">
        <v>104</v>
      </c>
      <c r="M135" s="123" t="s">
        <v>104</v>
      </c>
      <c r="N135" s="71">
        <f>O135</f>
        <v>0</v>
      </c>
      <c r="O135" s="71">
        <f t="shared" si="93"/>
        <v>0</v>
      </c>
      <c r="P135" s="59" t="s">
        <v>104</v>
      </c>
      <c r="Q135" s="59"/>
      <c r="R135" s="123" t="s">
        <v>104</v>
      </c>
      <c r="S135" s="59"/>
      <c r="T135" s="75">
        <f t="shared" si="91"/>
        <v>0</v>
      </c>
      <c r="U135" s="75">
        <f>I135*K135</f>
        <v>0</v>
      </c>
    </row>
    <row r="136" spans="1:24" x14ac:dyDescent="0.25">
      <c r="A136" s="290"/>
      <c r="B136" s="293"/>
      <c r="C136" s="63" t="s">
        <v>170</v>
      </c>
      <c r="D136" s="64" t="s">
        <v>101</v>
      </c>
      <c r="E136" s="59">
        <v>1</v>
      </c>
      <c r="F136" s="59">
        <v>1</v>
      </c>
      <c r="G136" s="59">
        <f t="shared" si="88"/>
        <v>1</v>
      </c>
      <c r="H136" s="59">
        <v>1</v>
      </c>
      <c r="I136" s="59">
        <v>1</v>
      </c>
      <c r="J136" s="75">
        <f t="shared" si="89"/>
        <v>99648.29</v>
      </c>
      <c r="K136" s="75">
        <v>99648.29</v>
      </c>
      <c r="L136" s="59" t="s">
        <v>104</v>
      </c>
      <c r="M136" s="123" t="s">
        <v>104</v>
      </c>
      <c r="N136" s="71">
        <f>O136</f>
        <v>99648.29</v>
      </c>
      <c r="O136" s="71">
        <f t="shared" si="93"/>
        <v>99648.29</v>
      </c>
      <c r="P136" s="59" t="s">
        <v>104</v>
      </c>
      <c r="Q136" s="59"/>
      <c r="R136" s="123" t="s">
        <v>104</v>
      </c>
      <c r="S136" s="59"/>
      <c r="T136" s="75">
        <f t="shared" si="91"/>
        <v>99648.29</v>
      </c>
      <c r="U136" s="75">
        <f>I136*K136</f>
        <v>99648.29</v>
      </c>
    </row>
    <row r="137" spans="1:24" x14ac:dyDescent="0.25">
      <c r="A137" s="290"/>
      <c r="B137" s="293"/>
      <c r="C137" s="63" t="s">
        <v>168</v>
      </c>
      <c r="D137" s="64" t="s">
        <v>101</v>
      </c>
      <c r="E137" s="59">
        <v>1</v>
      </c>
      <c r="F137" s="59">
        <v>1</v>
      </c>
      <c r="G137" s="59">
        <f t="shared" si="88"/>
        <v>1</v>
      </c>
      <c r="H137" s="59">
        <v>1</v>
      </c>
      <c r="I137" s="59">
        <v>1</v>
      </c>
      <c r="J137" s="75">
        <f t="shared" si="89"/>
        <v>23553.439999999999</v>
      </c>
      <c r="K137" s="75">
        <v>23553.439999999999</v>
      </c>
      <c r="L137" s="59" t="s">
        <v>104</v>
      </c>
      <c r="M137" s="123" t="s">
        <v>104</v>
      </c>
      <c r="N137" s="71">
        <f>O137</f>
        <v>23553.439999999999</v>
      </c>
      <c r="O137" s="71">
        <f t="shared" si="93"/>
        <v>23553.439999999999</v>
      </c>
      <c r="P137" s="59" t="s">
        <v>104</v>
      </c>
      <c r="Q137" s="59"/>
      <c r="R137" s="123" t="s">
        <v>104</v>
      </c>
      <c r="S137" s="59"/>
      <c r="T137" s="75">
        <f t="shared" si="91"/>
        <v>23553.439999999999</v>
      </c>
      <c r="U137" s="75">
        <f>I137*K137</f>
        <v>23553.439999999999</v>
      </c>
    </row>
    <row r="138" spans="1:24" ht="120" x14ac:dyDescent="0.25">
      <c r="A138" s="290"/>
      <c r="B138" s="293"/>
      <c r="C138" s="61" t="s">
        <v>105</v>
      </c>
      <c r="D138" s="64" t="s">
        <v>101</v>
      </c>
      <c r="E138" s="59">
        <v>2</v>
      </c>
      <c r="F138" s="59">
        <v>2</v>
      </c>
      <c r="G138" s="157">
        <f t="shared" si="88"/>
        <v>2</v>
      </c>
      <c r="H138" s="59">
        <v>2</v>
      </c>
      <c r="I138" s="59">
        <v>2</v>
      </c>
      <c r="J138" s="75">
        <f>SUM(K138:M138)</f>
        <v>141877.80424043001</v>
      </c>
      <c r="K138" s="75">
        <f>121412.92+1351.63</f>
        <v>122764.55</v>
      </c>
      <c r="L138" s="72">
        <f>4001.99*2.3654</f>
        <v>9466.307146000001</v>
      </c>
      <c r="M138" s="220">
        <f>8981.692857+606.1985474+59.05569003</f>
        <v>9646.9470944299992</v>
      </c>
      <c r="N138" s="71">
        <f>SUM(O138:R138)</f>
        <v>283755.60848086001</v>
      </c>
      <c r="O138" s="71">
        <f>G138*K138</f>
        <v>245529.1</v>
      </c>
      <c r="P138" s="71">
        <f>G138*L138</f>
        <v>18932.614292000002</v>
      </c>
      <c r="Q138" s="71"/>
      <c r="R138" s="46">
        <f>G138*M138</f>
        <v>19293.894188859998</v>
      </c>
      <c r="S138" s="75"/>
      <c r="T138" s="75">
        <f t="shared" ref="T138:T154" si="94">H138*J138</f>
        <v>283755.60848086001</v>
      </c>
      <c r="U138" s="75">
        <f t="shared" ref="U138:U154" si="95">I138*J138</f>
        <v>283755.60848086001</v>
      </c>
    </row>
    <row r="139" spans="1:24" ht="105" x14ac:dyDescent="0.25">
      <c r="A139" s="290"/>
      <c r="B139" s="293"/>
      <c r="C139" s="61" t="s">
        <v>117</v>
      </c>
      <c r="D139" s="64" t="s">
        <v>101</v>
      </c>
      <c r="E139" s="59">
        <v>0</v>
      </c>
      <c r="F139" s="59">
        <v>0</v>
      </c>
      <c r="G139" s="157">
        <f t="shared" si="88"/>
        <v>0</v>
      </c>
      <c r="H139" s="59">
        <v>0</v>
      </c>
      <c r="I139" s="59">
        <v>0</v>
      </c>
      <c r="J139" s="75">
        <f>K139</f>
        <v>21480.1</v>
      </c>
      <c r="K139" s="75">
        <v>21480.1</v>
      </c>
      <c r="L139" s="72" t="s">
        <v>104</v>
      </c>
      <c r="M139" s="224" t="s">
        <v>104</v>
      </c>
      <c r="N139" s="71">
        <f>SUM(O139:R139)</f>
        <v>0</v>
      </c>
      <c r="O139" s="71">
        <f>G139*K139</f>
        <v>0</v>
      </c>
      <c r="P139" s="71"/>
      <c r="Q139" s="71"/>
      <c r="R139" s="221"/>
      <c r="S139" s="71"/>
      <c r="T139" s="75">
        <f t="shared" si="94"/>
        <v>0</v>
      </c>
      <c r="U139" s="75">
        <f t="shared" si="95"/>
        <v>0</v>
      </c>
    </row>
    <row r="140" spans="1:24" x14ac:dyDescent="0.25">
      <c r="A140" s="290"/>
      <c r="B140" s="294"/>
      <c r="C140" s="66" t="s">
        <v>106</v>
      </c>
      <c r="D140" s="67"/>
      <c r="E140" s="59">
        <f>E130+E138</f>
        <v>328</v>
      </c>
      <c r="F140" s="59">
        <f>F130+F138</f>
        <v>328</v>
      </c>
      <c r="G140" s="59">
        <f>G130+G138</f>
        <v>328</v>
      </c>
      <c r="H140" s="59">
        <f>H130+H138</f>
        <v>328</v>
      </c>
      <c r="I140" s="59">
        <f>I130+I138</f>
        <v>328</v>
      </c>
      <c r="J140" s="71" t="s">
        <v>104</v>
      </c>
      <c r="K140" s="71" t="s">
        <v>104</v>
      </c>
      <c r="L140" s="71" t="s">
        <v>104</v>
      </c>
      <c r="M140" s="221" t="s">
        <v>104</v>
      </c>
      <c r="N140" s="71">
        <f>SUM(N130:N139)</f>
        <v>14915484.530861041</v>
      </c>
      <c r="O140" s="71">
        <f>SUM(O130:O139)</f>
        <v>8646337.1400000006</v>
      </c>
      <c r="P140" s="71">
        <f>SUM(P130:P139)</f>
        <v>3104948.7438880005</v>
      </c>
      <c r="Q140" s="71"/>
      <c r="R140" s="221">
        <f>SUM(R130:R139)</f>
        <v>3164198.6469730395</v>
      </c>
      <c r="S140" s="71"/>
      <c r="T140" s="71">
        <f>SUM(T130:T139)</f>
        <v>14915484.530861041</v>
      </c>
      <c r="U140" s="71">
        <f>SUM(U130:U139)</f>
        <v>14915484.530861041</v>
      </c>
    </row>
    <row r="141" spans="1:24" ht="90" x14ac:dyDescent="0.25">
      <c r="A141" s="290"/>
      <c r="B141" s="292" t="s">
        <v>241</v>
      </c>
      <c r="C141" s="61" t="s">
        <v>100</v>
      </c>
      <c r="D141" s="62" t="s">
        <v>101</v>
      </c>
      <c r="E141" s="59">
        <v>174</v>
      </c>
      <c r="F141" s="59">
        <v>174</v>
      </c>
      <c r="G141" s="59">
        <f t="shared" si="88"/>
        <v>174</v>
      </c>
      <c r="H141" s="59">
        <v>174</v>
      </c>
      <c r="I141" s="59">
        <v>174</v>
      </c>
      <c r="J141" s="107">
        <f>SUM(K141:M141)</f>
        <v>55108.954240430001</v>
      </c>
      <c r="K141" s="107">
        <f>34346.05+1649.65</f>
        <v>35995.700000000004</v>
      </c>
      <c r="L141" s="70">
        <f>4001.99*2.3654</f>
        <v>9466.307146000001</v>
      </c>
      <c r="M141" s="220">
        <f>8981.692857+606.1985474+59.05569003</f>
        <v>9646.9470944299992</v>
      </c>
      <c r="N141" s="71">
        <f>SUM(O141:R141)</f>
        <v>9588958.0378348213</v>
      </c>
      <c r="O141" s="71">
        <f>G141*K141</f>
        <v>6263251.8000000007</v>
      </c>
      <c r="P141" s="71">
        <f>G141*L141</f>
        <v>1647137.4434040003</v>
      </c>
      <c r="Q141" s="71"/>
      <c r="R141" s="46">
        <f>G141*M141</f>
        <v>1678568.7944308198</v>
      </c>
      <c r="S141" s="75"/>
      <c r="T141" s="75">
        <f t="shared" si="94"/>
        <v>9588958.0378348194</v>
      </c>
      <c r="U141" s="75">
        <f t="shared" si="95"/>
        <v>9588958.0378348194</v>
      </c>
    </row>
    <row r="142" spans="1:24" ht="120" x14ac:dyDescent="0.25">
      <c r="A142" s="290"/>
      <c r="B142" s="293"/>
      <c r="C142" s="61" t="s">
        <v>118</v>
      </c>
      <c r="D142" s="62" t="s">
        <v>101</v>
      </c>
      <c r="E142" s="59">
        <v>218</v>
      </c>
      <c r="F142" s="59">
        <v>218</v>
      </c>
      <c r="G142" s="59">
        <f t="shared" si="88"/>
        <v>218</v>
      </c>
      <c r="H142" s="59">
        <v>218</v>
      </c>
      <c r="I142" s="59">
        <v>218</v>
      </c>
      <c r="J142" s="107">
        <f>SUM(K142:M142)</f>
        <v>58545.764240429999</v>
      </c>
      <c r="K142" s="107">
        <f>37782.86+1649.65</f>
        <v>39432.51</v>
      </c>
      <c r="L142" s="70">
        <f>4001.99*2.3654</f>
        <v>9466.307146000001</v>
      </c>
      <c r="M142" s="220">
        <f>8981.692857+606.1985474+59.05569003</f>
        <v>9646.9470944299992</v>
      </c>
      <c r="N142" s="71">
        <f>SUM(O142:R142)</f>
        <v>12762976.60441374</v>
      </c>
      <c r="O142" s="71">
        <f>G142*K142</f>
        <v>8596287.1799999997</v>
      </c>
      <c r="P142" s="71">
        <f>G142*L142</f>
        <v>2063654.9578280002</v>
      </c>
      <c r="Q142" s="71"/>
      <c r="R142" s="46">
        <f>G142*M142</f>
        <v>2103034.46658574</v>
      </c>
      <c r="S142" s="75"/>
      <c r="T142" s="75">
        <f t="shared" si="94"/>
        <v>12762976.60441374</v>
      </c>
      <c r="U142" s="75">
        <f t="shared" si="95"/>
        <v>12762976.60441374</v>
      </c>
    </row>
    <row r="143" spans="1:24" ht="120" x14ac:dyDescent="0.25">
      <c r="A143" s="290"/>
      <c r="B143" s="293"/>
      <c r="C143" s="63" t="s">
        <v>102</v>
      </c>
      <c r="D143" s="64" t="s">
        <v>101</v>
      </c>
      <c r="E143" s="59" t="s">
        <v>104</v>
      </c>
      <c r="F143" s="59" t="s">
        <v>104</v>
      </c>
      <c r="G143" s="59" t="s">
        <v>104</v>
      </c>
      <c r="H143" s="59" t="s">
        <v>104</v>
      </c>
      <c r="I143" s="59" t="s">
        <v>104</v>
      </c>
      <c r="J143" s="59" t="s">
        <v>104</v>
      </c>
      <c r="K143" s="59" t="s">
        <v>104</v>
      </c>
      <c r="L143" s="59" t="s">
        <v>104</v>
      </c>
      <c r="M143" s="123" t="s">
        <v>104</v>
      </c>
      <c r="N143" s="71"/>
      <c r="O143" s="71"/>
      <c r="P143" s="59" t="s">
        <v>104</v>
      </c>
      <c r="Q143" s="59"/>
      <c r="R143" s="123" t="s">
        <v>104</v>
      </c>
      <c r="S143" s="59"/>
      <c r="T143" s="75"/>
      <c r="U143" s="75"/>
    </row>
    <row r="144" spans="1:24" x14ac:dyDescent="0.25">
      <c r="A144" s="290"/>
      <c r="B144" s="293"/>
      <c r="C144" s="63" t="s">
        <v>171</v>
      </c>
      <c r="D144" s="64" t="s">
        <v>101</v>
      </c>
      <c r="E144" s="60">
        <v>1</v>
      </c>
      <c r="F144" s="60">
        <v>1</v>
      </c>
      <c r="G144" s="59">
        <f t="shared" si="88"/>
        <v>1</v>
      </c>
      <c r="H144" s="60">
        <v>1</v>
      </c>
      <c r="I144" s="60">
        <v>1</v>
      </c>
      <c r="J144" s="75">
        <f>K144</f>
        <v>69362.66</v>
      </c>
      <c r="K144" s="75">
        <v>69362.66</v>
      </c>
      <c r="L144" s="59" t="s">
        <v>104</v>
      </c>
      <c r="M144" s="123" t="s">
        <v>104</v>
      </c>
      <c r="N144" s="71">
        <f>O144</f>
        <v>69362.66</v>
      </c>
      <c r="O144" s="71">
        <f>G144*K144</f>
        <v>69362.66</v>
      </c>
      <c r="P144" s="59" t="s">
        <v>104</v>
      </c>
      <c r="Q144" s="59"/>
      <c r="R144" s="123" t="s">
        <v>104</v>
      </c>
      <c r="S144" s="59"/>
      <c r="T144" s="75">
        <f>H144*K144</f>
        <v>69362.66</v>
      </c>
      <c r="U144" s="75">
        <f>I144*K144</f>
        <v>69362.66</v>
      </c>
    </row>
    <row r="145" spans="1:26" x14ac:dyDescent="0.25">
      <c r="A145" s="290"/>
      <c r="B145" s="293"/>
      <c r="C145" s="63" t="s">
        <v>164</v>
      </c>
      <c r="D145" s="64" t="s">
        <v>101</v>
      </c>
      <c r="E145" s="60">
        <v>1</v>
      </c>
      <c r="F145" s="60">
        <v>1</v>
      </c>
      <c r="G145" s="59">
        <f t="shared" si="88"/>
        <v>1</v>
      </c>
      <c r="H145" s="60">
        <v>1</v>
      </c>
      <c r="I145" s="60">
        <v>1</v>
      </c>
      <c r="J145" s="75">
        <f>K145</f>
        <v>25589.72</v>
      </c>
      <c r="K145" s="75">
        <v>25589.72</v>
      </c>
      <c r="L145" s="59" t="s">
        <v>104</v>
      </c>
      <c r="M145" s="123" t="s">
        <v>104</v>
      </c>
      <c r="N145" s="71">
        <f>O145</f>
        <v>25589.72</v>
      </c>
      <c r="O145" s="71">
        <f t="shared" ref="O145:O146" si="96">G145*K145</f>
        <v>25589.72</v>
      </c>
      <c r="P145" s="59" t="s">
        <v>104</v>
      </c>
      <c r="Q145" s="59"/>
      <c r="R145" s="123" t="s">
        <v>104</v>
      </c>
      <c r="S145" s="59"/>
      <c r="T145" s="75">
        <f>H145*K145</f>
        <v>25589.72</v>
      </c>
      <c r="U145" s="75">
        <f>I145*K145</f>
        <v>25589.72</v>
      </c>
    </row>
    <row r="146" spans="1:26" x14ac:dyDescent="0.25">
      <c r="A146" s="290"/>
      <c r="B146" s="293"/>
      <c r="C146" s="63" t="s">
        <v>168</v>
      </c>
      <c r="D146" s="64" t="s">
        <v>101</v>
      </c>
      <c r="E146" s="60">
        <v>3</v>
      </c>
      <c r="F146" s="60">
        <v>3</v>
      </c>
      <c r="G146" s="59">
        <f t="shared" si="88"/>
        <v>3</v>
      </c>
      <c r="H146" s="60">
        <v>3</v>
      </c>
      <c r="I146" s="60">
        <v>3</v>
      </c>
      <c r="J146" s="75">
        <f>K146</f>
        <v>23553.439999999999</v>
      </c>
      <c r="K146" s="75">
        <v>23553.439999999999</v>
      </c>
      <c r="L146" s="59" t="s">
        <v>104</v>
      </c>
      <c r="M146" s="123" t="s">
        <v>104</v>
      </c>
      <c r="N146" s="71">
        <f>O146</f>
        <v>70660.319999999992</v>
      </c>
      <c r="O146" s="71">
        <f t="shared" si="96"/>
        <v>70660.319999999992</v>
      </c>
      <c r="P146" s="59" t="s">
        <v>104</v>
      </c>
      <c r="Q146" s="59"/>
      <c r="R146" s="123" t="s">
        <v>104</v>
      </c>
      <c r="S146" s="59"/>
      <c r="T146" s="75">
        <f>H146*K146</f>
        <v>70660.319999999992</v>
      </c>
      <c r="U146" s="75">
        <f>I146*K146</f>
        <v>70660.319999999992</v>
      </c>
    </row>
    <row r="147" spans="1:26" ht="120" x14ac:dyDescent="0.25">
      <c r="A147" s="290"/>
      <c r="B147" s="293"/>
      <c r="C147" s="61" t="s">
        <v>105</v>
      </c>
      <c r="D147" s="64" t="s">
        <v>101</v>
      </c>
      <c r="E147" s="60">
        <v>1</v>
      </c>
      <c r="F147" s="60">
        <v>1</v>
      </c>
      <c r="G147" s="59">
        <f t="shared" si="88"/>
        <v>1</v>
      </c>
      <c r="H147" s="60">
        <v>1</v>
      </c>
      <c r="I147" s="60">
        <v>1</v>
      </c>
      <c r="J147" s="75">
        <f>SUM(K147:M147)</f>
        <v>172170.53424043002</v>
      </c>
      <c r="K147" s="75">
        <f>151407.63+1649.65</f>
        <v>153057.28</v>
      </c>
      <c r="L147" s="72">
        <f>4001.99*2.3654</f>
        <v>9466.307146000001</v>
      </c>
      <c r="M147" s="220">
        <f>8981.692857+606.1985474+59.05569003</f>
        <v>9646.9470944299992</v>
      </c>
      <c r="N147" s="73">
        <f>SUM(O147:R147)</f>
        <v>172170.53424043002</v>
      </c>
      <c r="O147" s="73">
        <f>G147*K147</f>
        <v>153057.28</v>
      </c>
      <c r="P147" s="73">
        <f>G147*L147</f>
        <v>9466.307146000001</v>
      </c>
      <c r="Q147" s="73"/>
      <c r="R147" s="219">
        <f>E147*M147</f>
        <v>9646.9470944299992</v>
      </c>
      <c r="S147" s="73"/>
      <c r="T147" s="75">
        <f t="shared" si="94"/>
        <v>172170.53424043002</v>
      </c>
      <c r="U147" s="75">
        <f t="shared" si="95"/>
        <v>172170.53424043002</v>
      </c>
    </row>
    <row r="148" spans="1:26" ht="105" x14ac:dyDescent="0.25">
      <c r="A148" s="290"/>
      <c r="B148" s="293"/>
      <c r="C148" s="61" t="s">
        <v>117</v>
      </c>
      <c r="D148" s="64" t="s">
        <v>101</v>
      </c>
      <c r="E148" s="60">
        <v>0</v>
      </c>
      <c r="F148" s="60">
        <v>0</v>
      </c>
      <c r="G148" s="59">
        <f t="shared" si="88"/>
        <v>0</v>
      </c>
      <c r="H148" s="60">
        <v>0</v>
      </c>
      <c r="I148" s="60">
        <v>0</v>
      </c>
      <c r="J148" s="75">
        <f>K148</f>
        <v>34010.129999999997</v>
      </c>
      <c r="K148" s="75">
        <v>34010.129999999997</v>
      </c>
      <c r="L148" s="72" t="s">
        <v>104</v>
      </c>
      <c r="M148" s="224" t="s">
        <v>104</v>
      </c>
      <c r="N148" s="73">
        <f>SUM(O148:R148)</f>
        <v>0</v>
      </c>
      <c r="O148" s="73">
        <f>G148*K148</f>
        <v>0</v>
      </c>
      <c r="P148" s="73"/>
      <c r="Q148" s="73"/>
      <c r="R148" s="219"/>
      <c r="S148" s="73"/>
      <c r="T148" s="75">
        <f t="shared" si="94"/>
        <v>0</v>
      </c>
      <c r="U148" s="75">
        <f t="shared" si="95"/>
        <v>0</v>
      </c>
    </row>
    <row r="149" spans="1:26" x14ac:dyDescent="0.25">
      <c r="A149" s="290"/>
      <c r="B149" s="294"/>
      <c r="C149" s="66" t="s">
        <v>106</v>
      </c>
      <c r="D149" s="64"/>
      <c r="E149" s="60">
        <f>E141++E142+E147</f>
        <v>393</v>
      </c>
      <c r="F149" s="60">
        <f>F141++F142+F147</f>
        <v>393</v>
      </c>
      <c r="G149" s="60">
        <f>G141++G142+G147</f>
        <v>393</v>
      </c>
      <c r="H149" s="60">
        <f>H141++H142+H147</f>
        <v>393</v>
      </c>
      <c r="I149" s="60">
        <f>I141++I142+I147</f>
        <v>393</v>
      </c>
      <c r="J149" s="73" t="s">
        <v>104</v>
      </c>
      <c r="K149" s="73" t="s">
        <v>104</v>
      </c>
      <c r="L149" s="74" t="s">
        <v>104</v>
      </c>
      <c r="M149" s="225" t="s">
        <v>104</v>
      </c>
      <c r="N149" s="74">
        <f>SUM(N141:N148)</f>
        <v>22689717.876488991</v>
      </c>
      <c r="O149" s="74">
        <f t="shared" ref="O149:U149" si="97">SUM(O141:O148)</f>
        <v>15178208.960000001</v>
      </c>
      <c r="P149" s="74">
        <f t="shared" si="97"/>
        <v>3720258.7083780007</v>
      </c>
      <c r="Q149" s="74"/>
      <c r="R149" s="225">
        <f t="shared" si="97"/>
        <v>3791250.20811099</v>
      </c>
      <c r="S149" s="74"/>
      <c r="T149" s="74">
        <f t="shared" si="97"/>
        <v>22689717.876488987</v>
      </c>
      <c r="U149" s="74">
        <f t="shared" si="97"/>
        <v>22689717.876488987</v>
      </c>
    </row>
    <row r="150" spans="1:26" ht="90" x14ac:dyDescent="0.25">
      <c r="A150" s="290"/>
      <c r="B150" s="292" t="s">
        <v>242</v>
      </c>
      <c r="C150" s="61" t="s">
        <v>100</v>
      </c>
      <c r="D150" s="62" t="s">
        <v>101</v>
      </c>
      <c r="E150" s="60">
        <v>53</v>
      </c>
      <c r="F150" s="60">
        <v>53</v>
      </c>
      <c r="G150" s="59">
        <f t="shared" si="88"/>
        <v>53</v>
      </c>
      <c r="H150" s="60">
        <v>53</v>
      </c>
      <c r="I150" s="60">
        <v>53</v>
      </c>
      <c r="J150" s="107">
        <f>SUM(K150:M150)</f>
        <v>62217.154240429998</v>
      </c>
      <c r="K150" s="107">
        <f>41105.12+1998.78</f>
        <v>43103.9</v>
      </c>
      <c r="L150" s="70">
        <f>4001.99*2.3654</f>
        <v>9466.307146000001</v>
      </c>
      <c r="M150" s="220">
        <f>8981.692857+606.1985474+59.05569003</f>
        <v>9646.9470944299992</v>
      </c>
      <c r="N150" s="73">
        <f>SUM(O150:R150)</f>
        <v>3297509.1747427899</v>
      </c>
      <c r="O150" s="73">
        <f>G150*K150</f>
        <v>2284506.7000000002</v>
      </c>
      <c r="P150" s="73">
        <f>G150*L150</f>
        <v>501714.27873800008</v>
      </c>
      <c r="Q150" s="73"/>
      <c r="R150" s="46">
        <f>G150*M150</f>
        <v>511288.19600478996</v>
      </c>
      <c r="S150" s="75"/>
      <c r="T150" s="75">
        <f>H150*J150</f>
        <v>3297509.1747427899</v>
      </c>
      <c r="U150" s="75">
        <f t="shared" si="95"/>
        <v>3297509.1747427899</v>
      </c>
    </row>
    <row r="151" spans="1:26" ht="119.25" x14ac:dyDescent="0.25">
      <c r="A151" s="290"/>
      <c r="B151" s="293"/>
      <c r="C151" s="61" t="s">
        <v>172</v>
      </c>
      <c r="D151" s="62" t="s">
        <v>101</v>
      </c>
      <c r="E151" s="60">
        <v>52</v>
      </c>
      <c r="F151" s="60">
        <v>52</v>
      </c>
      <c r="G151" s="59">
        <f t="shared" si="88"/>
        <v>52</v>
      </c>
      <c r="H151" s="60">
        <v>52</v>
      </c>
      <c r="I151" s="60">
        <v>52</v>
      </c>
      <c r="J151" s="107">
        <f>SUM(K151:M151)</f>
        <v>104512.60424043001</v>
      </c>
      <c r="K151" s="107">
        <f>83400.57+1998.78</f>
        <v>85399.35</v>
      </c>
      <c r="L151" s="70">
        <f>4001.99*2.3654</f>
        <v>9466.307146000001</v>
      </c>
      <c r="M151" s="220">
        <f>8981.692857+606.1985474+59.05569003</f>
        <v>9646.9470944299992</v>
      </c>
      <c r="N151" s="73">
        <f>SUM(O151:R151)</f>
        <v>5434897.9205023609</v>
      </c>
      <c r="O151" s="73">
        <f>G151*K151</f>
        <v>4440766.2</v>
      </c>
      <c r="P151" s="73">
        <f>G151*L151+243.1</f>
        <v>492491.07159200002</v>
      </c>
      <c r="Q151" s="73"/>
      <c r="R151" s="46">
        <f>G151*M151-0.6</f>
        <v>501640.64891036</v>
      </c>
      <c r="S151" s="75"/>
      <c r="T151" s="75">
        <f>N151</f>
        <v>5434897.9205023609</v>
      </c>
      <c r="U151" s="75">
        <f>T151</f>
        <v>5434897.9205023609</v>
      </c>
    </row>
    <row r="152" spans="1:26" ht="120" x14ac:dyDescent="0.25">
      <c r="A152" s="290"/>
      <c r="B152" s="293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123" t="s">
        <v>104</v>
      </c>
      <c r="N152" s="71"/>
      <c r="O152" s="71"/>
      <c r="P152" s="59" t="s">
        <v>104</v>
      </c>
      <c r="Q152" s="59"/>
      <c r="R152" s="123" t="s">
        <v>104</v>
      </c>
      <c r="S152" s="59"/>
      <c r="T152" s="75"/>
      <c r="U152" s="75"/>
    </row>
    <row r="153" spans="1:26" x14ac:dyDescent="0.25">
      <c r="A153" s="290"/>
      <c r="B153" s="293"/>
      <c r="C153" s="63" t="s">
        <v>168</v>
      </c>
      <c r="D153" s="64" t="s">
        <v>101</v>
      </c>
      <c r="E153" s="60"/>
      <c r="F153" s="60"/>
      <c r="G153" s="59">
        <f t="shared" si="88"/>
        <v>0</v>
      </c>
      <c r="H153" s="60"/>
      <c r="I153" s="60"/>
      <c r="J153" s="75">
        <f>K153</f>
        <v>23553.439999999999</v>
      </c>
      <c r="K153" s="75">
        <v>23553.439999999999</v>
      </c>
      <c r="L153" s="59" t="s">
        <v>104</v>
      </c>
      <c r="M153" s="123" t="s">
        <v>104</v>
      </c>
      <c r="N153" s="71">
        <f>O153</f>
        <v>0</v>
      </c>
      <c r="O153" s="71">
        <f>G153*K153</f>
        <v>0</v>
      </c>
      <c r="P153" s="59" t="s">
        <v>104</v>
      </c>
      <c r="Q153" s="59"/>
      <c r="R153" s="123" t="s">
        <v>104</v>
      </c>
      <c r="S153" s="59"/>
      <c r="T153" s="75">
        <f>H153*K153</f>
        <v>0</v>
      </c>
      <c r="U153" s="75">
        <f>I153*K153</f>
        <v>0</v>
      </c>
    </row>
    <row r="154" spans="1:26" ht="120" x14ac:dyDescent="0.25">
      <c r="A154" s="290"/>
      <c r="B154" s="293"/>
      <c r="C154" s="61" t="s">
        <v>105</v>
      </c>
      <c r="D154" s="64" t="s">
        <v>101</v>
      </c>
      <c r="E154" s="60"/>
      <c r="F154" s="60"/>
      <c r="G154" s="59">
        <f t="shared" si="88"/>
        <v>0</v>
      </c>
      <c r="H154" s="60"/>
      <c r="I154" s="60"/>
      <c r="J154" s="75">
        <f>SUM(K154:M154)</f>
        <v>202500.72424043002</v>
      </c>
      <c r="K154" s="75">
        <f>181402.35+1985.12</f>
        <v>183387.47</v>
      </c>
      <c r="L154" s="72">
        <f>4001.99*2.3654</f>
        <v>9466.307146000001</v>
      </c>
      <c r="M154" s="220">
        <f>8981.692857+606.1985474+59.05569003</f>
        <v>9646.9470944299992</v>
      </c>
      <c r="N154" s="73"/>
      <c r="O154" s="73"/>
      <c r="P154" s="73"/>
      <c r="Q154" s="73"/>
      <c r="R154" s="219"/>
      <c r="S154" s="73"/>
      <c r="T154" s="75">
        <f t="shared" si="94"/>
        <v>0</v>
      </c>
      <c r="U154" s="75">
        <f t="shared" si="95"/>
        <v>0</v>
      </c>
    </row>
    <row r="155" spans="1:26" x14ac:dyDescent="0.25">
      <c r="A155" s="290"/>
      <c r="B155" s="294"/>
      <c r="C155" s="66" t="s">
        <v>106</v>
      </c>
      <c r="D155" s="64"/>
      <c r="E155" s="60">
        <f>E150+E154</f>
        <v>53</v>
      </c>
      <c r="F155" s="60">
        <f t="shared" ref="F155" si="98">F150+F154</f>
        <v>53</v>
      </c>
      <c r="G155" s="60">
        <f>G150+G154+G151</f>
        <v>105</v>
      </c>
      <c r="H155" s="60">
        <f t="shared" ref="H155:I155" si="99">H150+H154+H151</f>
        <v>105</v>
      </c>
      <c r="I155" s="60">
        <f t="shared" si="99"/>
        <v>105</v>
      </c>
      <c r="J155" s="73" t="s">
        <v>104</v>
      </c>
      <c r="K155" s="73" t="s">
        <v>104</v>
      </c>
      <c r="L155" s="74" t="s">
        <v>104</v>
      </c>
      <c r="M155" s="225" t="s">
        <v>104</v>
      </c>
      <c r="N155" s="74">
        <f>SUM(N150:N154)</f>
        <v>8732407.0952451508</v>
      </c>
      <c r="O155" s="74">
        <f t="shared" ref="O155:U155" si="100">SUM(O150:O154)</f>
        <v>6725272.9000000004</v>
      </c>
      <c r="P155" s="74">
        <f t="shared" si="100"/>
        <v>994205.35033000004</v>
      </c>
      <c r="Q155" s="74"/>
      <c r="R155" s="225">
        <f t="shared" si="100"/>
        <v>1012928.84491515</v>
      </c>
      <c r="S155" s="74"/>
      <c r="T155" s="74">
        <f>SUM(T150:T154)</f>
        <v>8732407.0952451508</v>
      </c>
      <c r="U155" s="74">
        <f t="shared" si="100"/>
        <v>8732407.0952451508</v>
      </c>
      <c r="V155" s="85">
        <f>N158+N155+N149+N140+N160</f>
        <v>53321119.202595182</v>
      </c>
      <c r="W155" s="85">
        <f>V155-N163</f>
        <v>-130344</v>
      </c>
    </row>
    <row r="156" spans="1:26" ht="102" customHeight="1" x14ac:dyDescent="0.25">
      <c r="A156" s="290"/>
      <c r="B156" s="137" t="s">
        <v>243</v>
      </c>
      <c r="C156" s="61" t="s">
        <v>265</v>
      </c>
      <c r="D156" s="64" t="s">
        <v>101</v>
      </c>
      <c r="E156" s="60">
        <v>1235</v>
      </c>
      <c r="F156" s="60">
        <v>1235</v>
      </c>
      <c r="G156" s="59">
        <f t="shared" si="88"/>
        <v>1235</v>
      </c>
      <c r="H156" s="60">
        <v>1235</v>
      </c>
      <c r="I156" s="60">
        <v>1235</v>
      </c>
      <c r="J156" s="75">
        <f>K156</f>
        <v>3978.76</v>
      </c>
      <c r="K156" s="75">
        <v>3978.76</v>
      </c>
      <c r="L156" s="72" t="s">
        <v>104</v>
      </c>
      <c r="M156" s="224" t="s">
        <v>104</v>
      </c>
      <c r="N156" s="73">
        <f>SUM(O156:R156)</f>
        <v>4913756.0000000009</v>
      </c>
      <c r="O156" s="73">
        <f>G156*K156-12.6</f>
        <v>4913756.0000000009</v>
      </c>
      <c r="P156" s="73" t="s">
        <v>104</v>
      </c>
      <c r="Q156" s="73"/>
      <c r="R156" s="219" t="s">
        <v>104</v>
      </c>
      <c r="S156" s="73"/>
      <c r="T156" s="75">
        <f>N156</f>
        <v>4913756.0000000009</v>
      </c>
      <c r="U156" s="75">
        <f>T156</f>
        <v>4913756.0000000009</v>
      </c>
      <c r="X156" s="218">
        <f>G140+G149+G155</f>
        <v>826</v>
      </c>
    </row>
    <row r="157" spans="1:26" ht="128.44999999999999" customHeight="1" x14ac:dyDescent="0.25">
      <c r="A157" s="290"/>
      <c r="B157" s="137"/>
      <c r="C157" s="166" t="s">
        <v>264</v>
      </c>
      <c r="D157" s="167" t="s">
        <v>101</v>
      </c>
      <c r="E157" s="168"/>
      <c r="F157" s="168"/>
      <c r="G157" s="169">
        <v>495</v>
      </c>
      <c r="H157" s="169">
        <v>495</v>
      </c>
      <c r="I157" s="169">
        <v>495</v>
      </c>
      <c r="J157" s="171" t="s">
        <v>104</v>
      </c>
      <c r="K157" s="171" t="s">
        <v>104</v>
      </c>
      <c r="L157" s="230" t="s">
        <v>104</v>
      </c>
      <c r="M157" s="231">
        <v>3867.38</v>
      </c>
      <c r="N157" s="171">
        <f>R157</f>
        <v>1914353.7000000002</v>
      </c>
      <c r="O157" s="171"/>
      <c r="P157" s="171"/>
      <c r="Q157" s="171"/>
      <c r="R157" s="171">
        <f>G157*M157+0.6</f>
        <v>1914353.7000000002</v>
      </c>
      <c r="S157" s="171"/>
      <c r="T157" s="156">
        <f>N157</f>
        <v>1914353.7000000002</v>
      </c>
      <c r="U157" s="156">
        <f>T157</f>
        <v>1914353.7000000002</v>
      </c>
      <c r="X157" s="85">
        <f>V163-R157</f>
        <v>8017157.7000000002</v>
      </c>
      <c r="Y157" s="80">
        <f>X157/G163</f>
        <v>9706.0020581113804</v>
      </c>
      <c r="Z157" s="80">
        <f>Y157*X156</f>
        <v>8017157.7000000002</v>
      </c>
    </row>
    <row r="158" spans="1:26" x14ac:dyDescent="0.25">
      <c r="A158" s="290"/>
      <c r="B158" s="69"/>
      <c r="C158" s="66" t="s">
        <v>106</v>
      </c>
      <c r="D158" s="69"/>
      <c r="E158" s="60">
        <f>SUM(E156:E156)</f>
        <v>1235</v>
      </c>
      <c r="F158" s="60">
        <f>SUM(F156:F156)</f>
        <v>1235</v>
      </c>
      <c r="G158" s="60">
        <f>SUM(G156:G156)</f>
        <v>1235</v>
      </c>
      <c r="H158" s="60">
        <f>SUM(H156:H156)</f>
        <v>1235</v>
      </c>
      <c r="I158" s="60">
        <f>SUM(I156:I156)</f>
        <v>1235</v>
      </c>
      <c r="J158" s="73" t="s">
        <v>104</v>
      </c>
      <c r="K158" s="73" t="s">
        <v>104</v>
      </c>
      <c r="L158" s="74" t="s">
        <v>104</v>
      </c>
      <c r="M158" s="225">
        <f t="shared" ref="M158:P158" si="101">SUM(M156:M156)</f>
        <v>0</v>
      </c>
      <c r="N158" s="74">
        <f>SUM(N156:N157)</f>
        <v>6828109.7000000011</v>
      </c>
      <c r="O158" s="74">
        <f t="shared" si="101"/>
        <v>4913756.0000000009</v>
      </c>
      <c r="P158" s="74">
        <f t="shared" si="101"/>
        <v>0</v>
      </c>
      <c r="Q158" s="74"/>
      <c r="R158" s="225">
        <f>SUM(R156:R157)</f>
        <v>1914353.7000000002</v>
      </c>
      <c r="S158" s="74"/>
      <c r="T158" s="75">
        <f>N158</f>
        <v>6828109.7000000011</v>
      </c>
      <c r="U158" s="75">
        <f>U156+U157</f>
        <v>6828109.7000000011</v>
      </c>
      <c r="Z158" s="85">
        <f>Z157+R157</f>
        <v>9931511.4000000004</v>
      </c>
    </row>
    <row r="159" spans="1:26" x14ac:dyDescent="0.25">
      <c r="A159" s="290"/>
      <c r="B159" s="69" t="s">
        <v>280</v>
      </c>
      <c r="C159" s="66" t="s">
        <v>226</v>
      </c>
      <c r="D159" s="69"/>
      <c r="E159" s="60"/>
      <c r="F159" s="60"/>
      <c r="G159" s="60"/>
      <c r="H159" s="60"/>
      <c r="I159" s="60"/>
      <c r="J159" s="73"/>
      <c r="K159" s="73"/>
      <c r="L159" s="74"/>
      <c r="M159" s="225"/>
      <c r="N159" s="74">
        <f>P159</f>
        <v>81564</v>
      </c>
      <c r="O159" s="74"/>
      <c r="P159" s="74">
        <v>81564</v>
      </c>
      <c r="Q159" s="74"/>
      <c r="R159" s="225"/>
      <c r="S159" s="74"/>
      <c r="T159" s="75">
        <f>P159</f>
        <v>81564</v>
      </c>
      <c r="U159" s="75">
        <f>T159</f>
        <v>81564</v>
      </c>
      <c r="Z159" s="85"/>
    </row>
    <row r="160" spans="1:26" x14ac:dyDescent="0.25">
      <c r="A160" s="290"/>
      <c r="B160" s="89" t="s">
        <v>225</v>
      </c>
      <c r="C160" s="187" t="s">
        <v>219</v>
      </c>
      <c r="D160" s="64" t="s">
        <v>101</v>
      </c>
      <c r="E160" s="60"/>
      <c r="F160" s="60"/>
      <c r="G160" s="60">
        <v>4</v>
      </c>
      <c r="H160" s="60">
        <v>4</v>
      </c>
      <c r="I160" s="60">
        <v>4</v>
      </c>
      <c r="J160" s="73"/>
      <c r="K160" s="73"/>
      <c r="L160" s="74"/>
      <c r="M160" s="225"/>
      <c r="N160" s="74">
        <f>S160</f>
        <v>155400</v>
      </c>
      <c r="O160" s="74"/>
      <c r="P160" s="74"/>
      <c r="Q160" s="74"/>
      <c r="R160" s="225"/>
      <c r="S160" s="74">
        <v>155400</v>
      </c>
      <c r="T160" s="75">
        <f>S160</f>
        <v>155400</v>
      </c>
      <c r="U160" s="75">
        <f>T160</f>
        <v>155400</v>
      </c>
      <c r="V160" s="85">
        <f>R140+R149+R155+R158+R162</f>
        <v>9931511.3999991789</v>
      </c>
    </row>
    <row r="161" spans="1:25" x14ac:dyDescent="0.25">
      <c r="A161" s="290"/>
      <c r="B161" s="89" t="s">
        <v>225</v>
      </c>
      <c r="C161" s="187" t="s">
        <v>226</v>
      </c>
      <c r="D161" s="64" t="s">
        <v>101</v>
      </c>
      <c r="E161" s="60"/>
      <c r="F161" s="60"/>
      <c r="G161" s="60"/>
      <c r="H161" s="60"/>
      <c r="I161" s="60"/>
      <c r="J161" s="73"/>
      <c r="K161" s="73"/>
      <c r="L161" s="74"/>
      <c r="M161" s="225"/>
      <c r="N161" s="74"/>
      <c r="O161" s="74"/>
      <c r="P161" s="74"/>
      <c r="Q161" s="74"/>
      <c r="R161" s="225"/>
      <c r="S161" s="74"/>
      <c r="T161" s="75">
        <f>Q161</f>
        <v>0</v>
      </c>
      <c r="U161" s="75">
        <f>T161</f>
        <v>0</v>
      </c>
    </row>
    <row r="162" spans="1:25" x14ac:dyDescent="0.25">
      <c r="A162" s="290"/>
      <c r="B162" s="89" t="s">
        <v>280</v>
      </c>
      <c r="C162" s="187" t="s">
        <v>219</v>
      </c>
      <c r="D162" s="64"/>
      <c r="E162" s="60"/>
      <c r="F162" s="60"/>
      <c r="G162" s="60"/>
      <c r="H162" s="60"/>
      <c r="I162" s="60"/>
      <c r="J162" s="73"/>
      <c r="K162" s="73"/>
      <c r="L162" s="74"/>
      <c r="M162" s="225"/>
      <c r="N162" s="74">
        <f>R162</f>
        <v>48780</v>
      </c>
      <c r="O162" s="74"/>
      <c r="P162" s="74"/>
      <c r="Q162" s="74"/>
      <c r="R162" s="225">
        <v>48780</v>
      </c>
      <c r="S162" s="74"/>
      <c r="T162" s="75">
        <f>R162</f>
        <v>48780</v>
      </c>
      <c r="U162" s="75">
        <f>T162</f>
        <v>48780</v>
      </c>
    </row>
    <row r="163" spans="1:25" x14ac:dyDescent="0.25">
      <c r="A163" s="290"/>
      <c r="B163" s="101" t="s">
        <v>112</v>
      </c>
      <c r="C163" s="101"/>
      <c r="D163" s="69"/>
      <c r="E163" s="102"/>
      <c r="F163" s="102"/>
      <c r="G163" s="102">
        <f>G140+G149+G155</f>
        <v>826</v>
      </c>
      <c r="H163" s="102">
        <f>H140+H149+H155</f>
        <v>826</v>
      </c>
      <c r="I163" s="102">
        <f>I140+I149+I155</f>
        <v>826</v>
      </c>
      <c r="J163" s="104"/>
      <c r="K163" s="104"/>
      <c r="L163" s="103"/>
      <c r="M163" s="138"/>
      <c r="N163" s="138">
        <f>SUM(O163:S163)</f>
        <v>53451463.202595182</v>
      </c>
      <c r="O163" s="253">
        <f>O140+O149+O155+O158</f>
        <v>35463575</v>
      </c>
      <c r="P163" s="253">
        <f>P140+P149+P155+P158+P159+P160+P161</f>
        <v>7900976.802596001</v>
      </c>
      <c r="Q163" s="138">
        <f t="shared" ref="Q163:S163" si="102">Q140+Q149+Q155+Q158+Q159+Q160+Q161</f>
        <v>0</v>
      </c>
      <c r="R163" s="253">
        <f>R140+R149+R155+R158+R159+R160+R161+R162</f>
        <v>9931511.3999991789</v>
      </c>
      <c r="S163" s="253">
        <f t="shared" si="102"/>
        <v>155400</v>
      </c>
      <c r="T163" s="138">
        <f>T140+T149+T155+T158+T159+T160+T161+T162</f>
        <v>53451463.202595182</v>
      </c>
      <c r="U163" s="138">
        <f>U140+U149+U155+U158+U159+U160+U161+U162</f>
        <v>53451463.202595182</v>
      </c>
      <c r="V163" s="80">
        <f>9882731.4+48780</f>
        <v>9931511.4000000004</v>
      </c>
      <c r="W163" s="85">
        <f>V163-R163</f>
        <v>8.2142651081085205E-7</v>
      </c>
      <c r="X163" s="80">
        <f>W163/I163</f>
        <v>9.9446308814873133E-10</v>
      </c>
    </row>
    <row r="164" spans="1:25" ht="225" x14ac:dyDescent="0.25">
      <c r="A164" s="290" t="s">
        <v>119</v>
      </c>
      <c r="B164" s="291" t="s">
        <v>240</v>
      </c>
      <c r="C164" s="61" t="s">
        <v>120</v>
      </c>
      <c r="D164" s="62" t="s">
        <v>121</v>
      </c>
      <c r="E164" s="121" t="s">
        <v>192</v>
      </c>
      <c r="F164" s="121" t="s">
        <v>192</v>
      </c>
      <c r="G164" s="121" t="s">
        <v>192</v>
      </c>
      <c r="H164" s="121" t="s">
        <v>192</v>
      </c>
      <c r="I164" s="121" t="s">
        <v>192</v>
      </c>
      <c r="J164" s="107" t="s">
        <v>283</v>
      </c>
      <c r="K164" s="107" t="s">
        <v>195</v>
      </c>
      <c r="L164" s="70" t="s">
        <v>233</v>
      </c>
      <c r="M164" s="220" t="s">
        <v>282</v>
      </c>
      <c r="N164" s="71">
        <f>SUM(O164:R164)</f>
        <v>3495924.6982319998</v>
      </c>
      <c r="O164" s="71">
        <f>(668575.57*3)+((1351.63*67)/12*8+(1351.63*67)/12*4)+2.38</f>
        <v>2096288.2999999998</v>
      </c>
      <c r="P164" s="71">
        <f>((4001.99*2.3654*67)/12*8)+((4001.99*2.3654*67)/12*4)</f>
        <v>634242.57878200011</v>
      </c>
      <c r="Q164" s="71"/>
      <c r="R164" s="46">
        <f>((11423.78835*67)/12*8)+((11423.78835*67)/12*4)</f>
        <v>765393.81945000007</v>
      </c>
      <c r="S164" s="75"/>
      <c r="T164" s="75">
        <f>N164</f>
        <v>3495924.6982319998</v>
      </c>
      <c r="U164" s="75">
        <f>T164</f>
        <v>3495924.6982319998</v>
      </c>
      <c r="W164" s="80">
        <f>12300.53*67</f>
        <v>824135.51</v>
      </c>
      <c r="X164" s="80">
        <f>1342.39+12011.78+(4001.99*2.3654)</f>
        <v>22820.477146000001</v>
      </c>
      <c r="Y164" s="80">
        <f>4001.99*2.3654</f>
        <v>9466.307146000001</v>
      </c>
    </row>
    <row r="165" spans="1:25" ht="240" x14ac:dyDescent="0.25">
      <c r="A165" s="290"/>
      <c r="B165" s="291"/>
      <c r="C165" s="61" t="s">
        <v>128</v>
      </c>
      <c r="D165" s="62" t="s">
        <v>121</v>
      </c>
      <c r="E165" s="121" t="s">
        <v>193</v>
      </c>
      <c r="F165" s="121" t="s">
        <v>193</v>
      </c>
      <c r="G165" s="121" t="s">
        <v>193</v>
      </c>
      <c r="H165" s="121" t="s">
        <v>193</v>
      </c>
      <c r="I165" s="121" t="s">
        <v>193</v>
      </c>
      <c r="J165" s="107" t="s">
        <v>284</v>
      </c>
      <c r="K165" s="107" t="s">
        <v>194</v>
      </c>
      <c r="L165" s="70" t="s">
        <v>233</v>
      </c>
      <c r="M165" s="220" t="s">
        <v>282</v>
      </c>
      <c r="N165" s="71">
        <f t="shared" ref="N165:N171" si="103">SUM(O165:R165)</f>
        <v>1051504.9444240001</v>
      </c>
      <c r="O165" s="71">
        <f>(((628912.16*1)/12*8+(628912.16*1)/12*4)+((1351.63*19)/12*8+(1351.63*19)/12*4))</f>
        <v>654593.13</v>
      </c>
      <c r="P165" s="71">
        <f>((4001.99*2.3654*19)/12*8)+((4001.99*2.3654*19)/12*4)</f>
        <v>179859.83577400001</v>
      </c>
      <c r="Q165" s="71"/>
      <c r="R165" s="46">
        <f>((11423.78835*19)/12*8)+((11423.78835*19)/12*4)</f>
        <v>217051.97865</v>
      </c>
      <c r="S165" s="75"/>
      <c r="T165" s="75">
        <f>N165</f>
        <v>1051504.9444240001</v>
      </c>
      <c r="U165" s="75">
        <f>T165</f>
        <v>1051504.9444240001</v>
      </c>
      <c r="W165" s="80">
        <f>12300.53*19</f>
        <v>233710.07</v>
      </c>
    </row>
    <row r="166" spans="1:25" ht="120" x14ac:dyDescent="0.25">
      <c r="A166" s="290"/>
      <c r="B166" s="291"/>
      <c r="C166" s="63" t="s">
        <v>102</v>
      </c>
      <c r="D166" s="64" t="s">
        <v>101</v>
      </c>
      <c r="E166" s="65"/>
      <c r="F166" s="65"/>
      <c r="G166" s="65"/>
      <c r="H166" s="65"/>
      <c r="I166" s="65"/>
      <c r="J166" s="150" t="s">
        <v>103</v>
      </c>
      <c r="K166" s="150" t="s">
        <v>103</v>
      </c>
      <c r="L166" s="150" t="s">
        <v>103</v>
      </c>
      <c r="M166" s="226" t="s">
        <v>103</v>
      </c>
      <c r="N166" s="150" t="s">
        <v>103</v>
      </c>
      <c r="O166" s="150" t="s">
        <v>103</v>
      </c>
      <c r="P166" s="150" t="s">
        <v>103</v>
      </c>
      <c r="Q166" s="150"/>
      <c r="R166" s="226" t="s">
        <v>103</v>
      </c>
      <c r="S166" s="150"/>
      <c r="T166" s="150" t="s">
        <v>103</v>
      </c>
      <c r="U166" s="150" t="s">
        <v>103</v>
      </c>
    </row>
    <row r="167" spans="1:25" x14ac:dyDescent="0.25">
      <c r="A167" s="290"/>
      <c r="B167" s="291"/>
      <c r="C167" s="63" t="s">
        <v>166</v>
      </c>
      <c r="D167" s="64" t="s">
        <v>101</v>
      </c>
      <c r="E167" s="59">
        <v>2</v>
      </c>
      <c r="F167" s="59">
        <v>2</v>
      </c>
      <c r="G167" s="59">
        <f t="shared" ref="G167:G168" si="104">((E167*8)+(F167*4))/12</f>
        <v>2</v>
      </c>
      <c r="H167" s="59">
        <v>2</v>
      </c>
      <c r="I167" s="59">
        <v>2</v>
      </c>
      <c r="J167" s="75">
        <f>K167</f>
        <v>80183.77</v>
      </c>
      <c r="K167" s="75">
        <v>80183.77</v>
      </c>
      <c r="L167" s="72"/>
      <c r="M167" s="224"/>
      <c r="N167" s="71"/>
      <c r="O167" s="71">
        <f>G167*K167</f>
        <v>160367.54</v>
      </c>
      <c r="P167" s="71"/>
      <c r="Q167" s="71"/>
      <c r="R167" s="228"/>
      <c r="S167" s="118"/>
      <c r="T167" s="75">
        <f>K167*G167</f>
        <v>160367.54</v>
      </c>
      <c r="U167" s="75">
        <f>T167</f>
        <v>160367.54</v>
      </c>
    </row>
    <row r="168" spans="1:25" ht="105" x14ac:dyDescent="0.25">
      <c r="A168" s="290"/>
      <c r="B168" s="291"/>
      <c r="C168" s="61" t="s">
        <v>174</v>
      </c>
      <c r="D168" s="64" t="s">
        <v>101</v>
      </c>
      <c r="E168" s="59"/>
      <c r="F168" s="59"/>
      <c r="G168" s="59">
        <f t="shared" si="104"/>
        <v>0</v>
      </c>
      <c r="H168" s="59"/>
      <c r="I168" s="59"/>
      <c r="J168" s="75">
        <f>K168</f>
        <v>25930.91</v>
      </c>
      <c r="K168" s="75">
        <v>25930.91</v>
      </c>
      <c r="L168" s="71" t="s">
        <v>104</v>
      </c>
      <c r="M168" s="221" t="s">
        <v>104</v>
      </c>
      <c r="N168" s="71">
        <f>O168</f>
        <v>0</v>
      </c>
      <c r="O168" s="71">
        <f>G168*K168</f>
        <v>0</v>
      </c>
      <c r="P168" s="71" t="s">
        <v>104</v>
      </c>
      <c r="Q168" s="71"/>
      <c r="R168" s="228" t="s">
        <v>104</v>
      </c>
      <c r="S168" s="118"/>
      <c r="T168" s="75">
        <f>H168*K168</f>
        <v>0</v>
      </c>
      <c r="U168" s="75">
        <f>I168*K168</f>
        <v>0</v>
      </c>
    </row>
    <row r="169" spans="1:25" x14ac:dyDescent="0.25">
      <c r="A169" s="290"/>
      <c r="B169" s="291"/>
      <c r="C169" s="66" t="s">
        <v>106</v>
      </c>
      <c r="D169" s="67"/>
      <c r="E169" s="121" t="s">
        <v>198</v>
      </c>
      <c r="F169" s="121" t="s">
        <v>198</v>
      </c>
      <c r="G169" s="121" t="s">
        <v>198</v>
      </c>
      <c r="H169" s="121" t="s">
        <v>198</v>
      </c>
      <c r="I169" s="121" t="s">
        <v>198</v>
      </c>
      <c r="J169" s="71" t="s">
        <v>104</v>
      </c>
      <c r="K169" s="71" t="s">
        <v>104</v>
      </c>
      <c r="L169" s="71" t="s">
        <v>104</v>
      </c>
      <c r="M169" s="221" t="s">
        <v>104</v>
      </c>
      <c r="N169" s="71">
        <f>SUM(O169:R169)</f>
        <v>4707797.1826560004</v>
      </c>
      <c r="O169" s="71">
        <f>SUM(O164:O168)</f>
        <v>2911248.9699999997</v>
      </c>
      <c r="P169" s="71">
        <f>SUM(P164:P168)</f>
        <v>814102.41455600015</v>
      </c>
      <c r="Q169" s="71"/>
      <c r="R169" s="221">
        <f t="shared" ref="R169:U169" si="105">SUM(R164:R168)</f>
        <v>982445.79810000001</v>
      </c>
      <c r="S169" s="71"/>
      <c r="T169" s="71">
        <f t="shared" si="105"/>
        <v>4707797.1826560004</v>
      </c>
      <c r="U169" s="71">
        <f t="shared" si="105"/>
        <v>4707797.1826560004</v>
      </c>
    </row>
    <row r="170" spans="1:25" ht="225" x14ac:dyDescent="0.25">
      <c r="A170" s="290"/>
      <c r="B170" s="291" t="s">
        <v>241</v>
      </c>
      <c r="C170" s="61" t="s">
        <v>120</v>
      </c>
      <c r="D170" s="62" t="s">
        <v>121</v>
      </c>
      <c r="E170" s="121" t="s">
        <v>198</v>
      </c>
      <c r="F170" s="121" t="s">
        <v>198</v>
      </c>
      <c r="G170" s="121" t="s">
        <v>198</v>
      </c>
      <c r="H170" s="121" t="s">
        <v>198</v>
      </c>
      <c r="I170" s="121" t="s">
        <v>198</v>
      </c>
      <c r="J170" s="107" t="s">
        <v>262</v>
      </c>
      <c r="K170" s="107" t="s">
        <v>197</v>
      </c>
      <c r="L170" s="70" t="s">
        <v>233</v>
      </c>
      <c r="M170" s="220" t="s">
        <v>282</v>
      </c>
      <c r="N170" s="71">
        <f t="shared" si="103"/>
        <v>5911402.5126559995</v>
      </c>
      <c r="O170" s="71">
        <f>(((993246.1*4)/12*8+(993246.1*4)/12*4)+((1649.65*86)/12*8+(1649.65*86)/12*4))</f>
        <v>4114854.3</v>
      </c>
      <c r="P170" s="71">
        <f>((4001.99*2.3654*86)/12*8)+((4001.99*2.3654*86)/12*4)</f>
        <v>814102.41455599992</v>
      </c>
      <c r="Q170" s="71"/>
      <c r="R170" s="221">
        <f>((11423.78835*86)/12*8)+((11423.78835*86)/12*4)</f>
        <v>982445.79810000001</v>
      </c>
      <c r="S170" s="71"/>
      <c r="T170" s="75">
        <f>N170</f>
        <v>5911402.5126559995</v>
      </c>
      <c r="U170" s="75">
        <f>T170</f>
        <v>5911402.5126559995</v>
      </c>
      <c r="V170" s="124"/>
      <c r="W170" s="80">
        <f>12300.53*86</f>
        <v>1057845.58</v>
      </c>
    </row>
    <row r="171" spans="1:25" ht="240" x14ac:dyDescent="0.25">
      <c r="A171" s="290"/>
      <c r="B171" s="291"/>
      <c r="C171" s="61" t="s">
        <v>128</v>
      </c>
      <c r="D171" s="62" t="s">
        <v>121</v>
      </c>
      <c r="E171" s="79" t="s">
        <v>199</v>
      </c>
      <c r="F171" s="79" t="s">
        <v>199</v>
      </c>
      <c r="G171" s="79" t="s">
        <v>199</v>
      </c>
      <c r="H171" s="79" t="s">
        <v>199</v>
      </c>
      <c r="I171" s="79" t="s">
        <v>199</v>
      </c>
      <c r="J171" s="107" t="s">
        <v>262</v>
      </c>
      <c r="K171" s="107" t="s">
        <v>196</v>
      </c>
      <c r="L171" s="70" t="s">
        <v>233</v>
      </c>
      <c r="M171" s="220" t="s">
        <v>282</v>
      </c>
      <c r="N171" s="71">
        <f t="shared" si="103"/>
        <v>2228279.1793840001</v>
      </c>
      <c r="O171" s="71">
        <f>(((787313.28*2)/12*8+(787313.28*2)/12*4)+((1649.65*29)/12*8+(1649.65*29)/12*4))</f>
        <v>1622466.4100000001</v>
      </c>
      <c r="P171" s="71">
        <f>((4001.99*2.3654*29)/12*8)+((4001.99*2.3654*29)/12*4)</f>
        <v>274522.90723400004</v>
      </c>
      <c r="Q171" s="71"/>
      <c r="R171" s="221">
        <f>((11423.78835*29)/12*8)+((11423.78835*29)/12*4)</f>
        <v>331289.86215</v>
      </c>
      <c r="S171" s="71"/>
      <c r="T171" s="75">
        <f>N171</f>
        <v>2228279.1793840001</v>
      </c>
      <c r="U171" s="75">
        <f>T171</f>
        <v>2228279.1793840001</v>
      </c>
      <c r="W171" s="80">
        <f>12300.53*29</f>
        <v>356715.37</v>
      </c>
      <c r="X171" s="80">
        <f>1638.38+12011.78+(4001.99*2.3654)</f>
        <v>23116.467146000003</v>
      </c>
    </row>
    <row r="172" spans="1:25" ht="135" x14ac:dyDescent="0.25">
      <c r="A172" s="290"/>
      <c r="B172" s="291"/>
      <c r="C172" s="63" t="s">
        <v>163</v>
      </c>
      <c r="D172" s="64" t="s">
        <v>101</v>
      </c>
      <c r="E172" s="59" t="s">
        <v>104</v>
      </c>
      <c r="F172" s="59" t="s">
        <v>104</v>
      </c>
      <c r="G172" s="59" t="s">
        <v>104</v>
      </c>
      <c r="H172" s="59" t="s">
        <v>104</v>
      </c>
      <c r="I172" s="59" t="s">
        <v>104</v>
      </c>
      <c r="J172" s="59" t="s">
        <v>104</v>
      </c>
      <c r="K172" s="59" t="s">
        <v>104</v>
      </c>
      <c r="L172" s="59" t="s">
        <v>104</v>
      </c>
      <c r="M172" s="123" t="s">
        <v>104</v>
      </c>
      <c r="N172" s="71"/>
      <c r="O172" s="71"/>
      <c r="P172" s="59" t="s">
        <v>104</v>
      </c>
      <c r="Q172" s="59"/>
      <c r="R172" s="123" t="s">
        <v>104</v>
      </c>
      <c r="S172" s="59"/>
      <c r="T172" s="75"/>
      <c r="U172" s="75"/>
    </row>
    <row r="173" spans="1:25" x14ac:dyDescent="0.25">
      <c r="A173" s="290"/>
      <c r="B173" s="198"/>
      <c r="C173" s="63" t="s">
        <v>165</v>
      </c>
      <c r="D173" s="64"/>
      <c r="E173" s="60">
        <v>1</v>
      </c>
      <c r="F173" s="60">
        <v>1</v>
      </c>
      <c r="G173" s="59">
        <f t="shared" ref="G173:G176" si="106">((E173*8)+(F173*4))/12</f>
        <v>1</v>
      </c>
      <c r="H173" s="60">
        <v>1</v>
      </c>
      <c r="I173" s="60">
        <v>1</v>
      </c>
      <c r="J173" s="75">
        <f>K173</f>
        <v>112063.65</v>
      </c>
      <c r="K173" s="75">
        <v>112063.65</v>
      </c>
      <c r="L173" s="59" t="s">
        <v>104</v>
      </c>
      <c r="M173" s="123" t="s">
        <v>104</v>
      </c>
      <c r="N173" s="71">
        <f>O173</f>
        <v>112063.65</v>
      </c>
      <c r="O173" s="73">
        <f>G173*K173</f>
        <v>112063.65</v>
      </c>
      <c r="P173" s="59" t="s">
        <v>104</v>
      </c>
      <c r="Q173" s="59"/>
      <c r="R173" s="123" t="s">
        <v>104</v>
      </c>
      <c r="S173" s="59"/>
      <c r="T173" s="75">
        <f>H173*K173</f>
        <v>112063.65</v>
      </c>
      <c r="U173" s="75">
        <f>I173*K173</f>
        <v>112063.65</v>
      </c>
    </row>
    <row r="174" spans="1:25" x14ac:dyDescent="0.25">
      <c r="A174" s="290"/>
      <c r="B174" s="198"/>
      <c r="C174" s="63" t="s">
        <v>168</v>
      </c>
      <c r="D174" s="64"/>
      <c r="E174" s="60">
        <v>1</v>
      </c>
      <c r="F174" s="60">
        <v>1</v>
      </c>
      <c r="G174" s="59">
        <f t="shared" si="106"/>
        <v>1</v>
      </c>
      <c r="H174" s="60">
        <v>1</v>
      </c>
      <c r="I174" s="60">
        <v>1</v>
      </c>
      <c r="J174" s="75">
        <f>K174</f>
        <v>28342.92</v>
      </c>
      <c r="K174" s="75">
        <v>28342.92</v>
      </c>
      <c r="L174" s="105" t="s">
        <v>104</v>
      </c>
      <c r="M174" s="123" t="s">
        <v>104</v>
      </c>
      <c r="N174" s="71">
        <f>O174</f>
        <v>28342.92</v>
      </c>
      <c r="O174" s="73">
        <f>G174*K174</f>
        <v>28342.92</v>
      </c>
      <c r="P174" s="59" t="s">
        <v>104</v>
      </c>
      <c r="Q174" s="59"/>
      <c r="R174" s="123" t="s">
        <v>104</v>
      </c>
      <c r="S174" s="59"/>
      <c r="T174" s="75">
        <f>H174*K174</f>
        <v>28342.92</v>
      </c>
      <c r="U174" s="75">
        <f>I174*K174</f>
        <v>28342.92</v>
      </c>
    </row>
    <row r="175" spans="1:25" ht="120" x14ac:dyDescent="0.25">
      <c r="A175" s="290"/>
      <c r="B175" s="198"/>
      <c r="C175" s="76" t="s">
        <v>173</v>
      </c>
      <c r="D175" s="64" t="s">
        <v>101</v>
      </c>
      <c r="E175" s="79">
        <v>1</v>
      </c>
      <c r="F175" s="79">
        <v>1</v>
      </c>
      <c r="G175" s="59">
        <f t="shared" si="106"/>
        <v>1</v>
      </c>
      <c r="H175" s="79">
        <v>1</v>
      </c>
      <c r="I175" s="79">
        <v>1</v>
      </c>
      <c r="J175" s="75">
        <f>SUM(K175:M175)</f>
        <v>227560.27</v>
      </c>
      <c r="K175" s="75">
        <f>225910.62+1649.65</f>
        <v>227560.27</v>
      </c>
      <c r="L175" s="70" t="s">
        <v>233</v>
      </c>
      <c r="M175" s="220" t="s">
        <v>282</v>
      </c>
      <c r="N175" s="73">
        <f>SUM(O175:R175)</f>
        <v>248450.36549599998</v>
      </c>
      <c r="O175" s="73">
        <f>G175*K175</f>
        <v>227560.27</v>
      </c>
      <c r="P175" s="73">
        <f>G175*4001.99*2.3654</f>
        <v>9466.307146000001</v>
      </c>
      <c r="Q175" s="73"/>
      <c r="R175" s="219">
        <f>G175*11423.78835</f>
        <v>11423.788350000001</v>
      </c>
      <c r="S175" s="73"/>
      <c r="T175" s="75">
        <f>N175</f>
        <v>248450.36549599998</v>
      </c>
      <c r="U175" s="75">
        <f>T175</f>
        <v>248450.36549599998</v>
      </c>
    </row>
    <row r="176" spans="1:25" ht="105" x14ac:dyDescent="0.25">
      <c r="A176" s="290"/>
      <c r="B176" s="198"/>
      <c r="C176" s="61" t="s">
        <v>174</v>
      </c>
      <c r="D176" s="64" t="s">
        <v>101</v>
      </c>
      <c r="E176" s="79">
        <v>1</v>
      </c>
      <c r="F176" s="79">
        <v>1</v>
      </c>
      <c r="G176" s="59">
        <f t="shared" si="106"/>
        <v>1</v>
      </c>
      <c r="H176" s="79">
        <v>1</v>
      </c>
      <c r="I176" s="79">
        <v>1</v>
      </c>
      <c r="J176" s="75">
        <f>K176</f>
        <v>41057.29</v>
      </c>
      <c r="K176" s="75">
        <f>41057.29</f>
        <v>41057.29</v>
      </c>
      <c r="L176" s="74"/>
      <c r="M176" s="225"/>
      <c r="N176" s="73">
        <f>O176</f>
        <v>41057.29</v>
      </c>
      <c r="O176" s="73">
        <f>G176*K176</f>
        <v>41057.29</v>
      </c>
      <c r="P176" s="73"/>
      <c r="Q176" s="73"/>
      <c r="R176" s="219"/>
      <c r="S176" s="73"/>
      <c r="T176" s="75">
        <f>H176*K176</f>
        <v>41057.29</v>
      </c>
      <c r="U176" s="75">
        <f>I176*K176</f>
        <v>41057.29</v>
      </c>
    </row>
    <row r="177" spans="1:24" x14ac:dyDescent="0.25">
      <c r="A177" s="290"/>
      <c r="B177" s="198"/>
      <c r="C177" s="66" t="s">
        <v>106</v>
      </c>
      <c r="D177" s="64"/>
      <c r="E177" s="77" t="s">
        <v>202</v>
      </c>
      <c r="F177" s="77" t="s">
        <v>202</v>
      </c>
      <c r="G177" s="77" t="s">
        <v>202</v>
      </c>
      <c r="H177" s="77" t="s">
        <v>202</v>
      </c>
      <c r="I177" s="77" t="s">
        <v>202</v>
      </c>
      <c r="J177" s="73" t="s">
        <v>104</v>
      </c>
      <c r="K177" s="73" t="s">
        <v>104</v>
      </c>
      <c r="L177" s="74" t="s">
        <v>104</v>
      </c>
      <c r="M177" s="225" t="s">
        <v>104</v>
      </c>
      <c r="N177" s="74">
        <f>SUM(O177:R177)</f>
        <v>8569595.9175359998</v>
      </c>
      <c r="O177" s="74">
        <f>SUM(O170:O176)</f>
        <v>6146344.8399999999</v>
      </c>
      <c r="P177" s="74">
        <f>SUM(P170:P176)</f>
        <v>1098091.6289359999</v>
      </c>
      <c r="Q177" s="74"/>
      <c r="R177" s="225">
        <f t="shared" ref="R177" si="107">SUM(R170:R176)</f>
        <v>1325159.4486</v>
      </c>
      <c r="S177" s="74"/>
      <c r="T177" s="74">
        <f>N177</f>
        <v>8569595.9175359998</v>
      </c>
      <c r="U177" s="74">
        <f>T177</f>
        <v>8569595.9175359998</v>
      </c>
    </row>
    <row r="178" spans="1:24" ht="240" x14ac:dyDescent="0.25">
      <c r="A178" s="290"/>
      <c r="B178" s="202" t="s">
        <v>242</v>
      </c>
      <c r="C178" s="61" t="s">
        <v>128</v>
      </c>
      <c r="D178" s="62" t="s">
        <v>121</v>
      </c>
      <c r="E178" s="121" t="s">
        <v>201</v>
      </c>
      <c r="F178" s="121" t="s">
        <v>201</v>
      </c>
      <c r="G178" s="121" t="s">
        <v>201</v>
      </c>
      <c r="H178" s="121" t="s">
        <v>201</v>
      </c>
      <c r="I178" s="121" t="s">
        <v>201</v>
      </c>
      <c r="J178" s="107" t="s">
        <v>261</v>
      </c>
      <c r="K178" s="107" t="s">
        <v>200</v>
      </c>
      <c r="L178" s="70" t="s">
        <v>233</v>
      </c>
      <c r="M178" s="220" t="s">
        <v>282</v>
      </c>
      <c r="N178" s="73">
        <f>SUM(O178:R178)</f>
        <v>2025630.2024399999</v>
      </c>
      <c r="O178" s="71">
        <f>(841148.96*2)+((1998.78*15)/12*8+(1998.78*15)/12*4)</f>
        <v>1712279.6199999999</v>
      </c>
      <c r="P178" s="73">
        <f>((15*4001.99*2.3654)/12*8)+((15*4001.99*2.3654)/12*4)+0.31</f>
        <v>141994.91719000001</v>
      </c>
      <c r="Q178" s="73"/>
      <c r="R178" s="46">
        <f>11423.78835*15-1.16</f>
        <v>171355.66525000002</v>
      </c>
      <c r="S178" s="75"/>
      <c r="T178" s="75">
        <f>N178</f>
        <v>2025630.2024399999</v>
      </c>
      <c r="U178" s="75">
        <f>N178</f>
        <v>2025630.2024399999</v>
      </c>
      <c r="W178" s="80">
        <f>12300.53*15</f>
        <v>184507.95</v>
      </c>
      <c r="X178" s="80">
        <f>1985.12+12011.78+(4001.99*2.3654)</f>
        <v>23463.207146000001</v>
      </c>
    </row>
    <row r="179" spans="1:24" ht="135" x14ac:dyDescent="0.25">
      <c r="A179" s="290"/>
      <c r="B179" s="198"/>
      <c r="C179" s="63" t="s">
        <v>163</v>
      </c>
      <c r="D179" s="64" t="s">
        <v>101</v>
      </c>
      <c r="E179" s="121"/>
      <c r="F179" s="121"/>
      <c r="G179" s="121"/>
      <c r="H179" s="121"/>
      <c r="I179" s="121"/>
      <c r="J179" s="107"/>
      <c r="K179" s="107"/>
      <c r="L179" s="70"/>
      <c r="M179" s="220"/>
      <c r="N179" s="73"/>
      <c r="O179" s="71"/>
      <c r="P179" s="73"/>
      <c r="Q179" s="73"/>
      <c r="R179" s="46"/>
      <c r="S179" s="75"/>
      <c r="T179" s="75"/>
      <c r="U179" s="75"/>
    </row>
    <row r="180" spans="1:24" x14ac:dyDescent="0.25">
      <c r="A180" s="290"/>
      <c r="B180" s="198"/>
      <c r="C180" s="63" t="s">
        <v>165</v>
      </c>
      <c r="D180" s="64" t="s">
        <v>101</v>
      </c>
      <c r="E180" s="121">
        <v>1</v>
      </c>
      <c r="F180" s="121">
        <v>1</v>
      </c>
      <c r="G180" s="59">
        <f>((E180*8)+(F180*4))/12</f>
        <v>1</v>
      </c>
      <c r="H180" s="121">
        <v>1</v>
      </c>
      <c r="I180" s="121">
        <v>1</v>
      </c>
      <c r="J180" s="107">
        <f>K180</f>
        <v>112063.65</v>
      </c>
      <c r="K180" s="107">
        <v>112063.65</v>
      </c>
      <c r="L180" s="70"/>
      <c r="M180" s="220"/>
      <c r="N180" s="73">
        <f>O180</f>
        <v>112063.65</v>
      </c>
      <c r="O180" s="71">
        <f>K180*G180</f>
        <v>112063.65</v>
      </c>
      <c r="P180" s="73"/>
      <c r="Q180" s="73"/>
      <c r="R180" s="46"/>
      <c r="S180" s="75"/>
      <c r="T180" s="75">
        <f>G180*K180</f>
        <v>112063.65</v>
      </c>
      <c r="U180" s="75">
        <f>T180</f>
        <v>112063.65</v>
      </c>
    </row>
    <row r="181" spans="1:24" x14ac:dyDescent="0.25">
      <c r="A181" s="290"/>
      <c r="B181" s="198"/>
      <c r="C181" s="63" t="s">
        <v>168</v>
      </c>
      <c r="D181" s="64" t="s">
        <v>101</v>
      </c>
      <c r="E181" s="121">
        <v>1</v>
      </c>
      <c r="F181" s="121">
        <v>1</v>
      </c>
      <c r="G181" s="59">
        <f t="shared" ref="G181:G183" si="108">((E181*8)+(F181*4))/12</f>
        <v>1</v>
      </c>
      <c r="H181" s="121">
        <v>1</v>
      </c>
      <c r="I181" s="121">
        <v>1</v>
      </c>
      <c r="J181" s="107">
        <f>K181</f>
        <v>28342.92</v>
      </c>
      <c r="K181" s="107">
        <v>28342.92</v>
      </c>
      <c r="L181" s="70"/>
      <c r="M181" s="220"/>
      <c r="N181" s="73">
        <f>O181</f>
        <v>28342.92</v>
      </c>
      <c r="O181" s="71">
        <f>K181*G181</f>
        <v>28342.92</v>
      </c>
      <c r="P181" s="73"/>
      <c r="Q181" s="73"/>
      <c r="R181" s="46"/>
      <c r="S181" s="75"/>
      <c r="T181" s="75">
        <f>G181*K181</f>
        <v>28342.92</v>
      </c>
      <c r="U181" s="75">
        <f>T181</f>
        <v>28342.92</v>
      </c>
    </row>
    <row r="182" spans="1:24" x14ac:dyDescent="0.25">
      <c r="A182" s="290"/>
      <c r="B182" s="198"/>
      <c r="C182" s="66" t="s">
        <v>106</v>
      </c>
      <c r="D182" s="64"/>
      <c r="E182" s="121" t="str">
        <f>E178</f>
        <v>2\15</v>
      </c>
      <c r="F182" s="121" t="str">
        <f>F178</f>
        <v>2\15</v>
      </c>
      <c r="G182" s="121" t="str">
        <f>G178</f>
        <v>2\15</v>
      </c>
      <c r="H182" s="121" t="str">
        <f>H178</f>
        <v>2\15</v>
      </c>
      <c r="I182" s="121" t="str">
        <f>I178</f>
        <v>2\15</v>
      </c>
      <c r="J182" s="73" t="s">
        <v>104</v>
      </c>
      <c r="K182" s="73" t="s">
        <v>104</v>
      </c>
      <c r="L182" s="74" t="s">
        <v>104</v>
      </c>
      <c r="M182" s="225" t="s">
        <v>104</v>
      </c>
      <c r="N182" s="74">
        <f>SUM(N178:N181)</f>
        <v>2166036.77244</v>
      </c>
      <c r="O182" s="74">
        <f>SUM(O178:O181)</f>
        <v>1852686.1899999997</v>
      </c>
      <c r="P182" s="74">
        <f t="shared" ref="P182:U182" si="109">SUM(P178:P181)</f>
        <v>141994.91719000001</v>
      </c>
      <c r="Q182" s="74"/>
      <c r="R182" s="225">
        <f>SUM(R178:R181)</f>
        <v>171355.66525000002</v>
      </c>
      <c r="S182" s="74"/>
      <c r="T182" s="74">
        <f t="shared" si="109"/>
        <v>2166036.77244</v>
      </c>
      <c r="U182" s="74">
        <f t="shared" si="109"/>
        <v>2166036.77244</v>
      </c>
    </row>
    <row r="183" spans="1:24" ht="102" customHeight="1" x14ac:dyDescent="0.25">
      <c r="A183" s="290"/>
      <c r="B183" s="137" t="s">
        <v>243</v>
      </c>
      <c r="C183" s="61" t="s">
        <v>186</v>
      </c>
      <c r="D183" s="64" t="s">
        <v>101</v>
      </c>
      <c r="E183" s="60">
        <v>307</v>
      </c>
      <c r="F183" s="60">
        <v>307</v>
      </c>
      <c r="G183" s="59">
        <f t="shared" si="108"/>
        <v>307</v>
      </c>
      <c r="H183" s="60">
        <v>307</v>
      </c>
      <c r="I183" s="60">
        <v>307</v>
      </c>
      <c r="J183" s="75">
        <f>K183</f>
        <v>4982.75</v>
      </c>
      <c r="K183" s="75">
        <v>4982.75</v>
      </c>
      <c r="L183" s="72" t="s">
        <v>104</v>
      </c>
      <c r="M183" s="224" t="s">
        <v>104</v>
      </c>
      <c r="N183" s="73">
        <f>SUM(O183:R183)</f>
        <v>1529701</v>
      </c>
      <c r="O183" s="73">
        <f>K183*G183-3.25</f>
        <v>1529701</v>
      </c>
      <c r="P183" s="73" t="s">
        <v>104</v>
      </c>
      <c r="Q183" s="73"/>
      <c r="R183" s="219" t="s">
        <v>104</v>
      </c>
      <c r="S183" s="73"/>
      <c r="T183" s="75">
        <f>H183*J183-0.5</f>
        <v>1529703.75</v>
      </c>
      <c r="U183" s="75">
        <f>T183</f>
        <v>1529703.75</v>
      </c>
    </row>
    <row r="184" spans="1:24" x14ac:dyDescent="0.25">
      <c r="A184" s="290"/>
      <c r="B184" s="69"/>
      <c r="C184" s="66" t="s">
        <v>106</v>
      </c>
      <c r="D184" s="69"/>
      <c r="E184" s="60">
        <f>SUM(E183:E183)</f>
        <v>307</v>
      </c>
      <c r="F184" s="60">
        <f>SUM(F183:F183)</f>
        <v>307</v>
      </c>
      <c r="G184" s="60">
        <f>SUM(G183:G183)</f>
        <v>307</v>
      </c>
      <c r="H184" s="60">
        <f>SUM(H183:H183)</f>
        <v>307</v>
      </c>
      <c r="I184" s="60">
        <f>SUM(I183:I183)</f>
        <v>307</v>
      </c>
      <c r="J184" s="74" t="s">
        <v>104</v>
      </c>
      <c r="K184" s="74" t="s">
        <v>104</v>
      </c>
      <c r="L184" s="74" t="s">
        <v>104</v>
      </c>
      <c r="M184" s="225">
        <f t="shared" ref="M184:R184" si="110">SUM(M183:M183)</f>
        <v>0</v>
      </c>
      <c r="N184" s="74">
        <f t="shared" si="110"/>
        <v>1529701</v>
      </c>
      <c r="O184" s="74">
        <f t="shared" si="110"/>
        <v>1529701</v>
      </c>
      <c r="P184" s="74">
        <f t="shared" si="110"/>
        <v>0</v>
      </c>
      <c r="Q184" s="74"/>
      <c r="R184" s="225">
        <f t="shared" si="110"/>
        <v>0</v>
      </c>
      <c r="S184" s="74"/>
      <c r="T184" s="74">
        <f>N184</f>
        <v>1529701</v>
      </c>
      <c r="U184" s="75">
        <f>T184</f>
        <v>1529701</v>
      </c>
    </row>
    <row r="185" spans="1:24" x14ac:dyDescent="0.25">
      <c r="A185" s="290"/>
      <c r="B185" s="69" t="s">
        <v>280</v>
      </c>
      <c r="C185" s="66" t="s">
        <v>226</v>
      </c>
      <c r="D185" s="69"/>
      <c r="E185" s="60"/>
      <c r="F185" s="60"/>
      <c r="G185" s="60"/>
      <c r="H185" s="60"/>
      <c r="I185" s="60"/>
      <c r="J185" s="74"/>
      <c r="K185" s="74"/>
      <c r="L185" s="74"/>
      <c r="M185" s="225"/>
      <c r="N185" s="74">
        <f>P185</f>
        <v>21376</v>
      </c>
      <c r="O185" s="74"/>
      <c r="P185" s="74">
        <v>21376</v>
      </c>
      <c r="Q185" s="74"/>
      <c r="R185" s="225"/>
      <c r="S185" s="74"/>
      <c r="T185" s="74">
        <f>P185</f>
        <v>21376</v>
      </c>
      <c r="U185" s="74">
        <f>T185</f>
        <v>21376</v>
      </c>
    </row>
    <row r="186" spans="1:24" x14ac:dyDescent="0.25">
      <c r="A186" s="290"/>
      <c r="B186" s="89" t="s">
        <v>225</v>
      </c>
      <c r="C186" s="187" t="s">
        <v>219</v>
      </c>
      <c r="D186" s="64" t="s">
        <v>101</v>
      </c>
      <c r="E186" s="60"/>
      <c r="F186" s="60"/>
      <c r="G186" s="60">
        <v>10</v>
      </c>
      <c r="H186" s="60">
        <v>10</v>
      </c>
      <c r="I186" s="60">
        <v>10</v>
      </c>
      <c r="J186" s="74"/>
      <c r="K186" s="74"/>
      <c r="L186" s="74"/>
      <c r="M186" s="225"/>
      <c r="N186" s="74">
        <f>S186</f>
        <v>1744220</v>
      </c>
      <c r="O186" s="74"/>
      <c r="P186" s="74"/>
      <c r="Q186" s="74"/>
      <c r="R186" s="225"/>
      <c r="S186" s="74">
        <f>1603023+141197</f>
        <v>1744220</v>
      </c>
      <c r="T186" s="74">
        <f>S186</f>
        <v>1744220</v>
      </c>
      <c r="U186" s="74">
        <f>T186</f>
        <v>1744220</v>
      </c>
    </row>
    <row r="187" spans="1:24" x14ac:dyDescent="0.25">
      <c r="A187" s="290"/>
      <c r="B187" s="89" t="s">
        <v>225</v>
      </c>
      <c r="C187" s="187" t="s">
        <v>226</v>
      </c>
      <c r="D187" s="64" t="s">
        <v>101</v>
      </c>
      <c r="E187" s="60"/>
      <c r="F187" s="60"/>
      <c r="G187" s="60"/>
      <c r="H187" s="60"/>
      <c r="I187" s="60"/>
      <c r="J187" s="74"/>
      <c r="K187" s="74"/>
      <c r="L187" s="74"/>
      <c r="M187" s="225"/>
      <c r="N187" s="74"/>
      <c r="O187" s="74"/>
      <c r="P187" s="74"/>
      <c r="Q187" s="74"/>
      <c r="R187" s="225"/>
      <c r="S187" s="74"/>
      <c r="T187" s="74">
        <f>Q187</f>
        <v>0</v>
      </c>
      <c r="U187" s="74">
        <f>T187</f>
        <v>0</v>
      </c>
    </row>
    <row r="188" spans="1:24" x14ac:dyDescent="0.25">
      <c r="A188" s="290"/>
      <c r="B188" s="101" t="s">
        <v>112</v>
      </c>
      <c r="C188" s="101"/>
      <c r="D188" s="69"/>
      <c r="E188" s="103"/>
      <c r="F188" s="103"/>
      <c r="G188" s="102">
        <f>86+116+15</f>
        <v>217</v>
      </c>
      <c r="H188" s="102">
        <f>86+116+15</f>
        <v>217</v>
      </c>
      <c r="I188" s="102">
        <f>86+116+15</f>
        <v>217</v>
      </c>
      <c r="J188" s="103"/>
      <c r="K188" s="103"/>
      <c r="L188" s="103"/>
      <c r="M188" s="138"/>
      <c r="N188" s="138">
        <f>SUM(O188:S188)</f>
        <v>18738726.872631997</v>
      </c>
      <c r="O188" s="253">
        <f t="shared" ref="O188" si="111">O169+O177+O182+O184</f>
        <v>12439980.999999998</v>
      </c>
      <c r="P188" s="253">
        <f>P169+P177+P182+P184+P185+P186+P187</f>
        <v>2075564.960682</v>
      </c>
      <c r="Q188" s="138">
        <f t="shared" ref="Q188:U188" si="112">Q169+Q177+Q182+Q184+Q185+Q186+Q187</f>
        <v>0</v>
      </c>
      <c r="R188" s="253">
        <f t="shared" si="112"/>
        <v>2478960.9119500001</v>
      </c>
      <c r="S188" s="138">
        <f t="shared" si="112"/>
        <v>1744220</v>
      </c>
      <c r="T188" s="138">
        <f t="shared" si="112"/>
        <v>18738726.872631997</v>
      </c>
      <c r="U188" s="138">
        <f t="shared" si="112"/>
        <v>18738726.872631997</v>
      </c>
      <c r="V188" s="80">
        <v>2478960.91</v>
      </c>
      <c r="W188" s="85">
        <f>V188-R188</f>
        <v>-1.9499999471008778E-3</v>
      </c>
      <c r="X188" s="80">
        <f>W188/I188</f>
        <v>-8.9861748714326166E-6</v>
      </c>
    </row>
    <row r="189" spans="1:24" ht="27" customHeight="1" x14ac:dyDescent="0.25">
      <c r="B189" s="296" t="s">
        <v>232</v>
      </c>
      <c r="C189" s="297"/>
      <c r="D189" s="297"/>
      <c r="E189" s="297"/>
      <c r="F189" s="297"/>
      <c r="G189" s="297"/>
      <c r="H189" s="297"/>
      <c r="I189" s="297"/>
      <c r="J189" s="297"/>
      <c r="K189" s="297"/>
      <c r="L189" s="297"/>
      <c r="M189" s="298"/>
      <c r="N189" s="186">
        <f t="shared" ref="N189:U189" si="113">N188+N163+N129+N98+N70+N43</f>
        <v>206795091.02784371</v>
      </c>
      <c r="O189" s="254">
        <f t="shared" si="113"/>
        <v>133359905.364617</v>
      </c>
      <c r="P189" s="254">
        <f t="shared" si="113"/>
        <v>29946718.801258735</v>
      </c>
      <c r="Q189" s="254">
        <f t="shared" si="113"/>
        <v>681390</v>
      </c>
      <c r="R189" s="254">
        <f t="shared" si="113"/>
        <v>30833976.861967992</v>
      </c>
      <c r="S189" s="254">
        <f t="shared" si="113"/>
        <v>11973100</v>
      </c>
      <c r="T189" s="186">
        <f>T188+T163+T129+T98+T70+T43</f>
        <v>206795091.02784371</v>
      </c>
      <c r="U189" s="186">
        <f t="shared" si="113"/>
        <v>206795091.02784371</v>
      </c>
      <c r="X189" s="70" t="s">
        <v>257</v>
      </c>
    </row>
    <row r="190" spans="1:24" x14ac:dyDescent="0.25">
      <c r="A190" s="80" t="s">
        <v>235</v>
      </c>
    </row>
    <row r="191" spans="1:24" x14ac:dyDescent="0.25">
      <c r="A191" s="80" t="s">
        <v>178</v>
      </c>
    </row>
    <row r="192" spans="1:24" x14ac:dyDescent="0.25">
      <c r="X192" s="80">
        <f>12601.84959-590.0704652-587.990779</f>
        <v>11423.7883458</v>
      </c>
    </row>
    <row r="193" spans="15:18" x14ac:dyDescent="0.25">
      <c r="O193" s="85"/>
    </row>
    <row r="194" spans="15:18" x14ac:dyDescent="0.25">
      <c r="O194" s="85"/>
    </row>
    <row r="195" spans="15:18" x14ac:dyDescent="0.25">
      <c r="R195" s="229"/>
    </row>
    <row r="196" spans="15:18" x14ac:dyDescent="0.25">
      <c r="R196" s="229"/>
    </row>
    <row r="197" spans="15:18" x14ac:dyDescent="0.25">
      <c r="O197" s="85"/>
      <c r="R197" s="229"/>
    </row>
    <row r="202" spans="15:18" x14ac:dyDescent="0.25">
      <c r="O202" s="85"/>
      <c r="P202" s="85"/>
      <c r="Q202" s="85"/>
    </row>
    <row r="203" spans="15:18" x14ac:dyDescent="0.25">
      <c r="O203" s="85"/>
      <c r="P203" s="85"/>
      <c r="Q203" s="85"/>
    </row>
    <row r="204" spans="15:18" x14ac:dyDescent="0.25">
      <c r="O204" s="85"/>
      <c r="P204" s="85"/>
      <c r="Q204" s="85"/>
    </row>
    <row r="207" spans="15:18" x14ac:dyDescent="0.25">
      <c r="O207" s="85"/>
    </row>
  </sheetData>
  <mergeCells count="32">
    <mergeCell ref="A8:C8"/>
    <mergeCell ref="A9:A10"/>
    <mergeCell ref="B9:B10"/>
    <mergeCell ref="D9:D10"/>
    <mergeCell ref="A7:U7"/>
    <mergeCell ref="E9:I9"/>
    <mergeCell ref="J9:M9"/>
    <mergeCell ref="N9:U9"/>
    <mergeCell ref="A12:A43"/>
    <mergeCell ref="B12:B23"/>
    <mergeCell ref="B24:B29"/>
    <mergeCell ref="A44:A70"/>
    <mergeCell ref="B44:B52"/>
    <mergeCell ref="B53:B58"/>
    <mergeCell ref="B60:B63"/>
    <mergeCell ref="B31:B35"/>
    <mergeCell ref="B189:M189"/>
    <mergeCell ref="A71:A98"/>
    <mergeCell ref="B71:B79"/>
    <mergeCell ref="B80:B85"/>
    <mergeCell ref="B87:B91"/>
    <mergeCell ref="A164:A188"/>
    <mergeCell ref="B164:B169"/>
    <mergeCell ref="B170:B172"/>
    <mergeCell ref="A99:A129"/>
    <mergeCell ref="B99:B109"/>
    <mergeCell ref="B110:B117"/>
    <mergeCell ref="B119:B122"/>
    <mergeCell ref="A130:A163"/>
    <mergeCell ref="B130:B140"/>
    <mergeCell ref="B141:B149"/>
    <mergeCell ref="B150:B155"/>
  </mergeCells>
  <pageMargins left="0.70866141732283472" right="0.70866141732283472" top="0.74803149606299213" bottom="0.74803149606299213" header="0.31496062992125984" footer="0.31496062992125984"/>
  <pageSetup paperSize="9" scale="4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K1" sqref="K1"/>
    </sheetView>
  </sheetViews>
  <sheetFormatPr defaultColWidth="9.140625" defaultRowHeight="15" x14ac:dyDescent="0.25"/>
  <cols>
    <col min="1" max="1" width="19.42578125" style="80" customWidth="1"/>
    <col min="2" max="2" width="26.28515625" style="80" customWidth="1"/>
    <col min="3" max="3" width="23.710937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14" style="80" customWidth="1"/>
    <col min="8" max="9" width="12.7109375" style="80" customWidth="1"/>
    <col min="10" max="10" width="17.28515625" style="80" customWidth="1"/>
    <col min="11" max="11" width="16" style="80" customWidth="1"/>
    <col min="12" max="12" width="21.28515625" style="80" customWidth="1"/>
    <col min="13" max="13" width="13.5703125" style="80" customWidth="1"/>
    <col min="14" max="14" width="16.7109375" style="80" customWidth="1"/>
    <col min="15" max="16" width="15.42578125" style="80" customWidth="1"/>
    <col min="17" max="19" width="14.7109375" style="80" customWidth="1"/>
    <col min="20" max="20" width="14.28515625" style="80" customWidth="1"/>
    <col min="21" max="21" width="14.140625" style="80" customWidth="1"/>
    <col min="22" max="22" width="14.85546875" style="80" bestFit="1" customWidth="1"/>
    <col min="23" max="23" width="15.28515625" style="80" customWidth="1"/>
    <col min="24" max="24" width="13.5703125" style="80" bestFit="1" customWidth="1"/>
    <col min="25" max="25" width="9.42578125" style="80" bestFit="1" customWidth="1"/>
    <col min="26" max="16384" width="9.140625" style="80"/>
  </cols>
  <sheetData>
    <row r="1" spans="1:22" x14ac:dyDescent="0.25">
      <c r="K1" s="117" t="s">
        <v>286</v>
      </c>
      <c r="T1" s="117"/>
    </row>
    <row r="2" spans="1:22" x14ac:dyDescent="0.25">
      <c r="K2" s="117" t="s">
        <v>285</v>
      </c>
      <c r="T2" s="117"/>
    </row>
    <row r="3" spans="1:22" x14ac:dyDescent="0.25">
      <c r="K3" s="117" t="s">
        <v>175</v>
      </c>
      <c r="T3" s="117"/>
    </row>
    <row r="4" spans="1:22" x14ac:dyDescent="0.25">
      <c r="K4" s="117" t="s">
        <v>256</v>
      </c>
      <c r="T4" s="117"/>
    </row>
    <row r="5" spans="1:22" x14ac:dyDescent="0.25">
      <c r="A5" s="271" t="s">
        <v>207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182"/>
      <c r="N5" s="182"/>
      <c r="O5" s="182"/>
      <c r="P5" s="81"/>
      <c r="Q5" s="81"/>
      <c r="R5" s="81"/>
      <c r="S5" s="81"/>
      <c r="T5" s="182"/>
      <c r="U5" s="182"/>
      <c r="V5" s="182"/>
    </row>
    <row r="6" spans="1:22" x14ac:dyDescent="0.25">
      <c r="A6" s="96" t="s">
        <v>156</v>
      </c>
    </row>
    <row r="7" spans="1:22" ht="30" x14ac:dyDescent="0.25">
      <c r="A7" s="178" t="s">
        <v>3</v>
      </c>
      <c r="B7" s="178" t="s">
        <v>81</v>
      </c>
      <c r="C7" s="178" t="s">
        <v>4</v>
      </c>
      <c r="D7" s="295" t="s">
        <v>5</v>
      </c>
      <c r="E7" s="295"/>
      <c r="F7" s="295"/>
      <c r="G7" s="295"/>
      <c r="H7" s="295"/>
      <c r="I7" s="276" t="s">
        <v>6</v>
      </c>
      <c r="J7" s="276" t="s">
        <v>7</v>
      </c>
      <c r="K7" s="276"/>
      <c r="L7" s="276"/>
    </row>
    <row r="8" spans="1:22" ht="30" x14ac:dyDescent="0.25">
      <c r="A8" s="82"/>
      <c r="B8" s="82"/>
      <c r="C8" s="82"/>
      <c r="D8" s="179" t="s">
        <v>176</v>
      </c>
      <c r="E8" s="180" t="s">
        <v>208</v>
      </c>
      <c r="F8" s="178" t="s">
        <v>206</v>
      </c>
      <c r="G8" s="179" t="s">
        <v>183</v>
      </c>
      <c r="H8" s="179" t="s">
        <v>211</v>
      </c>
      <c r="I8" s="276"/>
      <c r="J8" s="205" t="s">
        <v>176</v>
      </c>
      <c r="K8" s="179" t="s">
        <v>183</v>
      </c>
      <c r="L8" s="179" t="s">
        <v>205</v>
      </c>
    </row>
    <row r="9" spans="1:22" ht="75" x14ac:dyDescent="0.25">
      <c r="A9" s="83" t="s">
        <v>13</v>
      </c>
      <c r="B9" s="83" t="s">
        <v>14</v>
      </c>
      <c r="C9" s="178" t="s">
        <v>15</v>
      </c>
      <c r="D9" s="83" t="s">
        <v>16</v>
      </c>
      <c r="E9" s="83" t="s">
        <v>16</v>
      </c>
      <c r="F9" s="83" t="s">
        <v>16</v>
      </c>
      <c r="G9" s="83" t="s">
        <v>16</v>
      </c>
      <c r="H9" s="83" t="s">
        <v>16</v>
      </c>
      <c r="I9" s="178" t="s">
        <v>17</v>
      </c>
      <c r="J9" s="204" t="s">
        <v>17</v>
      </c>
      <c r="K9" s="178" t="s">
        <v>17</v>
      </c>
      <c r="L9" s="178" t="s">
        <v>17</v>
      </c>
    </row>
    <row r="10" spans="1:22" ht="82.9" customHeight="1" x14ac:dyDescent="0.25">
      <c r="A10" s="106" t="s">
        <v>157</v>
      </c>
      <c r="B10" s="201" t="s">
        <v>245</v>
      </c>
      <c r="C10" s="82" t="s">
        <v>177</v>
      </c>
      <c r="D10" s="184">
        <v>50400</v>
      </c>
      <c r="E10" s="184">
        <v>50400</v>
      </c>
      <c r="F10" s="184">
        <v>50400</v>
      </c>
      <c r="G10" s="184">
        <v>50400</v>
      </c>
      <c r="H10" s="184">
        <v>50400</v>
      </c>
      <c r="I10" s="75">
        <f>86.95+0.14732+0.2455+0.324082265+Q15+0.708188478+1.003515787</f>
        <v>93.170756079</v>
      </c>
      <c r="J10" s="75">
        <f>I10*D10</f>
        <v>4695806.1063815998</v>
      </c>
      <c r="K10" s="75">
        <f>I10*G10</f>
        <v>4695806.1063815998</v>
      </c>
      <c r="L10" s="75">
        <f t="shared" ref="L10:L17" si="0">K10</f>
        <v>4695806.1063815998</v>
      </c>
      <c r="M10" s="85"/>
      <c r="N10" s="85"/>
    </row>
    <row r="11" spans="1:22" ht="89.45" customHeight="1" x14ac:dyDescent="0.25">
      <c r="A11" s="106" t="s">
        <v>157</v>
      </c>
      <c r="B11" s="201" t="s">
        <v>246</v>
      </c>
      <c r="C11" s="82" t="s">
        <v>177</v>
      </c>
      <c r="D11" s="184">
        <v>18792</v>
      </c>
      <c r="E11" s="184">
        <v>18792</v>
      </c>
      <c r="F11" s="184">
        <v>18792</v>
      </c>
      <c r="G11" s="184">
        <v>18792</v>
      </c>
      <c r="H11" s="184">
        <v>18792</v>
      </c>
      <c r="I11" s="75">
        <f>94.37+0.14732+0.2455+0.324082265+Q15+0.708188498+1.003515787</f>
        <v>100.590756099</v>
      </c>
      <c r="J11" s="75">
        <f>I11*D11</f>
        <v>1890301.4886124081</v>
      </c>
      <c r="K11" s="75">
        <f t="shared" ref="K11:K17" si="1">J11</f>
        <v>1890301.4886124081</v>
      </c>
      <c r="L11" s="75">
        <f t="shared" si="0"/>
        <v>1890301.4886124081</v>
      </c>
      <c r="M11" s="85"/>
      <c r="N11" s="85"/>
    </row>
    <row r="12" spans="1:22" ht="104.45" customHeight="1" x14ac:dyDescent="0.25">
      <c r="A12" s="106" t="s">
        <v>157</v>
      </c>
      <c r="B12" s="201" t="s">
        <v>247</v>
      </c>
      <c r="C12" s="82" t="s">
        <v>177</v>
      </c>
      <c r="D12" s="184">
        <v>14580</v>
      </c>
      <c r="E12" s="184">
        <v>14580</v>
      </c>
      <c r="F12" s="184">
        <v>14580</v>
      </c>
      <c r="G12" s="184">
        <v>14580</v>
      </c>
      <c r="H12" s="184">
        <v>14580</v>
      </c>
      <c r="I12" s="75">
        <f>66.37+0.14732+0.2455+0.324082265+Q15+0.708188498+1.003515787</f>
        <v>72.590756099000004</v>
      </c>
      <c r="J12" s="75">
        <f>I12*D12</f>
        <v>1058373.2239234201</v>
      </c>
      <c r="K12" s="75">
        <f t="shared" si="1"/>
        <v>1058373.2239234201</v>
      </c>
      <c r="L12" s="75">
        <f t="shared" si="0"/>
        <v>1058373.2239234201</v>
      </c>
      <c r="M12" s="85"/>
      <c r="N12" s="85"/>
    </row>
    <row r="13" spans="1:22" ht="89.45" customHeight="1" x14ac:dyDescent="0.25">
      <c r="A13" s="106" t="s">
        <v>157</v>
      </c>
      <c r="B13" s="201" t="s">
        <v>248</v>
      </c>
      <c r="C13" s="82" t="s">
        <v>177</v>
      </c>
      <c r="D13" s="184">
        <v>31680</v>
      </c>
      <c r="E13" s="184">
        <v>31680</v>
      </c>
      <c r="F13" s="184">
        <v>31680</v>
      </c>
      <c r="G13" s="184">
        <v>31680</v>
      </c>
      <c r="H13" s="184">
        <v>31680</v>
      </c>
      <c r="I13" s="75">
        <f>74.78+0.14732+0.2455+0.324082265+Q15+0.708188498+1.003515787</f>
        <v>81.000756099</v>
      </c>
      <c r="J13" s="75">
        <f>I13*D13</f>
        <v>2566103.9532163199</v>
      </c>
      <c r="K13" s="75">
        <f t="shared" si="1"/>
        <v>2566103.9532163199</v>
      </c>
      <c r="L13" s="75">
        <f t="shared" si="0"/>
        <v>2566103.9532163199</v>
      </c>
      <c r="M13" s="85"/>
      <c r="N13" s="85"/>
    </row>
    <row r="14" spans="1:22" ht="94.15" customHeight="1" x14ac:dyDescent="0.25">
      <c r="A14" s="106"/>
      <c r="B14" s="201" t="s">
        <v>249</v>
      </c>
      <c r="C14" s="82" t="s">
        <v>177</v>
      </c>
      <c r="D14" s="184">
        <v>88200</v>
      </c>
      <c r="E14" s="184">
        <v>88200</v>
      </c>
      <c r="F14" s="184">
        <v>88200</v>
      </c>
      <c r="G14" s="184">
        <v>88200</v>
      </c>
      <c r="H14" s="184">
        <v>88200</v>
      </c>
      <c r="I14" s="75">
        <f>78.73+0.14732+0.2455+0.324082265+Q15+0.708188498+1.003515787</f>
        <v>84.950756099000003</v>
      </c>
      <c r="J14" s="75">
        <f>I14*D14</f>
        <v>7492656.6879318003</v>
      </c>
      <c r="K14" s="75">
        <f t="shared" si="1"/>
        <v>7492656.6879318003</v>
      </c>
      <c r="L14" s="75">
        <f t="shared" si="0"/>
        <v>7492656.6879318003</v>
      </c>
      <c r="M14" s="85"/>
      <c r="N14" s="85"/>
      <c r="O14" s="85"/>
    </row>
    <row r="15" spans="1:22" ht="42.6" customHeight="1" x14ac:dyDescent="0.25">
      <c r="A15" s="106" t="s">
        <v>254</v>
      </c>
      <c r="B15" s="199" t="s">
        <v>238</v>
      </c>
      <c r="C15" s="82"/>
      <c r="D15" s="184">
        <f>SUM(D10:D14)</f>
        <v>203652</v>
      </c>
      <c r="E15" s="184">
        <f t="shared" ref="E15:L15" si="2">SUM(E10:E14)</f>
        <v>203652</v>
      </c>
      <c r="F15" s="184">
        <f t="shared" si="2"/>
        <v>203652</v>
      </c>
      <c r="G15" s="184">
        <f t="shared" si="2"/>
        <v>203652</v>
      </c>
      <c r="H15" s="184">
        <f t="shared" si="2"/>
        <v>203652</v>
      </c>
      <c r="I15" s="75">
        <f>J15/H15</f>
        <v>86.928885844801655</v>
      </c>
      <c r="J15" s="75">
        <f>SUM(J10:J14)</f>
        <v>17703241.460065547</v>
      </c>
      <c r="K15" s="75">
        <f t="shared" si="2"/>
        <v>17703241.460065547</v>
      </c>
      <c r="L15" s="75">
        <f t="shared" si="2"/>
        <v>17703241.460065547</v>
      </c>
      <c r="M15" s="85">
        <f>J15/H15</f>
        <v>86.928885844801655</v>
      </c>
      <c r="N15" s="85">
        <f>N22-J18</f>
        <v>17703241.459999997</v>
      </c>
      <c r="O15" s="85">
        <f>J15-N15</f>
        <v>6.555020809173584E-5</v>
      </c>
      <c r="P15" s="80">
        <f>O15/H15</f>
        <v>3.218736280111948E-10</v>
      </c>
      <c r="Q15" s="80">
        <v>3.7921495489999999</v>
      </c>
    </row>
    <row r="16" spans="1:22" ht="54.6" customHeight="1" x14ac:dyDescent="0.25">
      <c r="A16" s="106" t="s">
        <v>157</v>
      </c>
      <c r="B16" s="203" t="s">
        <v>253</v>
      </c>
      <c r="C16" s="82" t="s">
        <v>236</v>
      </c>
      <c r="D16" s="184">
        <v>1</v>
      </c>
      <c r="E16" s="184">
        <v>1</v>
      </c>
      <c r="F16" s="184">
        <v>1</v>
      </c>
      <c r="G16" s="184">
        <v>1</v>
      </c>
      <c r="H16" s="184">
        <v>1</v>
      </c>
      <c r="I16" s="75">
        <f>173398.99+110.26+3.43</f>
        <v>173512.68</v>
      </c>
      <c r="J16" s="75">
        <f>D16*I16</f>
        <v>173512.68</v>
      </c>
      <c r="K16" s="75">
        <f t="shared" si="1"/>
        <v>173512.68</v>
      </c>
      <c r="L16" s="75">
        <f t="shared" si="0"/>
        <v>173512.68</v>
      </c>
      <c r="M16" s="85"/>
      <c r="N16" s="85">
        <f>J15+J18</f>
        <v>21099445.580065548</v>
      </c>
      <c r="P16" s="85"/>
    </row>
    <row r="17" spans="1:16" ht="48.6" customHeight="1" x14ac:dyDescent="0.25">
      <c r="A17" s="106"/>
      <c r="B17" s="201" t="s">
        <v>250</v>
      </c>
      <c r="C17" s="82" t="s">
        <v>236</v>
      </c>
      <c r="D17" s="184">
        <v>7</v>
      </c>
      <c r="E17" s="184">
        <v>7</v>
      </c>
      <c r="F17" s="184">
        <v>7</v>
      </c>
      <c r="G17" s="184">
        <v>7</v>
      </c>
      <c r="H17" s="184">
        <v>7</v>
      </c>
      <c r="I17" s="75">
        <v>460384.49</v>
      </c>
      <c r="J17" s="75">
        <f>D17*I17+0.01</f>
        <v>3222691.4399999995</v>
      </c>
      <c r="K17" s="75">
        <f t="shared" si="1"/>
        <v>3222691.4399999995</v>
      </c>
      <c r="L17" s="75">
        <f t="shared" si="0"/>
        <v>3222691.4399999995</v>
      </c>
      <c r="M17" s="85"/>
      <c r="N17" s="85"/>
      <c r="P17" s="85"/>
    </row>
    <row r="18" spans="1:16" ht="41.45" customHeight="1" x14ac:dyDescent="0.25">
      <c r="A18" s="106" t="s">
        <v>255</v>
      </c>
      <c r="B18" s="199" t="s">
        <v>239</v>
      </c>
      <c r="C18" s="82"/>
      <c r="D18" s="200">
        <f>SUM(D16:D17)</f>
        <v>8</v>
      </c>
      <c r="E18" s="200">
        <f t="shared" ref="E18:H18" si="3">SUM(E16:E17)</f>
        <v>8</v>
      </c>
      <c r="F18" s="200">
        <f t="shared" si="3"/>
        <v>8</v>
      </c>
      <c r="G18" s="200">
        <f t="shared" si="3"/>
        <v>8</v>
      </c>
      <c r="H18" s="200">
        <f t="shared" si="3"/>
        <v>8</v>
      </c>
      <c r="I18" s="200">
        <f>J18/H18</f>
        <v>424525.51499999996</v>
      </c>
      <c r="J18" s="75">
        <f t="shared" ref="J18" si="4">SUM(J16:J17)</f>
        <v>3396204.1199999996</v>
      </c>
      <c r="K18" s="75">
        <f t="shared" ref="K18" si="5">SUM(K16:K17)</f>
        <v>3396204.1199999996</v>
      </c>
      <c r="L18" s="75">
        <f t="shared" ref="L18" si="6">SUM(L16:L17)</f>
        <v>3396204.1199999996</v>
      </c>
      <c r="M18" s="85">
        <f>H18*I18</f>
        <v>3396204.1199999996</v>
      </c>
      <c r="P18" s="85"/>
    </row>
    <row r="19" spans="1:16" ht="51" customHeight="1" x14ac:dyDescent="0.25">
      <c r="A19" s="106" t="s">
        <v>157</v>
      </c>
      <c r="B19" s="190" t="s">
        <v>237</v>
      </c>
      <c r="C19" s="183" t="s">
        <v>20</v>
      </c>
      <c r="D19" s="184">
        <v>2</v>
      </c>
      <c r="E19" s="184"/>
      <c r="F19" s="184"/>
      <c r="G19" s="184">
        <v>2</v>
      </c>
      <c r="H19" s="184">
        <v>2</v>
      </c>
      <c r="I19" s="75"/>
      <c r="J19" s="75">
        <f>39300+66162</f>
        <v>105462</v>
      </c>
      <c r="K19" s="75">
        <f>J19</f>
        <v>105462</v>
      </c>
      <c r="L19" s="75">
        <f>J19</f>
        <v>105462</v>
      </c>
      <c r="M19" s="85"/>
      <c r="P19" s="85"/>
    </row>
    <row r="20" spans="1:16" x14ac:dyDescent="0.25">
      <c r="A20" s="183"/>
      <c r="B20" s="185" t="s">
        <v>229</v>
      </c>
      <c r="C20" s="183" t="s">
        <v>20</v>
      </c>
      <c r="D20" s="184">
        <v>20</v>
      </c>
      <c r="E20" s="184">
        <v>20</v>
      </c>
      <c r="F20" s="184">
        <v>20</v>
      </c>
      <c r="G20" s="184">
        <v>20</v>
      </c>
      <c r="H20" s="184">
        <v>20</v>
      </c>
      <c r="I20" s="75"/>
      <c r="J20" s="75">
        <v>4210934</v>
      </c>
      <c r="K20" s="75">
        <f>J20</f>
        <v>4210934</v>
      </c>
      <c r="L20" s="75">
        <f>K20</f>
        <v>4210934</v>
      </c>
      <c r="M20" s="85"/>
    </row>
    <row r="21" spans="1:16" x14ac:dyDescent="0.25">
      <c r="A21" s="296" t="s">
        <v>231</v>
      </c>
      <c r="B21" s="297"/>
      <c r="C21" s="298"/>
      <c r="D21" s="184"/>
      <c r="E21" s="184"/>
      <c r="F21" s="184"/>
      <c r="G21" s="184"/>
      <c r="H21" s="184"/>
      <c r="I21" s="75"/>
      <c r="J21" s="78">
        <f>J15+J18+J19+J20</f>
        <v>25415841.580065548</v>
      </c>
      <c r="K21" s="78">
        <f t="shared" ref="K21:L21" si="7">K15+K18+K19+K20</f>
        <v>25415841.580065548</v>
      </c>
      <c r="L21" s="78">
        <f t="shared" si="7"/>
        <v>25415841.580065548</v>
      </c>
      <c r="M21" s="85">
        <v>25415841.579999998</v>
      </c>
      <c r="N21" s="85">
        <f>M21-J21</f>
        <v>-6.555020809173584E-5</v>
      </c>
      <c r="O21" s="251">
        <f>N21/H15</f>
        <v>-3.218736280111948E-10</v>
      </c>
    </row>
    <row r="22" spans="1:16" ht="135" x14ac:dyDescent="0.25">
      <c r="A22" s="179" t="s">
        <v>160</v>
      </c>
      <c r="B22" s="201" t="s">
        <v>244</v>
      </c>
      <c r="C22" s="82" t="s">
        <v>177</v>
      </c>
      <c r="D22" s="184">
        <v>40824</v>
      </c>
      <c r="E22" s="184">
        <v>40824</v>
      </c>
      <c r="F22" s="184">
        <v>40824</v>
      </c>
      <c r="G22" s="184">
        <v>40824</v>
      </c>
      <c r="H22" s="184">
        <v>40824</v>
      </c>
      <c r="I22" s="75">
        <f>J22/H22</f>
        <v>108.52148540074467</v>
      </c>
      <c r="J22" s="75">
        <f>4063930.12+318800+28871+18680</f>
        <v>4430281.12</v>
      </c>
      <c r="K22" s="75">
        <f>J22</f>
        <v>4430281.12</v>
      </c>
      <c r="L22" s="75">
        <f>K22</f>
        <v>4430281.12</v>
      </c>
      <c r="M22" s="85"/>
      <c r="N22" s="85">
        <f>M21-J19-J20</f>
        <v>21099445.579999998</v>
      </c>
    </row>
    <row r="23" spans="1:16" x14ac:dyDescent="0.25">
      <c r="A23" s="183"/>
      <c r="B23" s="185" t="s">
        <v>229</v>
      </c>
      <c r="C23" s="183" t="s">
        <v>20</v>
      </c>
      <c r="D23" s="183">
        <v>11</v>
      </c>
      <c r="E23" s="183">
        <v>11</v>
      </c>
      <c r="F23" s="183">
        <v>11</v>
      </c>
      <c r="G23" s="183">
        <v>11</v>
      </c>
      <c r="H23" s="183">
        <v>11</v>
      </c>
      <c r="I23" s="183"/>
      <c r="J23" s="249">
        <v>1999266</v>
      </c>
      <c r="K23" s="249">
        <f>J23</f>
        <v>1999266</v>
      </c>
      <c r="L23" s="249">
        <f>K23</f>
        <v>1999266</v>
      </c>
      <c r="N23" s="85"/>
      <c r="P23" s="85"/>
    </row>
    <row r="24" spans="1:16" x14ac:dyDescent="0.25">
      <c r="A24" s="296" t="s">
        <v>231</v>
      </c>
      <c r="B24" s="297"/>
      <c r="C24" s="298"/>
      <c r="D24" s="183"/>
      <c r="E24" s="183"/>
      <c r="F24" s="183"/>
      <c r="G24" s="183"/>
      <c r="H24" s="183"/>
      <c r="I24" s="183"/>
      <c r="J24" s="186">
        <f>J22+J23</f>
        <v>6429547.1200000001</v>
      </c>
      <c r="K24" s="186">
        <f t="shared" ref="K24:L24" si="8">K22+K23</f>
        <v>6429547.1200000001</v>
      </c>
      <c r="L24" s="186">
        <f t="shared" si="8"/>
        <v>6429547.1200000001</v>
      </c>
    </row>
    <row r="25" spans="1:16" x14ac:dyDescent="0.25">
      <c r="A25" s="296" t="s">
        <v>230</v>
      </c>
      <c r="B25" s="297"/>
      <c r="C25" s="298"/>
      <c r="D25" s="185"/>
      <c r="E25" s="185"/>
      <c r="F25" s="185"/>
      <c r="G25" s="185"/>
      <c r="H25" s="185"/>
      <c r="I25" s="185"/>
      <c r="J25" s="186">
        <f>J21+J24</f>
        <v>31845388.700065549</v>
      </c>
      <c r="K25" s="186">
        <f t="shared" ref="K25:L25" si="9">K21+K24</f>
        <v>31845388.700065549</v>
      </c>
      <c r="L25" s="186">
        <f t="shared" si="9"/>
        <v>31845388.700065549</v>
      </c>
    </row>
    <row r="26" spans="1:16" x14ac:dyDescent="0.25">
      <c r="J26" s="85"/>
    </row>
    <row r="29" spans="1:16" x14ac:dyDescent="0.25">
      <c r="A29" s="80" t="s">
        <v>235</v>
      </c>
    </row>
    <row r="30" spans="1:16" x14ac:dyDescent="0.25">
      <c r="A30" s="80" t="s">
        <v>178</v>
      </c>
    </row>
  </sheetData>
  <mergeCells count="7">
    <mergeCell ref="A5:L5"/>
    <mergeCell ref="A21:C21"/>
    <mergeCell ref="A24:C24"/>
    <mergeCell ref="A25:C25"/>
    <mergeCell ref="D7:H7"/>
    <mergeCell ref="I7:I8"/>
    <mergeCell ref="J7:L7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63"/>
  <sheetViews>
    <sheetView zoomScale="60" zoomScaleNormal="60" workbookViewId="0">
      <pane xSplit="1" ySplit="13" topLeftCell="F111" activePane="bottomRight" state="frozen"/>
      <selection pane="topRight" activeCell="B1" sqref="B1"/>
      <selection pane="bottomLeft" activeCell="A12" sqref="A12"/>
      <selection pane="bottomRight" activeCell="N5" sqref="N5"/>
    </sheetView>
  </sheetViews>
  <sheetFormatPr defaultColWidth="9.140625" defaultRowHeight="15" x14ac:dyDescent="0.25"/>
  <cols>
    <col min="1" max="1" width="27" style="80" customWidth="1"/>
    <col min="2" max="2" width="19.85546875" style="80" customWidth="1"/>
    <col min="3" max="3" width="23.7109375" style="80" customWidth="1"/>
    <col min="4" max="4" width="8.7109375" style="80" customWidth="1"/>
    <col min="5" max="5" width="18.28515625" style="80" customWidth="1"/>
    <col min="6" max="6" width="13.28515625" style="80" customWidth="1"/>
    <col min="7" max="7" width="14" style="80" customWidth="1"/>
    <col min="8" max="9" width="12.7109375" style="80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80" customWidth="1"/>
    <col min="14" max="14" width="16.7109375" style="80" customWidth="1"/>
    <col min="15" max="16" width="15.42578125" style="80" customWidth="1"/>
    <col min="17" max="19" width="14.7109375" style="80" customWidth="1"/>
    <col min="20" max="20" width="19.140625" style="80" customWidth="1"/>
    <col min="21" max="21" width="16.28515625" style="80" customWidth="1"/>
    <col min="22" max="22" width="16" style="80" customWidth="1"/>
    <col min="23" max="23" width="15.28515625" style="80" customWidth="1"/>
    <col min="24" max="24" width="13.5703125" style="80" customWidth="1"/>
    <col min="25" max="25" width="18.7109375" style="80" customWidth="1"/>
    <col min="26" max="16384" width="9.140625" style="80"/>
  </cols>
  <sheetData>
    <row r="1" spans="1:25" hidden="1" x14ac:dyDescent="0.25">
      <c r="T1" s="117" t="s">
        <v>203</v>
      </c>
    </row>
    <row r="2" spans="1:25" hidden="1" x14ac:dyDescent="0.25">
      <c r="T2" s="117" t="s">
        <v>204</v>
      </c>
    </row>
    <row r="3" spans="1:25" x14ac:dyDescent="0.25">
      <c r="T3" s="117" t="s">
        <v>286</v>
      </c>
    </row>
    <row r="4" spans="1:25" x14ac:dyDescent="0.25">
      <c r="T4" s="117" t="s">
        <v>285</v>
      </c>
    </row>
    <row r="5" spans="1:25" x14ac:dyDescent="0.25">
      <c r="T5" s="117" t="s">
        <v>175</v>
      </c>
    </row>
    <row r="6" spans="1:25" x14ac:dyDescent="0.25">
      <c r="T6" s="117" t="s">
        <v>256</v>
      </c>
    </row>
    <row r="7" spans="1:25" x14ac:dyDescent="0.25">
      <c r="A7" s="299" t="s">
        <v>207</v>
      </c>
      <c r="B7" s="299"/>
      <c r="C7" s="300"/>
      <c r="D7" s="299"/>
      <c r="E7" s="299"/>
      <c r="F7" s="300"/>
      <c r="G7" s="300"/>
      <c r="H7" s="299"/>
      <c r="I7" s="299"/>
      <c r="J7" s="299"/>
      <c r="K7" s="300"/>
      <c r="L7" s="299"/>
      <c r="M7" s="299"/>
      <c r="N7" s="299"/>
      <c r="O7" s="299"/>
      <c r="P7" s="300"/>
      <c r="Q7" s="300"/>
      <c r="R7" s="300"/>
      <c r="S7" s="300"/>
      <c r="T7" s="299"/>
      <c r="U7" s="299"/>
      <c r="V7" s="299"/>
    </row>
    <row r="8" spans="1:25" x14ac:dyDescent="0.25">
      <c r="A8" s="81" t="s">
        <v>155</v>
      </c>
    </row>
    <row r="10" spans="1:25" ht="45" x14ac:dyDescent="0.25">
      <c r="A10" s="178" t="s">
        <v>3</v>
      </c>
      <c r="B10" s="212" t="s">
        <v>81</v>
      </c>
      <c r="C10" s="212" t="s">
        <v>152</v>
      </c>
      <c r="D10" s="212" t="s">
        <v>4</v>
      </c>
      <c r="E10" s="133" t="s">
        <v>5</v>
      </c>
      <c r="F10" s="134"/>
      <c r="G10" s="134"/>
      <c r="H10" s="134"/>
      <c r="I10" s="135"/>
      <c r="J10" s="273" t="s">
        <v>6</v>
      </c>
      <c r="K10" s="301"/>
      <c r="L10" s="301"/>
      <c r="M10" s="302"/>
      <c r="N10" s="276" t="s">
        <v>7</v>
      </c>
      <c r="O10" s="276"/>
      <c r="P10" s="276"/>
      <c r="Q10" s="276"/>
      <c r="R10" s="276"/>
      <c r="S10" s="276"/>
      <c r="T10" s="276"/>
      <c r="U10" s="276"/>
      <c r="V10" s="276"/>
    </row>
    <row r="11" spans="1:25" x14ac:dyDescent="0.25">
      <c r="A11" s="178"/>
      <c r="B11" s="212"/>
      <c r="C11" s="212"/>
      <c r="D11" s="212"/>
      <c r="E11" s="279"/>
      <c r="F11" s="280"/>
      <c r="G11" s="281"/>
      <c r="H11" s="215"/>
      <c r="I11" s="215"/>
      <c r="J11" s="212"/>
      <c r="K11" s="212"/>
      <c r="L11" s="250"/>
      <c r="M11" s="212"/>
      <c r="N11" s="273"/>
      <c r="O11" s="284"/>
      <c r="P11" s="284"/>
      <c r="Q11" s="284"/>
      <c r="R11" s="284"/>
      <c r="S11" s="284"/>
      <c r="T11" s="285"/>
      <c r="U11" s="247"/>
      <c r="V11" s="247"/>
    </row>
    <row r="12" spans="1:25" ht="75" x14ac:dyDescent="0.25">
      <c r="A12" s="82"/>
      <c r="B12" s="82"/>
      <c r="C12" s="82"/>
      <c r="D12" s="82"/>
      <c r="E12" s="212" t="s">
        <v>176</v>
      </c>
      <c r="F12" s="214" t="s">
        <v>208</v>
      </c>
      <c r="G12" s="189" t="s">
        <v>212</v>
      </c>
      <c r="H12" s="213" t="s">
        <v>183</v>
      </c>
      <c r="I12" s="213" t="s">
        <v>205</v>
      </c>
      <c r="J12" s="83" t="s">
        <v>79</v>
      </c>
      <c r="K12" s="212" t="s">
        <v>224</v>
      </c>
      <c r="L12" s="83" t="s">
        <v>11</v>
      </c>
      <c r="M12" s="213" t="s">
        <v>12</v>
      </c>
      <c r="N12" s="277" t="s">
        <v>176</v>
      </c>
      <c r="O12" s="277"/>
      <c r="P12" s="277"/>
      <c r="Q12" s="277"/>
      <c r="R12" s="277"/>
      <c r="S12" s="277"/>
      <c r="T12" s="277"/>
      <c r="U12" s="248" t="s">
        <v>183</v>
      </c>
      <c r="V12" s="248" t="s">
        <v>205</v>
      </c>
    </row>
    <row r="13" spans="1:25" ht="75" x14ac:dyDescent="0.25">
      <c r="A13" s="83" t="s">
        <v>13</v>
      </c>
      <c r="B13" s="83" t="s">
        <v>14</v>
      </c>
      <c r="C13" s="83"/>
      <c r="D13" s="212" t="s">
        <v>15</v>
      </c>
      <c r="E13" s="83" t="s">
        <v>16</v>
      </c>
      <c r="F13" s="83" t="s">
        <v>16</v>
      </c>
      <c r="G13" s="83" t="s">
        <v>16</v>
      </c>
      <c r="H13" s="83" t="s">
        <v>16</v>
      </c>
      <c r="I13" s="83" t="s">
        <v>16</v>
      </c>
      <c r="J13" s="212" t="s">
        <v>17</v>
      </c>
      <c r="K13" s="212" t="s">
        <v>17</v>
      </c>
      <c r="L13" s="250" t="s">
        <v>17</v>
      </c>
      <c r="M13" s="212" t="s">
        <v>17</v>
      </c>
      <c r="N13" s="212" t="s">
        <v>85</v>
      </c>
      <c r="O13" s="212" t="s">
        <v>83</v>
      </c>
      <c r="P13" s="84" t="s">
        <v>228</v>
      </c>
      <c r="Q13" s="250" t="s">
        <v>84</v>
      </c>
      <c r="R13" s="84" t="s">
        <v>227</v>
      </c>
      <c r="S13" s="84" t="s">
        <v>258</v>
      </c>
      <c r="T13" s="247" t="s">
        <v>12</v>
      </c>
      <c r="U13" s="247" t="s">
        <v>17</v>
      </c>
      <c r="V13" s="247" t="s">
        <v>17</v>
      </c>
    </row>
    <row r="14" spans="1:25" ht="21.6" customHeight="1" x14ac:dyDescent="0.25">
      <c r="A14" s="195" t="s">
        <v>18</v>
      </c>
      <c r="B14" s="82"/>
      <c r="C14" s="82"/>
      <c r="D14" s="82"/>
      <c r="E14" s="72"/>
      <c r="F14" s="72"/>
      <c r="G14" s="72"/>
      <c r="H14" s="72"/>
      <c r="I14" s="72"/>
      <c r="J14" s="75"/>
      <c r="K14" s="75"/>
      <c r="L14" s="75"/>
      <c r="M14" s="75"/>
      <c r="N14" s="78">
        <f>N15+N20</f>
        <v>6609323</v>
      </c>
      <c r="O14" s="78">
        <f>O15+O20</f>
        <v>2703555.9983392479</v>
      </c>
      <c r="P14" s="78">
        <f>P15</f>
        <v>673916</v>
      </c>
      <c r="Q14" s="78">
        <f>Q15+Q20</f>
        <v>3941178.5699963998</v>
      </c>
      <c r="R14" s="78">
        <f>R15</f>
        <v>2360337</v>
      </c>
      <c r="S14" s="78">
        <f>S15</f>
        <v>1518868.56</v>
      </c>
      <c r="T14" s="78">
        <f>T15+T20+T21</f>
        <v>17807179.128335647</v>
      </c>
      <c r="U14" s="78">
        <f t="shared" ref="U14:V14" si="0">U15+U20+U21</f>
        <v>17807179.128335644</v>
      </c>
      <c r="V14" s="78">
        <f t="shared" si="0"/>
        <v>17807179.128335644</v>
      </c>
      <c r="W14" s="80">
        <v>3941178.57</v>
      </c>
      <c r="X14" s="85">
        <f>W14-Q14</f>
        <v>3.6000274121761322E-6</v>
      </c>
      <c r="Y14" s="80">
        <f>X14/I20</f>
        <v>2.9032479130452678E-8</v>
      </c>
    </row>
    <row r="15" spans="1:25" ht="91.9" customHeight="1" x14ac:dyDescent="0.25">
      <c r="A15" s="201" t="s">
        <v>251</v>
      </c>
      <c r="B15" s="84" t="s">
        <v>76</v>
      </c>
      <c r="C15" s="84"/>
      <c r="D15" s="82"/>
      <c r="E15" s="72"/>
      <c r="F15" s="72"/>
      <c r="G15" s="72"/>
      <c r="H15" s="72"/>
      <c r="I15" s="72"/>
      <c r="J15" s="75"/>
      <c r="K15" s="75"/>
      <c r="L15" s="75"/>
      <c r="M15" s="75"/>
      <c r="N15" s="75">
        <f>N16+N17+N19+N18</f>
        <v>6609323</v>
      </c>
      <c r="O15" s="75">
        <f>O16+O17+O19+O18+O24</f>
        <v>2703555.9983392479</v>
      </c>
      <c r="P15" s="75">
        <f>P23</f>
        <v>673916</v>
      </c>
      <c r="Q15" s="75">
        <f>Q16+Q17+Q18+Q19</f>
        <v>2465614.1419963995</v>
      </c>
      <c r="R15" s="75">
        <f>R22</f>
        <v>2360337</v>
      </c>
      <c r="S15" s="75">
        <f>S21</f>
        <v>1518868.56</v>
      </c>
      <c r="T15" s="75">
        <f>T16+T17+T19+T18+T22+T23+T24</f>
        <v>14812746.140335649</v>
      </c>
      <c r="U15" s="75">
        <f t="shared" ref="U15:V15" si="1">U16+U17+U19+U18+U22+U23+U24</f>
        <v>14812746.140335646</v>
      </c>
      <c r="V15" s="75">
        <f t="shared" si="1"/>
        <v>14812746.140335646</v>
      </c>
      <c r="X15" s="85"/>
    </row>
    <row r="16" spans="1:25" ht="105" x14ac:dyDescent="0.25">
      <c r="A16" s="83"/>
      <c r="B16" s="97" t="s">
        <v>19</v>
      </c>
      <c r="C16" s="93" t="s">
        <v>0</v>
      </c>
      <c r="D16" s="86" t="s">
        <v>20</v>
      </c>
      <c r="E16" s="87">
        <v>20</v>
      </c>
      <c r="F16" s="87">
        <v>20</v>
      </c>
      <c r="G16" s="87">
        <f>(E16*8+F16*4)/12</f>
        <v>20</v>
      </c>
      <c r="H16" s="87">
        <v>20</v>
      </c>
      <c r="I16" s="87">
        <v>20</v>
      </c>
      <c r="J16" s="75">
        <v>49378.38</v>
      </c>
      <c r="K16" s="75">
        <v>21614.746317252</v>
      </c>
      <c r="L16" s="75">
        <f>18972.01+207.38+704.5950161</f>
        <v>19883.985016099999</v>
      </c>
      <c r="M16" s="75">
        <f>J16+K16+L16</f>
        <v>90877.11133335199</v>
      </c>
      <c r="N16" s="75">
        <f>G16*J16-0.16-0.05</f>
        <v>987567.3899999999</v>
      </c>
      <c r="O16" s="75">
        <f>G16*K16-0.545</f>
        <v>432294.38134503999</v>
      </c>
      <c r="P16" s="75"/>
      <c r="Q16" s="75">
        <f>G16*L16</f>
        <v>397679.70032199996</v>
      </c>
      <c r="R16" s="75"/>
      <c r="S16" s="75">
        <v>0</v>
      </c>
      <c r="T16" s="75">
        <f>SUM(N16:Q16)</f>
        <v>1817541.4716670397</v>
      </c>
      <c r="U16" s="75">
        <f>T16</f>
        <v>1817541.4716670397</v>
      </c>
      <c r="V16" s="75">
        <f>U16</f>
        <v>1817541.4716670397</v>
      </c>
      <c r="X16" s="85"/>
    </row>
    <row r="17" spans="1:25" x14ac:dyDescent="0.25">
      <c r="A17" s="88"/>
      <c r="B17" s="97" t="s">
        <v>24</v>
      </c>
      <c r="C17" s="127"/>
      <c r="D17" s="213" t="s">
        <v>20</v>
      </c>
      <c r="E17" s="87">
        <v>63</v>
      </c>
      <c r="F17" s="87">
        <v>63</v>
      </c>
      <c r="G17" s="87">
        <f>(E17*8+F17*4)/12</f>
        <v>63</v>
      </c>
      <c r="H17" s="87">
        <v>63</v>
      </c>
      <c r="I17" s="87">
        <v>63</v>
      </c>
      <c r="J17" s="75">
        <v>39098.57</v>
      </c>
      <c r="K17" s="75">
        <v>21614.746317252</v>
      </c>
      <c r="L17" s="75">
        <f t="shared" ref="L17:L19" si="2">18972.01+207.38+704.5950161</f>
        <v>19883.985016099999</v>
      </c>
      <c r="M17" s="75">
        <f>J17+K17+L17</f>
        <v>80597.301333351992</v>
      </c>
      <c r="N17" s="75">
        <f>G17*J17</f>
        <v>2463209.91</v>
      </c>
      <c r="O17" s="75">
        <f>G17*K17</f>
        <v>1361729.017986876</v>
      </c>
      <c r="P17" s="75"/>
      <c r="Q17" s="75">
        <f>G17*L17</f>
        <v>1252691.0560142999</v>
      </c>
      <c r="R17" s="75"/>
      <c r="S17" s="75">
        <v>0</v>
      </c>
      <c r="T17" s="75">
        <f>SUM(N17:Q17)</f>
        <v>5077629.9840011764</v>
      </c>
      <c r="U17" s="75">
        <f>H17*M17</f>
        <v>5077629.9840011755</v>
      </c>
      <c r="V17" s="75">
        <f>I17*M17</f>
        <v>5077629.9840011755</v>
      </c>
      <c r="X17" s="85"/>
    </row>
    <row r="18" spans="1:25" ht="105" x14ac:dyDescent="0.25">
      <c r="A18" s="88"/>
      <c r="B18" s="97" t="s">
        <v>24</v>
      </c>
      <c r="C18" s="93" t="s">
        <v>179</v>
      </c>
      <c r="D18" s="213" t="s">
        <v>20</v>
      </c>
      <c r="E18" s="87">
        <v>41</v>
      </c>
      <c r="F18" s="87">
        <v>41</v>
      </c>
      <c r="G18" s="87">
        <f>(E18*8+F18*4)/12</f>
        <v>41</v>
      </c>
      <c r="H18" s="87">
        <v>41</v>
      </c>
      <c r="I18" s="87">
        <v>41</v>
      </c>
      <c r="J18" s="207">
        <v>77037.7</v>
      </c>
      <c r="K18" s="75">
        <v>21614.746317252</v>
      </c>
      <c r="L18" s="75">
        <f t="shared" si="2"/>
        <v>19883.985016099999</v>
      </c>
      <c r="M18" s="75">
        <f>J18+K18+L18</f>
        <v>118536.431333352</v>
      </c>
      <c r="N18" s="75">
        <f>G18*J18</f>
        <v>3158545.6999999997</v>
      </c>
      <c r="O18" s="75">
        <f>G18*K18</f>
        <v>886204.599007332</v>
      </c>
      <c r="P18" s="75"/>
      <c r="Q18" s="75">
        <f>G18*L18</f>
        <v>815243.38566010003</v>
      </c>
      <c r="R18" s="75"/>
      <c r="S18" s="75">
        <v>0</v>
      </c>
      <c r="T18" s="75">
        <f>SUM(N18:Q18)</f>
        <v>4859993.6846674317</v>
      </c>
      <c r="U18" s="75">
        <f>H18*M18</f>
        <v>4859993.6846674317</v>
      </c>
      <c r="V18" s="75">
        <f>I18*M18</f>
        <v>4859993.6846674317</v>
      </c>
      <c r="X18" s="85"/>
    </row>
    <row r="19" spans="1:25" ht="120" x14ac:dyDescent="0.25">
      <c r="A19" s="88"/>
      <c r="B19" s="97" t="s">
        <v>24</v>
      </c>
      <c r="C19" s="93" t="s">
        <v>162</v>
      </c>
      <c r="D19" s="213" t="s">
        <v>20</v>
      </c>
      <c r="E19" s="87">
        <v>0</v>
      </c>
      <c r="F19" s="87">
        <v>0</v>
      </c>
      <c r="G19" s="87">
        <f>(E19*8+F19*4)/12</f>
        <v>0</v>
      </c>
      <c r="H19" s="87">
        <v>0</v>
      </c>
      <c r="I19" s="87">
        <v>0</v>
      </c>
      <c r="J19" s="208">
        <v>57312.38</v>
      </c>
      <c r="K19" s="75">
        <v>21614.746317252</v>
      </c>
      <c r="L19" s="75">
        <f t="shared" si="2"/>
        <v>19883.985016099999</v>
      </c>
      <c r="M19" s="75">
        <f>J19+K19+L19</f>
        <v>98811.11133335199</v>
      </c>
      <c r="N19" s="75">
        <f>G19*J19</f>
        <v>0</v>
      </c>
      <c r="O19" s="75">
        <f>G19*K19</f>
        <v>0</v>
      </c>
      <c r="P19" s="75"/>
      <c r="Q19" s="75">
        <f>G19*L19</f>
        <v>0</v>
      </c>
      <c r="R19" s="75"/>
      <c r="S19" s="75">
        <v>0</v>
      </c>
      <c r="T19" s="75">
        <f t="shared" ref="T19:T142" si="3">SUM(N19:Q19)</f>
        <v>0</v>
      </c>
      <c r="U19" s="75">
        <f>H19*M19</f>
        <v>0</v>
      </c>
      <c r="V19" s="75">
        <f t="shared" ref="V19:V135" si="4">I19*M19</f>
        <v>0</v>
      </c>
      <c r="X19" s="85"/>
    </row>
    <row r="20" spans="1:25" ht="72" customHeight="1" x14ac:dyDescent="0.25">
      <c r="A20" s="201" t="s">
        <v>252</v>
      </c>
      <c r="B20" s="213" t="s">
        <v>28</v>
      </c>
      <c r="C20" s="127" t="s">
        <v>219</v>
      </c>
      <c r="D20" s="82"/>
      <c r="E20" s="87">
        <f>E19+E18+E17+E16</f>
        <v>124</v>
      </c>
      <c r="F20" s="87">
        <f>F19+F18+F17+F16</f>
        <v>124</v>
      </c>
      <c r="G20" s="87">
        <f>(E20*8+F20*4)/12</f>
        <v>124</v>
      </c>
      <c r="H20" s="87">
        <f>H19+H18+H17+H16</f>
        <v>124</v>
      </c>
      <c r="I20" s="87">
        <f>I19+I18+I17+I16</f>
        <v>124</v>
      </c>
      <c r="J20" s="75">
        <v>0</v>
      </c>
      <c r="K20" s="75"/>
      <c r="L20" s="75">
        <v>12405.807000000001</v>
      </c>
      <c r="M20" s="75">
        <f>J20+K20+L20</f>
        <v>12405.807000000001</v>
      </c>
      <c r="N20" s="75">
        <f t="shared" ref="N20" si="5">E20*J20</f>
        <v>0</v>
      </c>
      <c r="O20" s="75">
        <f t="shared" ref="O20" si="6">G20*K20</f>
        <v>0</v>
      </c>
      <c r="P20" s="75"/>
      <c r="Q20" s="75">
        <f>G20*L20-62755.64</f>
        <v>1475564.4280000001</v>
      </c>
      <c r="R20" s="75"/>
      <c r="S20" s="75">
        <v>0</v>
      </c>
      <c r="T20" s="75">
        <f>SUM(N20:Q20)</f>
        <v>1475564.4280000001</v>
      </c>
      <c r="U20" s="75">
        <f>T20</f>
        <v>1475564.4280000001</v>
      </c>
      <c r="V20" s="75">
        <f>U20</f>
        <v>1475564.4280000001</v>
      </c>
    </row>
    <row r="21" spans="1:25" x14ac:dyDescent="0.25">
      <c r="A21" s="194"/>
      <c r="B21" s="213" t="s">
        <v>28</v>
      </c>
      <c r="C21" s="127" t="s">
        <v>220</v>
      </c>
      <c r="D21" s="82"/>
      <c r="E21" s="87"/>
      <c r="F21" s="87"/>
      <c r="G21" s="87"/>
      <c r="H21" s="87"/>
      <c r="I21" s="87"/>
      <c r="J21" s="75"/>
      <c r="K21" s="75"/>
      <c r="L21" s="75">
        <v>12248.94</v>
      </c>
      <c r="M21" s="75"/>
      <c r="N21" s="75"/>
      <c r="O21" s="75"/>
      <c r="P21" s="75"/>
      <c r="Q21" s="75"/>
      <c r="R21" s="75"/>
      <c r="S21" s="75">
        <f>G20*L21</f>
        <v>1518868.56</v>
      </c>
      <c r="T21" s="75">
        <f>S21</f>
        <v>1518868.56</v>
      </c>
      <c r="U21" s="75">
        <f>S21</f>
        <v>1518868.56</v>
      </c>
      <c r="V21" s="75">
        <f>S21</f>
        <v>1518868.56</v>
      </c>
    </row>
    <row r="22" spans="1:25" x14ac:dyDescent="0.25">
      <c r="A22" s="194"/>
      <c r="B22" s="89" t="s">
        <v>225</v>
      </c>
      <c r="C22" s="127" t="s">
        <v>219</v>
      </c>
      <c r="D22" s="82"/>
      <c r="E22" s="87"/>
      <c r="F22" s="87"/>
      <c r="G22" s="87">
        <v>13</v>
      </c>
      <c r="H22" s="87">
        <v>13</v>
      </c>
      <c r="I22" s="87">
        <v>13</v>
      </c>
      <c r="J22" s="75"/>
      <c r="K22" s="75"/>
      <c r="L22" s="75"/>
      <c r="M22" s="75"/>
      <c r="N22" s="75"/>
      <c r="O22" s="75"/>
      <c r="P22" s="75"/>
      <c r="Q22" s="75"/>
      <c r="R22" s="75">
        <f>2118894+165443+76000</f>
        <v>2360337</v>
      </c>
      <c r="S22" s="75"/>
      <c r="T22" s="75">
        <f>R22</f>
        <v>2360337</v>
      </c>
      <c r="U22" s="75">
        <f>R22</f>
        <v>2360337</v>
      </c>
      <c r="V22" s="75">
        <f>R22</f>
        <v>2360337</v>
      </c>
    </row>
    <row r="23" spans="1:25" x14ac:dyDescent="0.25">
      <c r="A23" s="194"/>
      <c r="B23" s="89" t="s">
        <v>225</v>
      </c>
      <c r="C23" s="127" t="s">
        <v>226</v>
      </c>
      <c r="D23" s="82"/>
      <c r="E23" s="87"/>
      <c r="F23" s="87"/>
      <c r="G23" s="87">
        <v>7</v>
      </c>
      <c r="H23" s="87">
        <v>7</v>
      </c>
      <c r="I23" s="87">
        <v>7</v>
      </c>
      <c r="J23" s="75"/>
      <c r="K23" s="75"/>
      <c r="L23" s="75"/>
      <c r="M23" s="75"/>
      <c r="N23" s="75"/>
      <c r="O23" s="75"/>
      <c r="P23" s="75">
        <f>199806+331890+142220</f>
        <v>673916</v>
      </c>
      <c r="Q23" s="75"/>
      <c r="R23" s="75"/>
      <c r="S23" s="75"/>
      <c r="T23" s="75">
        <f>N23+O23+P23+Q23</f>
        <v>673916</v>
      </c>
      <c r="U23" s="75">
        <f>N23+O23+P23+Q23</f>
        <v>673916</v>
      </c>
      <c r="V23" s="75">
        <f>N23+O23+P23+Q23</f>
        <v>673916</v>
      </c>
    </row>
    <row r="24" spans="1:25" x14ac:dyDescent="0.25">
      <c r="A24" s="233"/>
      <c r="B24" s="89" t="s">
        <v>281</v>
      </c>
      <c r="C24" s="127"/>
      <c r="D24" s="82"/>
      <c r="E24" s="87"/>
      <c r="F24" s="87"/>
      <c r="G24" s="87"/>
      <c r="H24" s="87"/>
      <c r="I24" s="87"/>
      <c r="J24" s="75"/>
      <c r="K24" s="75"/>
      <c r="L24" s="75"/>
      <c r="M24" s="75"/>
      <c r="N24" s="75"/>
      <c r="O24" s="75">
        <v>23328</v>
      </c>
      <c r="P24" s="75"/>
      <c r="Q24" s="75"/>
      <c r="R24" s="75"/>
      <c r="S24" s="75"/>
      <c r="T24" s="75">
        <f>O24</f>
        <v>23328</v>
      </c>
      <c r="U24" s="75">
        <f>T24</f>
        <v>23328</v>
      </c>
      <c r="V24" s="75">
        <f>U24</f>
        <v>23328</v>
      </c>
    </row>
    <row r="25" spans="1:25" x14ac:dyDescent="0.25">
      <c r="A25" s="89" t="s">
        <v>29</v>
      </c>
      <c r="B25" s="213"/>
      <c r="C25" s="127"/>
      <c r="D25" s="82"/>
      <c r="E25" s="87"/>
      <c r="F25" s="87"/>
      <c r="G25" s="87"/>
      <c r="H25" s="87"/>
      <c r="I25" s="87"/>
      <c r="J25" s="75"/>
      <c r="K25" s="75"/>
      <c r="L25" s="75"/>
      <c r="M25" s="75">
        <f t="shared" ref="M25:M144" si="7">J25+K25+L25</f>
        <v>0</v>
      </c>
      <c r="N25" s="78">
        <f>N26+N28</f>
        <v>2458341</v>
      </c>
      <c r="O25" s="78">
        <f>O26+O28</f>
        <v>771666.00110382005</v>
      </c>
      <c r="P25" s="78">
        <f>P26</f>
        <v>308902</v>
      </c>
      <c r="Q25" s="78">
        <f>Q26+Q28</f>
        <v>1993512.9099849998</v>
      </c>
      <c r="R25" s="78">
        <f>R26+R28</f>
        <v>1441321</v>
      </c>
      <c r="S25" s="78">
        <f>S29</f>
        <v>428712.9</v>
      </c>
      <c r="T25" s="78">
        <f>T26+T28+T29</f>
        <v>7402455.81108882</v>
      </c>
      <c r="U25" s="78">
        <f t="shared" ref="U25:V25" si="8">U26+U28+U29</f>
        <v>7402455.81108882</v>
      </c>
      <c r="V25" s="78">
        <f t="shared" si="8"/>
        <v>7402455.81108882</v>
      </c>
      <c r="W25" s="80">
        <v>1993512.91</v>
      </c>
      <c r="X25" s="85">
        <f>W25-Q25</f>
        <v>1.5000114217400551E-5</v>
      </c>
      <c r="Y25" s="80">
        <f>X25/I28</f>
        <v>4.2857469192573004E-7</v>
      </c>
    </row>
    <row r="26" spans="1:25" ht="164.25" customHeight="1" x14ac:dyDescent="0.25">
      <c r="A26" s="201" t="s">
        <v>251</v>
      </c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75"/>
      <c r="M26" s="75">
        <f t="shared" si="7"/>
        <v>0</v>
      </c>
      <c r="N26" s="75">
        <f>SUM(N27:N32)</f>
        <v>2458341</v>
      </c>
      <c r="O26" s="75">
        <f>SUM(O27:O33)</f>
        <v>771666.00110382005</v>
      </c>
      <c r="P26" s="75">
        <f>P31</f>
        <v>308902</v>
      </c>
      <c r="Q26" s="75">
        <f>Q27</f>
        <v>1615435.0299849999</v>
      </c>
      <c r="R26" s="75">
        <f>R30</f>
        <v>1441321</v>
      </c>
      <c r="S26" s="75"/>
      <c r="T26" s="75">
        <f>T27+T31+T30+T32+T33</f>
        <v>6595665.0310888197</v>
      </c>
      <c r="U26" s="75">
        <f t="shared" ref="U26:V26" si="9">U27+U31+U30+U32+U33</f>
        <v>6595665.0310888197</v>
      </c>
      <c r="V26" s="75">
        <f t="shared" si="9"/>
        <v>6595665.0310888197</v>
      </c>
    </row>
    <row r="27" spans="1:25" ht="105" x14ac:dyDescent="0.25">
      <c r="A27" s="83"/>
      <c r="B27" s="82"/>
      <c r="C27" s="93" t="s">
        <v>30</v>
      </c>
      <c r="D27" s="213" t="s">
        <v>31</v>
      </c>
      <c r="E27" s="87">
        <v>35</v>
      </c>
      <c r="F27" s="87">
        <v>35</v>
      </c>
      <c r="G27" s="87">
        <f>(E27*8+F27*4)/12</f>
        <v>35</v>
      </c>
      <c r="H27" s="87">
        <v>35</v>
      </c>
      <c r="I27" s="87">
        <v>35</v>
      </c>
      <c r="J27" s="208">
        <v>758131.11</v>
      </c>
      <c r="K27" s="75">
        <v>21614.746317252</v>
      </c>
      <c r="L27" s="75">
        <f>49452.628-5733.31+207.38+2228.586571</f>
        <v>46155.284570999997</v>
      </c>
      <c r="M27" s="75">
        <f>J27+K27+L27</f>
        <v>825901.14088825206</v>
      </c>
      <c r="N27" s="75">
        <f>3*J27+0.01-0.34</f>
        <v>2274393</v>
      </c>
      <c r="O27" s="75">
        <f>G27*K27-0.12</f>
        <v>756516.00110382005</v>
      </c>
      <c r="P27" s="75"/>
      <c r="Q27" s="75">
        <f>L27*G28+0.07</f>
        <v>1615435.0299849999</v>
      </c>
      <c r="R27" s="75"/>
      <c r="S27" s="75"/>
      <c r="T27" s="75">
        <f>SUM(N27:Q27)</f>
        <v>4646344.0310888197</v>
      </c>
      <c r="U27" s="75">
        <f>T27</f>
        <v>4646344.0310888197</v>
      </c>
      <c r="V27" s="75">
        <f>U27</f>
        <v>4646344.0310888197</v>
      </c>
    </row>
    <row r="28" spans="1:25" ht="90" x14ac:dyDescent="0.25">
      <c r="A28" s="201" t="s">
        <v>252</v>
      </c>
      <c r="B28" s="213" t="s">
        <v>28</v>
      </c>
      <c r="C28" s="127" t="s">
        <v>219</v>
      </c>
      <c r="D28" s="213" t="s">
        <v>20</v>
      </c>
      <c r="E28" s="87">
        <v>35</v>
      </c>
      <c r="F28" s="87">
        <v>35</v>
      </c>
      <c r="G28" s="87">
        <f>(E28*8+F28*4)/12</f>
        <v>35</v>
      </c>
      <c r="H28" s="87">
        <v>35</v>
      </c>
      <c r="I28" s="87">
        <v>35</v>
      </c>
      <c r="J28" s="75" t="s">
        <v>23</v>
      </c>
      <c r="K28" s="75"/>
      <c r="L28" s="75">
        <f>6672.5+5733.31</f>
        <v>12405.810000000001</v>
      </c>
      <c r="M28" s="75">
        <f t="shared" si="7"/>
        <v>12405.810000000001</v>
      </c>
      <c r="N28" s="75">
        <f t="shared" ref="N28" si="10">E28*J28</f>
        <v>0</v>
      </c>
      <c r="O28" s="75">
        <f t="shared" ref="O28:O44" si="11">E28*K28</f>
        <v>0</v>
      </c>
      <c r="P28" s="75"/>
      <c r="Q28" s="75">
        <f>L28*I28-0.34-56125.13</f>
        <v>378077.88</v>
      </c>
      <c r="R28" s="75"/>
      <c r="S28" s="75"/>
      <c r="T28" s="75">
        <f>SUM(N28:Q28)</f>
        <v>378077.88</v>
      </c>
      <c r="U28" s="75">
        <f>T28</f>
        <v>378077.88</v>
      </c>
      <c r="V28" s="75">
        <f>U28</f>
        <v>378077.88</v>
      </c>
    </row>
    <row r="29" spans="1:25" x14ac:dyDescent="0.25">
      <c r="A29" s="194"/>
      <c r="B29" s="213" t="s">
        <v>28</v>
      </c>
      <c r="C29" s="127" t="s">
        <v>220</v>
      </c>
      <c r="D29" s="213"/>
      <c r="E29" s="87"/>
      <c r="F29" s="87"/>
      <c r="G29" s="87"/>
      <c r="H29" s="87"/>
      <c r="I29" s="87"/>
      <c r="J29" s="75"/>
      <c r="K29" s="75"/>
      <c r="L29" s="75">
        <v>12248.94</v>
      </c>
      <c r="M29" s="75"/>
      <c r="N29" s="75"/>
      <c r="O29" s="75"/>
      <c r="P29" s="75"/>
      <c r="Q29" s="75"/>
      <c r="R29" s="75"/>
      <c r="S29" s="75">
        <f>L29*G28</f>
        <v>428712.9</v>
      </c>
      <c r="T29" s="75">
        <f>S29</f>
        <v>428712.9</v>
      </c>
      <c r="U29" s="75">
        <f>S29</f>
        <v>428712.9</v>
      </c>
      <c r="V29" s="75">
        <f>S29</f>
        <v>428712.9</v>
      </c>
    </row>
    <row r="30" spans="1:25" x14ac:dyDescent="0.25">
      <c r="A30" s="194"/>
      <c r="B30" s="89" t="s">
        <v>225</v>
      </c>
      <c r="C30" s="127" t="s">
        <v>219</v>
      </c>
      <c r="D30" s="213"/>
      <c r="E30" s="87"/>
      <c r="F30" s="87"/>
      <c r="G30" s="87">
        <v>9</v>
      </c>
      <c r="H30" s="87">
        <v>9</v>
      </c>
      <c r="I30" s="87">
        <v>9</v>
      </c>
      <c r="J30" s="75"/>
      <c r="K30" s="75"/>
      <c r="L30" s="75"/>
      <c r="M30" s="75"/>
      <c r="N30" s="75"/>
      <c r="O30" s="75"/>
      <c r="P30" s="75"/>
      <c r="Q30" s="75"/>
      <c r="R30" s="75">
        <f>1391321+50000</f>
        <v>1441321</v>
      </c>
      <c r="S30" s="75"/>
      <c r="T30" s="75">
        <f>R30</f>
        <v>1441321</v>
      </c>
      <c r="U30" s="75">
        <f>R30</f>
        <v>1441321</v>
      </c>
      <c r="V30" s="75">
        <f>R30</f>
        <v>1441321</v>
      </c>
    </row>
    <row r="31" spans="1:25" x14ac:dyDescent="0.25">
      <c r="A31" s="194"/>
      <c r="B31" s="89" t="s">
        <v>225</v>
      </c>
      <c r="C31" s="127" t="s">
        <v>226</v>
      </c>
      <c r="D31" s="213"/>
      <c r="E31" s="87"/>
      <c r="F31" s="87"/>
      <c r="G31" s="87">
        <v>4</v>
      </c>
      <c r="H31" s="87">
        <v>4</v>
      </c>
      <c r="I31" s="87">
        <v>4</v>
      </c>
      <c r="J31" s="75"/>
      <c r="K31" s="75"/>
      <c r="L31" s="75"/>
      <c r="M31" s="75"/>
      <c r="N31" s="75"/>
      <c r="O31" s="75"/>
      <c r="P31" s="75">
        <f>114175+112639+82088</f>
        <v>308902</v>
      </c>
      <c r="Q31" s="75"/>
      <c r="R31" s="75"/>
      <c r="S31" s="75"/>
      <c r="T31" s="75">
        <f>N31+O31+P31+Q31</f>
        <v>308902</v>
      </c>
      <c r="U31" s="75">
        <f>N31+O31+P31+Q31</f>
        <v>308902</v>
      </c>
      <c r="V31" s="75">
        <f>N31+O31+P31+Q31</f>
        <v>308902</v>
      </c>
    </row>
    <row r="32" spans="1:25" ht="61.9" customHeight="1" x14ac:dyDescent="0.25">
      <c r="A32" s="206"/>
      <c r="B32" s="84" t="s">
        <v>263</v>
      </c>
      <c r="C32" s="127" t="s">
        <v>226</v>
      </c>
      <c r="D32" s="213"/>
      <c r="E32" s="87"/>
      <c r="F32" s="87"/>
      <c r="G32" s="87"/>
      <c r="H32" s="87"/>
      <c r="I32" s="87"/>
      <c r="J32" s="75"/>
      <c r="K32" s="75"/>
      <c r="L32" s="75"/>
      <c r="M32" s="75"/>
      <c r="N32" s="75">
        <v>183948</v>
      </c>
      <c r="O32" s="75"/>
      <c r="P32" s="75"/>
      <c r="Q32" s="75"/>
      <c r="R32" s="75"/>
      <c r="S32" s="75"/>
      <c r="T32" s="75">
        <f>N32+O32+P32+Q32</f>
        <v>183948</v>
      </c>
      <c r="U32" s="75">
        <f>T32</f>
        <v>183948</v>
      </c>
      <c r="V32" s="75">
        <f>U32</f>
        <v>183948</v>
      </c>
    </row>
    <row r="33" spans="1:25" ht="61.9" customHeight="1" x14ac:dyDescent="0.25">
      <c r="A33" s="246"/>
      <c r="B33" s="84" t="s">
        <v>281</v>
      </c>
      <c r="C33" s="127"/>
      <c r="D33" s="246"/>
      <c r="E33" s="87"/>
      <c r="F33" s="87"/>
      <c r="G33" s="87"/>
      <c r="H33" s="87"/>
      <c r="I33" s="87"/>
      <c r="J33" s="75"/>
      <c r="K33" s="75"/>
      <c r="L33" s="75"/>
      <c r="M33" s="75"/>
      <c r="N33" s="75"/>
      <c r="O33" s="75">
        <v>15150</v>
      </c>
      <c r="P33" s="75"/>
      <c r="Q33" s="75"/>
      <c r="R33" s="75"/>
      <c r="S33" s="75"/>
      <c r="T33" s="75">
        <f>O33</f>
        <v>15150</v>
      </c>
      <c r="U33" s="75">
        <f>T33</f>
        <v>15150</v>
      </c>
      <c r="V33" s="75">
        <f>U33</f>
        <v>15150</v>
      </c>
    </row>
    <row r="34" spans="1:25" ht="28.9" customHeight="1" x14ac:dyDescent="0.25">
      <c r="A34" s="195" t="s">
        <v>35</v>
      </c>
      <c r="B34" s="213"/>
      <c r="C34" s="127"/>
      <c r="D34" s="91"/>
      <c r="E34" s="92"/>
      <c r="F34" s="92"/>
      <c r="G34" s="92"/>
      <c r="H34" s="92"/>
      <c r="I34" s="92"/>
      <c r="J34" s="78"/>
      <c r="K34" s="78"/>
      <c r="L34" s="78"/>
      <c r="M34" s="78">
        <f t="shared" si="7"/>
        <v>0</v>
      </c>
      <c r="N34" s="78">
        <f>N35+N44</f>
        <v>8724280</v>
      </c>
      <c r="O34" s="78">
        <f>O35+O44</f>
        <v>2424753.0012149718</v>
      </c>
      <c r="P34" s="78">
        <f>P35</f>
        <v>682712</v>
      </c>
      <c r="Q34" s="78">
        <f>Q35+Q44</f>
        <v>4027714.5600200007</v>
      </c>
      <c r="R34" s="78">
        <f>R35</f>
        <v>2297155</v>
      </c>
      <c r="S34" s="78">
        <f>S45</f>
        <v>1359632.34</v>
      </c>
      <c r="T34" s="78">
        <f>T35+T44+T45</f>
        <v>19516246.901234973</v>
      </c>
      <c r="U34" s="78">
        <f t="shared" ref="U34:V34" si="12">U35+U44+U45</f>
        <v>19516246.901234973</v>
      </c>
      <c r="V34" s="78">
        <f t="shared" si="12"/>
        <v>19516246.901234973</v>
      </c>
      <c r="W34" s="80">
        <v>4027714.56</v>
      </c>
      <c r="X34" s="85">
        <f>W34-Q34</f>
        <v>-2.0000617951154709E-5</v>
      </c>
      <c r="Y34" s="80">
        <f>X34/111</f>
        <v>-1.8018574730770008E-7</v>
      </c>
    </row>
    <row r="35" spans="1:25" ht="94.9" customHeight="1" x14ac:dyDescent="0.25">
      <c r="A35" s="201" t="s">
        <v>251</v>
      </c>
      <c r="B35" s="84" t="s">
        <v>76</v>
      </c>
      <c r="C35" s="128"/>
      <c r="D35" s="82"/>
      <c r="E35" s="68"/>
      <c r="F35" s="68"/>
      <c r="G35" s="68"/>
      <c r="H35" s="68"/>
      <c r="I35" s="68"/>
      <c r="J35" s="75"/>
      <c r="K35" s="75"/>
      <c r="L35" s="75"/>
      <c r="M35" s="75">
        <f t="shared" si="7"/>
        <v>0</v>
      </c>
      <c r="N35" s="75">
        <f>SUM(N36:N42)</f>
        <v>8724280</v>
      </c>
      <c r="O35" s="75">
        <f>SUM(O36:O43)</f>
        <v>2424753.0012149718</v>
      </c>
      <c r="P35" s="75">
        <f>P41</f>
        <v>682712</v>
      </c>
      <c r="Q35" s="75">
        <f t="shared" ref="Q35" si="13">SUM(Q36:Q39)</f>
        <v>2682047.8030200005</v>
      </c>
      <c r="R35" s="75">
        <f>R40</f>
        <v>2297155</v>
      </c>
      <c r="S35" s="75"/>
      <c r="T35" s="75">
        <f>SUM(T36:T43)</f>
        <v>16810947.804234974</v>
      </c>
      <c r="U35" s="75">
        <f t="shared" ref="U35:V35" si="14">SUM(U36:U43)</f>
        <v>16810947.804234974</v>
      </c>
      <c r="V35" s="75">
        <f t="shared" si="14"/>
        <v>16810947.804234974</v>
      </c>
      <c r="W35" s="85">
        <f>T35+T44+T45</f>
        <v>19516246.901234973</v>
      </c>
    </row>
    <row r="36" spans="1:25" ht="105" x14ac:dyDescent="0.25">
      <c r="A36" s="83"/>
      <c r="B36" s="97" t="s">
        <v>19</v>
      </c>
      <c r="C36" s="93" t="s">
        <v>0</v>
      </c>
      <c r="D36" s="213" t="s">
        <v>20</v>
      </c>
      <c r="E36" s="87">
        <v>0</v>
      </c>
      <c r="F36" s="87">
        <v>0</v>
      </c>
      <c r="G36" s="87">
        <f t="shared" ref="G36:G38" si="15">(E36*8+F36*4)/12</f>
        <v>0</v>
      </c>
      <c r="H36" s="87">
        <v>0</v>
      </c>
      <c r="I36" s="87">
        <v>0</v>
      </c>
      <c r="J36" s="75">
        <v>43138.04</v>
      </c>
      <c r="K36" s="75">
        <v>21614.746317252</v>
      </c>
      <c r="L36" s="75">
        <f>18972.01+207.38+90.0901+3801.56317+2713.171171-1621.621621</f>
        <v>24162.592820000005</v>
      </c>
      <c r="M36" s="75">
        <f t="shared" si="7"/>
        <v>88915.379137252006</v>
      </c>
      <c r="N36" s="75">
        <f>G36*J36</f>
        <v>0</v>
      </c>
      <c r="O36" s="75">
        <f>G36*K36</f>
        <v>0</v>
      </c>
      <c r="P36" s="75"/>
      <c r="Q36" s="75">
        <f>G36*L36</f>
        <v>0</v>
      </c>
      <c r="R36" s="75"/>
      <c r="S36" s="75"/>
      <c r="T36" s="75">
        <f t="shared" si="3"/>
        <v>0</v>
      </c>
      <c r="U36" s="75">
        <f t="shared" ref="U36:U135" si="16">H36*M36</f>
        <v>0</v>
      </c>
      <c r="V36" s="75">
        <f t="shared" si="4"/>
        <v>0</v>
      </c>
    </row>
    <row r="37" spans="1:25" x14ac:dyDescent="0.25">
      <c r="A37" s="88"/>
      <c r="B37" s="97" t="s">
        <v>24</v>
      </c>
      <c r="C37" s="97"/>
      <c r="D37" s="86" t="s">
        <v>20</v>
      </c>
      <c r="E37" s="87">
        <v>0</v>
      </c>
      <c r="F37" s="87">
        <v>0</v>
      </c>
      <c r="G37" s="87">
        <f t="shared" si="15"/>
        <v>0</v>
      </c>
      <c r="H37" s="87">
        <v>0</v>
      </c>
      <c r="I37" s="87">
        <v>0</v>
      </c>
      <c r="J37" s="75">
        <v>34198.17</v>
      </c>
      <c r="K37" s="75">
        <v>21614.746317252</v>
      </c>
      <c r="L37" s="75">
        <f t="shared" ref="L37:L39" si="17">18972.01+207.38+90.0901+3801.56317+2713.171171-1621.621621</f>
        <v>24162.592820000005</v>
      </c>
      <c r="M37" s="75">
        <f t="shared" si="7"/>
        <v>79975.509137251996</v>
      </c>
      <c r="N37" s="75">
        <f>G37*J37</f>
        <v>0</v>
      </c>
      <c r="O37" s="75">
        <f>G37*K37</f>
        <v>0</v>
      </c>
      <c r="P37" s="75"/>
      <c r="Q37" s="75">
        <f>G37*L37</f>
        <v>0</v>
      </c>
      <c r="R37" s="75"/>
      <c r="S37" s="75"/>
      <c r="T37" s="75">
        <f t="shared" si="3"/>
        <v>0</v>
      </c>
      <c r="U37" s="75">
        <f t="shared" si="16"/>
        <v>0</v>
      </c>
      <c r="V37" s="75">
        <f t="shared" si="4"/>
        <v>0</v>
      </c>
    </row>
    <row r="38" spans="1:25" ht="105" x14ac:dyDescent="0.25">
      <c r="A38" s="83"/>
      <c r="B38" s="97" t="s">
        <v>24</v>
      </c>
      <c r="C38" s="93" t="s">
        <v>38</v>
      </c>
      <c r="D38" s="213" t="s">
        <v>20</v>
      </c>
      <c r="E38" s="87">
        <v>29</v>
      </c>
      <c r="F38" s="87">
        <v>29</v>
      </c>
      <c r="G38" s="87">
        <f t="shared" si="15"/>
        <v>29</v>
      </c>
      <c r="H38" s="87">
        <v>29</v>
      </c>
      <c r="I38" s="87">
        <v>29</v>
      </c>
      <c r="J38" s="75">
        <v>142093.57999999999</v>
      </c>
      <c r="K38" s="75">
        <v>21614.746317252</v>
      </c>
      <c r="L38" s="75">
        <f t="shared" si="17"/>
        <v>24162.592820000005</v>
      </c>
      <c r="M38" s="75">
        <f t="shared" si="7"/>
        <v>187870.91913725197</v>
      </c>
      <c r="N38" s="75">
        <f>G38*J38+0.43-0.31</f>
        <v>4120713.94</v>
      </c>
      <c r="O38" s="75">
        <f>G38*K38+0.16</f>
        <v>626827.803200308</v>
      </c>
      <c r="P38" s="75"/>
      <c r="Q38" s="75">
        <f>G38*L38</f>
        <v>700715.19178000011</v>
      </c>
      <c r="R38" s="75"/>
      <c r="S38" s="75"/>
      <c r="T38" s="75">
        <f t="shared" si="3"/>
        <v>5448256.9349803077</v>
      </c>
      <c r="U38" s="75">
        <f>T38</f>
        <v>5448256.9349803077</v>
      </c>
      <c r="V38" s="75">
        <f>U38</f>
        <v>5448256.9349803077</v>
      </c>
    </row>
    <row r="39" spans="1:25" ht="120" x14ac:dyDescent="0.25">
      <c r="A39" s="83"/>
      <c r="B39" s="97" t="s">
        <v>24</v>
      </c>
      <c r="C39" s="93" t="s">
        <v>162</v>
      </c>
      <c r="D39" s="213" t="s">
        <v>20</v>
      </c>
      <c r="E39" s="87">
        <v>82</v>
      </c>
      <c r="F39" s="87">
        <v>82</v>
      </c>
      <c r="G39" s="87">
        <f>(E39*8+F39*4)/12</f>
        <v>82</v>
      </c>
      <c r="H39" s="87">
        <v>82</v>
      </c>
      <c r="I39" s="87">
        <v>82</v>
      </c>
      <c r="J39" s="208">
        <v>50023.83</v>
      </c>
      <c r="K39" s="75">
        <v>21614.746317252</v>
      </c>
      <c r="L39" s="75">
        <f t="shared" si="17"/>
        <v>24162.592820000005</v>
      </c>
      <c r="M39" s="75">
        <f t="shared" si="7"/>
        <v>95801.169137252014</v>
      </c>
      <c r="N39" s="75">
        <f>G39*J39</f>
        <v>4101954.06</v>
      </c>
      <c r="O39" s="75">
        <f>G39*K39</f>
        <v>1772409.198014664</v>
      </c>
      <c r="P39" s="75"/>
      <c r="Q39" s="75">
        <f>G39*L39</f>
        <v>1981332.6112400005</v>
      </c>
      <c r="R39" s="75"/>
      <c r="S39" s="75"/>
      <c r="T39" s="75">
        <f t="shared" si="3"/>
        <v>7855695.8692546645</v>
      </c>
      <c r="U39" s="75">
        <f t="shared" si="16"/>
        <v>7855695.8692546654</v>
      </c>
      <c r="V39" s="75">
        <f t="shared" si="4"/>
        <v>7855695.8692546654</v>
      </c>
    </row>
    <row r="40" spans="1:25" x14ac:dyDescent="0.25">
      <c r="A40" s="83"/>
      <c r="B40" s="89" t="s">
        <v>225</v>
      </c>
      <c r="C40" s="127" t="s">
        <v>219</v>
      </c>
      <c r="D40" s="213"/>
      <c r="E40" s="87"/>
      <c r="F40" s="87"/>
      <c r="G40" s="87">
        <v>13</v>
      </c>
      <c r="H40" s="87">
        <v>13</v>
      </c>
      <c r="I40" s="87">
        <v>13</v>
      </c>
      <c r="J40" s="75"/>
      <c r="K40" s="75"/>
      <c r="L40" s="75"/>
      <c r="M40" s="75"/>
      <c r="N40" s="75"/>
      <c r="O40" s="75"/>
      <c r="P40" s="75"/>
      <c r="Q40" s="75"/>
      <c r="R40" s="75">
        <f>2269072+28083</f>
        <v>2297155</v>
      </c>
      <c r="S40" s="75"/>
      <c r="T40" s="75">
        <f>R40</f>
        <v>2297155</v>
      </c>
      <c r="U40" s="75">
        <f>R40</f>
        <v>2297155</v>
      </c>
      <c r="V40" s="75">
        <f>R40</f>
        <v>2297155</v>
      </c>
    </row>
    <row r="41" spans="1:25" x14ac:dyDescent="0.25">
      <c r="A41" s="83"/>
      <c r="B41" s="89" t="s">
        <v>225</v>
      </c>
      <c r="C41" s="127" t="s">
        <v>226</v>
      </c>
      <c r="D41" s="213"/>
      <c r="E41" s="87"/>
      <c r="F41" s="87"/>
      <c r="G41" s="87">
        <v>7</v>
      </c>
      <c r="H41" s="87">
        <v>7</v>
      </c>
      <c r="I41" s="87">
        <v>7</v>
      </c>
      <c r="J41" s="75"/>
      <c r="K41" s="75"/>
      <c r="L41" s="75"/>
      <c r="M41" s="75"/>
      <c r="N41" s="75"/>
      <c r="O41" s="75"/>
      <c r="P41" s="75">
        <f>199806+334705+148201</f>
        <v>682712</v>
      </c>
      <c r="Q41" s="75"/>
      <c r="R41" s="75"/>
      <c r="S41" s="75"/>
      <c r="T41" s="75">
        <f>P41</f>
        <v>682712</v>
      </c>
      <c r="U41" s="75">
        <f>P41</f>
        <v>682712</v>
      </c>
      <c r="V41" s="75">
        <f>P41</f>
        <v>682712</v>
      </c>
    </row>
    <row r="42" spans="1:25" ht="57" x14ac:dyDescent="0.25">
      <c r="A42" s="83"/>
      <c r="B42" s="84" t="s">
        <v>263</v>
      </c>
      <c r="C42" s="127" t="s">
        <v>226</v>
      </c>
      <c r="D42" s="213"/>
      <c r="E42" s="87"/>
      <c r="F42" s="87"/>
      <c r="G42" s="87"/>
      <c r="H42" s="87"/>
      <c r="I42" s="87"/>
      <c r="J42" s="75"/>
      <c r="K42" s="75"/>
      <c r="L42" s="75"/>
      <c r="M42" s="75"/>
      <c r="N42" s="75">
        <v>501612</v>
      </c>
      <c r="O42" s="75"/>
      <c r="P42" s="75"/>
      <c r="Q42" s="75"/>
      <c r="R42" s="75"/>
      <c r="S42" s="75"/>
      <c r="T42" s="75">
        <f>N42</f>
        <v>501612</v>
      </c>
      <c r="U42" s="75">
        <f t="shared" ref="U42:V44" si="18">T42</f>
        <v>501612</v>
      </c>
      <c r="V42" s="75">
        <f t="shared" si="18"/>
        <v>501612</v>
      </c>
    </row>
    <row r="43" spans="1:25" x14ac:dyDescent="0.25">
      <c r="A43" s="83"/>
      <c r="B43" s="84" t="s">
        <v>281</v>
      </c>
      <c r="C43" s="127"/>
      <c r="D43" s="246"/>
      <c r="E43" s="87"/>
      <c r="F43" s="87"/>
      <c r="G43" s="87"/>
      <c r="H43" s="87"/>
      <c r="I43" s="87"/>
      <c r="J43" s="75"/>
      <c r="K43" s="75"/>
      <c r="L43" s="75"/>
      <c r="M43" s="75"/>
      <c r="N43" s="75"/>
      <c r="O43" s="75">
        <v>25516</v>
      </c>
      <c r="P43" s="75"/>
      <c r="Q43" s="75"/>
      <c r="R43" s="75"/>
      <c r="S43" s="75"/>
      <c r="T43" s="75">
        <f>O43</f>
        <v>25516</v>
      </c>
      <c r="U43" s="75">
        <f t="shared" si="18"/>
        <v>25516</v>
      </c>
      <c r="V43" s="75">
        <f t="shared" si="18"/>
        <v>25516</v>
      </c>
    </row>
    <row r="44" spans="1:25" ht="90" x14ac:dyDescent="0.25">
      <c r="A44" s="201" t="s">
        <v>252</v>
      </c>
      <c r="B44" s="213" t="s">
        <v>28</v>
      </c>
      <c r="C44" s="127" t="s">
        <v>219</v>
      </c>
      <c r="D44" s="213" t="s">
        <v>20</v>
      </c>
      <c r="E44" s="87">
        <f>E39+E38+E37+E36</f>
        <v>111</v>
      </c>
      <c r="F44" s="87">
        <f>F39+F38+F37+F36</f>
        <v>111</v>
      </c>
      <c r="G44" s="87">
        <f>(E44*8+F44*4)/12</f>
        <v>111</v>
      </c>
      <c r="H44" s="87">
        <f>H39+H38+H37+H36</f>
        <v>111</v>
      </c>
      <c r="I44" s="87">
        <f>I39+I38+I37+I36</f>
        <v>111</v>
      </c>
      <c r="J44" s="75" t="s">
        <v>23</v>
      </c>
      <c r="K44" s="75"/>
      <c r="L44" s="75">
        <v>12405.807000000001</v>
      </c>
      <c r="M44" s="75">
        <f t="shared" si="7"/>
        <v>12405.807000000001</v>
      </c>
      <c r="N44" s="75">
        <f t="shared" ref="N44:N90" si="19">E44*J44</f>
        <v>0</v>
      </c>
      <c r="O44" s="75">
        <f t="shared" si="11"/>
        <v>0</v>
      </c>
      <c r="P44" s="75"/>
      <c r="Q44" s="75">
        <f>G44*L44-31377.82</f>
        <v>1345666.757</v>
      </c>
      <c r="R44" s="75"/>
      <c r="S44" s="75"/>
      <c r="T44" s="75">
        <f>SUM(N44:Q44)</f>
        <v>1345666.757</v>
      </c>
      <c r="U44" s="75">
        <f t="shared" si="18"/>
        <v>1345666.757</v>
      </c>
      <c r="V44" s="75">
        <f t="shared" si="18"/>
        <v>1345666.757</v>
      </c>
    </row>
    <row r="45" spans="1:25" x14ac:dyDescent="0.25">
      <c r="A45" s="86"/>
      <c r="B45" s="213" t="s">
        <v>28</v>
      </c>
      <c r="C45" s="127" t="s">
        <v>220</v>
      </c>
      <c r="D45" s="213"/>
      <c r="E45" s="87"/>
      <c r="F45" s="87"/>
      <c r="G45" s="87"/>
      <c r="H45" s="87"/>
      <c r="I45" s="87"/>
      <c r="J45" s="75"/>
      <c r="K45" s="75"/>
      <c r="L45" s="75">
        <v>12248.94</v>
      </c>
      <c r="M45" s="75"/>
      <c r="N45" s="75"/>
      <c r="O45" s="75"/>
      <c r="P45" s="75"/>
      <c r="Q45" s="75"/>
      <c r="R45" s="75"/>
      <c r="S45" s="75">
        <f>L45*G44</f>
        <v>1359632.34</v>
      </c>
      <c r="T45" s="75">
        <f>S45</f>
        <v>1359632.34</v>
      </c>
      <c r="U45" s="75">
        <f>S45</f>
        <v>1359632.34</v>
      </c>
      <c r="V45" s="75">
        <f>S45</f>
        <v>1359632.34</v>
      </c>
    </row>
    <row r="46" spans="1:25" x14ac:dyDescent="0.25">
      <c r="A46" s="195" t="s">
        <v>40</v>
      </c>
      <c r="B46" s="94"/>
      <c r="C46" s="94"/>
      <c r="D46" s="94"/>
      <c r="E46" s="92"/>
      <c r="F46" s="92"/>
      <c r="G46" s="92"/>
      <c r="H46" s="92"/>
      <c r="I46" s="92"/>
      <c r="J46" s="78"/>
      <c r="K46" s="78"/>
      <c r="L46" s="78"/>
      <c r="M46" s="78">
        <f t="shared" si="7"/>
        <v>0</v>
      </c>
      <c r="N46" s="78">
        <f>N47+N55</f>
        <v>5568798.4000000004</v>
      </c>
      <c r="O46" s="78">
        <f>O47+O55</f>
        <v>2413887.0012149718</v>
      </c>
      <c r="P46" s="78">
        <f>P47</f>
        <v>430352</v>
      </c>
      <c r="Q46" s="78">
        <f t="shared" ref="Q46" si="20">Q47+Q55</f>
        <v>3633024.6599940001</v>
      </c>
      <c r="R46" s="78">
        <f>R47</f>
        <v>2119384</v>
      </c>
      <c r="S46" s="78">
        <f>S56</f>
        <v>1359632.34</v>
      </c>
      <c r="T46" s="78">
        <f>T47+T55+T56</f>
        <v>15525078.401208973</v>
      </c>
      <c r="U46" s="78">
        <f>U47+U55+U56</f>
        <v>15525078.401208973</v>
      </c>
      <c r="V46" s="78">
        <f>V47+V55+V56</f>
        <v>15525078.401208973</v>
      </c>
      <c r="W46" s="85">
        <v>3633024.66</v>
      </c>
      <c r="X46" s="85">
        <f>W46-Q46</f>
        <v>6.0000456869602203E-6</v>
      </c>
      <c r="Y46" s="80">
        <f>X46/I55</f>
        <v>5.4054465648290273E-8</v>
      </c>
    </row>
    <row r="47" spans="1:25" ht="93.6" customHeight="1" x14ac:dyDescent="0.25">
      <c r="A47" s="201" t="s">
        <v>251</v>
      </c>
      <c r="B47" s="84" t="s">
        <v>76</v>
      </c>
      <c r="C47" s="128"/>
      <c r="D47" s="95"/>
      <c r="E47" s="68"/>
      <c r="F47" s="68"/>
      <c r="G47" s="68"/>
      <c r="H47" s="68"/>
      <c r="I47" s="68"/>
      <c r="J47" s="75"/>
      <c r="K47" s="75"/>
      <c r="L47" s="75"/>
      <c r="M47" s="75">
        <f t="shared" si="7"/>
        <v>0</v>
      </c>
      <c r="N47" s="75">
        <f>SUM(N48:N53)</f>
        <v>5568798.4000000004</v>
      </c>
      <c r="O47" s="75">
        <f>SUM(O48:O54)</f>
        <v>2413887.0012149718</v>
      </c>
      <c r="P47" s="75">
        <f>P52</f>
        <v>430352</v>
      </c>
      <c r="Q47" s="75">
        <f t="shared" ref="Q47" si="21">SUM(Q48:Q50)</f>
        <v>2381491.3529940001</v>
      </c>
      <c r="R47" s="75">
        <f>R51</f>
        <v>2119384</v>
      </c>
      <c r="S47" s="75"/>
      <c r="T47" s="75">
        <f>SUM(T48:T54)</f>
        <v>12913912.754208973</v>
      </c>
      <c r="U47" s="75">
        <f t="shared" ref="U47:V47" si="22">SUM(U48:U54)</f>
        <v>12913912.754208973</v>
      </c>
      <c r="V47" s="75">
        <f t="shared" si="22"/>
        <v>12913912.754208973</v>
      </c>
      <c r="W47" s="85"/>
    </row>
    <row r="48" spans="1:25" ht="105" x14ac:dyDescent="0.25">
      <c r="A48" s="83"/>
      <c r="B48" s="97" t="s">
        <v>19</v>
      </c>
      <c r="C48" s="93" t="s">
        <v>0</v>
      </c>
      <c r="D48" s="213" t="s">
        <v>20</v>
      </c>
      <c r="E48" s="87">
        <v>20</v>
      </c>
      <c r="F48" s="87">
        <v>20</v>
      </c>
      <c r="G48" s="87">
        <f>(E48*8+F48*4)/12</f>
        <v>20</v>
      </c>
      <c r="H48" s="87">
        <v>20</v>
      </c>
      <c r="I48" s="87">
        <v>20</v>
      </c>
      <c r="J48" s="75">
        <v>43138.04</v>
      </c>
      <c r="K48" s="75">
        <v>21614.746317252</v>
      </c>
      <c r="L48" s="75">
        <f>18972.01+207.38+2275.487054</f>
        <v>21454.877054</v>
      </c>
      <c r="M48" s="75">
        <f t="shared" si="7"/>
        <v>86207.663371251998</v>
      </c>
      <c r="N48" s="75">
        <f>G48*J48</f>
        <v>862760.8</v>
      </c>
      <c r="O48" s="75">
        <f>G48*K48</f>
        <v>432294.92634503997</v>
      </c>
      <c r="P48" s="75"/>
      <c r="Q48" s="75">
        <f>G48*L48</f>
        <v>429097.54108</v>
      </c>
      <c r="R48" s="75"/>
      <c r="S48" s="75"/>
      <c r="T48" s="75">
        <f t="shared" si="3"/>
        <v>1724153.2674250398</v>
      </c>
      <c r="U48" s="75">
        <f t="shared" si="16"/>
        <v>1724153.26742504</v>
      </c>
      <c r="V48" s="75">
        <f t="shared" si="4"/>
        <v>1724153.26742504</v>
      </c>
    </row>
    <row r="49" spans="1:25" x14ac:dyDescent="0.25">
      <c r="A49" s="88"/>
      <c r="B49" s="97" t="s">
        <v>24</v>
      </c>
      <c r="C49" s="97"/>
      <c r="D49" s="86" t="s">
        <v>20</v>
      </c>
      <c r="E49" s="87">
        <v>21</v>
      </c>
      <c r="F49" s="87">
        <v>21</v>
      </c>
      <c r="G49" s="87">
        <f t="shared" ref="G49:G50" si="23">(E49*8+F49*4)/12</f>
        <v>21</v>
      </c>
      <c r="H49" s="87">
        <v>21</v>
      </c>
      <c r="I49" s="87">
        <v>21</v>
      </c>
      <c r="J49" s="75">
        <v>34198.17</v>
      </c>
      <c r="K49" s="75">
        <v>21614.746317252</v>
      </c>
      <c r="L49" s="75">
        <f t="shared" ref="L49:L50" si="24">18972.01+207.38+2275.487054</f>
        <v>21454.877054</v>
      </c>
      <c r="M49" s="75">
        <f t="shared" si="7"/>
        <v>77267.793371252003</v>
      </c>
      <c r="N49" s="75">
        <f>G49*J49</f>
        <v>718161.57</v>
      </c>
      <c r="O49" s="75">
        <f>G49*K49</f>
        <v>453909.67266229203</v>
      </c>
      <c r="P49" s="75"/>
      <c r="Q49" s="75">
        <f>G49*L49</f>
        <v>450552.41813400004</v>
      </c>
      <c r="R49" s="75"/>
      <c r="S49" s="75"/>
      <c r="T49" s="75">
        <f t="shared" si="3"/>
        <v>1622623.6607962921</v>
      </c>
      <c r="U49" s="75">
        <f t="shared" si="16"/>
        <v>1622623.6607962921</v>
      </c>
      <c r="V49" s="75">
        <f t="shared" si="4"/>
        <v>1622623.6607962921</v>
      </c>
    </row>
    <row r="50" spans="1:25" ht="120" x14ac:dyDescent="0.25">
      <c r="A50" s="88"/>
      <c r="B50" s="97" t="s">
        <v>24</v>
      </c>
      <c r="C50" s="93" t="s">
        <v>162</v>
      </c>
      <c r="D50" s="213" t="s">
        <v>20</v>
      </c>
      <c r="E50" s="87">
        <v>70</v>
      </c>
      <c r="F50" s="87">
        <v>70</v>
      </c>
      <c r="G50" s="87">
        <f t="shared" si="23"/>
        <v>70</v>
      </c>
      <c r="H50" s="87">
        <v>70</v>
      </c>
      <c r="I50" s="87">
        <v>70</v>
      </c>
      <c r="J50" s="208">
        <v>50023.83</v>
      </c>
      <c r="K50" s="75">
        <v>21614.746317252</v>
      </c>
      <c r="L50" s="75">
        <f t="shared" si="24"/>
        <v>21454.877054</v>
      </c>
      <c r="M50" s="75">
        <f t="shared" si="7"/>
        <v>93093.453371252006</v>
      </c>
      <c r="N50" s="75">
        <f>G50*J50-0.35+0.28</f>
        <v>3501668.03</v>
      </c>
      <c r="O50" s="75">
        <f>G50*K50+0.16</f>
        <v>1513032.40220764</v>
      </c>
      <c r="P50" s="75"/>
      <c r="Q50" s="75">
        <f>G50*L50</f>
        <v>1501841.39378</v>
      </c>
      <c r="R50" s="75"/>
      <c r="S50" s="75"/>
      <c r="T50" s="75">
        <f t="shared" si="3"/>
        <v>6516541.8259876408</v>
      </c>
      <c r="U50" s="75">
        <f>T50</f>
        <v>6516541.8259876408</v>
      </c>
      <c r="V50" s="75">
        <f>U50</f>
        <v>6516541.8259876408</v>
      </c>
    </row>
    <row r="51" spans="1:25" x14ac:dyDescent="0.25">
      <c r="A51" s="88"/>
      <c r="B51" s="89" t="s">
        <v>225</v>
      </c>
      <c r="C51" s="127" t="s">
        <v>219</v>
      </c>
      <c r="D51" s="213"/>
      <c r="E51" s="87"/>
      <c r="F51" s="87"/>
      <c r="G51" s="87">
        <v>11</v>
      </c>
      <c r="H51" s="87">
        <v>11</v>
      </c>
      <c r="I51" s="87">
        <v>11</v>
      </c>
      <c r="J51" s="75"/>
      <c r="K51" s="75"/>
      <c r="L51" s="75"/>
      <c r="M51" s="75"/>
      <c r="N51" s="75"/>
      <c r="O51" s="75"/>
      <c r="P51" s="75"/>
      <c r="Q51" s="75"/>
      <c r="R51" s="75">
        <f>2001627+117757</f>
        <v>2119384</v>
      </c>
      <c r="S51" s="75"/>
      <c r="T51" s="75">
        <f>R51</f>
        <v>2119384</v>
      </c>
      <c r="U51" s="75">
        <f>R51</f>
        <v>2119384</v>
      </c>
      <c r="V51" s="75">
        <f>R51</f>
        <v>2119384</v>
      </c>
    </row>
    <row r="52" spans="1:25" x14ac:dyDescent="0.25">
      <c r="A52" s="88"/>
      <c r="B52" s="89" t="s">
        <v>225</v>
      </c>
      <c r="C52" s="127" t="s">
        <v>226</v>
      </c>
      <c r="D52" s="213"/>
      <c r="E52" s="87"/>
      <c r="F52" s="87"/>
      <c r="G52" s="87">
        <v>7</v>
      </c>
      <c r="H52" s="87">
        <v>7</v>
      </c>
      <c r="I52" s="87">
        <v>7</v>
      </c>
      <c r="J52" s="75"/>
      <c r="K52" s="75"/>
      <c r="L52" s="75"/>
      <c r="M52" s="75"/>
      <c r="N52" s="75"/>
      <c r="O52" s="75"/>
      <c r="P52" s="75">
        <f>199806+148566+81980</f>
        <v>430352</v>
      </c>
      <c r="Q52" s="75"/>
      <c r="R52" s="75"/>
      <c r="S52" s="75"/>
      <c r="T52" s="75">
        <f>P52</f>
        <v>430352</v>
      </c>
      <c r="U52" s="75">
        <f>P52</f>
        <v>430352</v>
      </c>
      <c r="V52" s="75">
        <f>P52</f>
        <v>430352</v>
      </c>
    </row>
    <row r="53" spans="1:25" ht="57" x14ac:dyDescent="0.25">
      <c r="A53" s="88"/>
      <c r="B53" s="84" t="s">
        <v>263</v>
      </c>
      <c r="C53" s="127" t="s">
        <v>226</v>
      </c>
      <c r="D53" s="213"/>
      <c r="E53" s="87"/>
      <c r="F53" s="87"/>
      <c r="G53" s="87"/>
      <c r="H53" s="87"/>
      <c r="I53" s="87"/>
      <c r="J53" s="75"/>
      <c r="K53" s="75"/>
      <c r="L53" s="75"/>
      <c r="M53" s="75"/>
      <c r="N53" s="75">
        <v>486208</v>
      </c>
      <c r="O53" s="75"/>
      <c r="P53" s="75"/>
      <c r="Q53" s="75"/>
      <c r="R53" s="75"/>
      <c r="S53" s="75"/>
      <c r="T53" s="75">
        <f>N53</f>
        <v>486208</v>
      </c>
      <c r="U53" s="75">
        <f t="shared" ref="U53:V55" si="25">T53</f>
        <v>486208</v>
      </c>
      <c r="V53" s="75">
        <f t="shared" si="25"/>
        <v>486208</v>
      </c>
    </row>
    <row r="54" spans="1:25" x14ac:dyDescent="0.25">
      <c r="A54" s="88"/>
      <c r="B54" s="84" t="s">
        <v>281</v>
      </c>
      <c r="C54" s="127"/>
      <c r="D54" s="246"/>
      <c r="E54" s="87"/>
      <c r="F54" s="87"/>
      <c r="G54" s="87"/>
      <c r="H54" s="87"/>
      <c r="I54" s="87"/>
      <c r="J54" s="75"/>
      <c r="K54" s="75"/>
      <c r="L54" s="75"/>
      <c r="M54" s="75"/>
      <c r="N54" s="75"/>
      <c r="O54" s="75">
        <v>14650</v>
      </c>
      <c r="P54" s="75"/>
      <c r="Q54" s="75"/>
      <c r="R54" s="75"/>
      <c r="S54" s="75"/>
      <c r="T54" s="75">
        <f>O54</f>
        <v>14650</v>
      </c>
      <c r="U54" s="75">
        <f t="shared" si="25"/>
        <v>14650</v>
      </c>
      <c r="V54" s="75">
        <f t="shared" si="25"/>
        <v>14650</v>
      </c>
    </row>
    <row r="55" spans="1:25" ht="90" x14ac:dyDescent="0.25">
      <c r="A55" s="201" t="s">
        <v>252</v>
      </c>
      <c r="B55" s="213" t="s">
        <v>28</v>
      </c>
      <c r="C55" s="127" t="s">
        <v>219</v>
      </c>
      <c r="D55" s="86" t="s">
        <v>20</v>
      </c>
      <c r="E55" s="87">
        <f>E50+E49+E48</f>
        <v>111</v>
      </c>
      <c r="F55" s="87">
        <f>F50+F49+F48</f>
        <v>111</v>
      </c>
      <c r="G55" s="87">
        <f>(E55*8+F55*4)/12</f>
        <v>111</v>
      </c>
      <c r="H55" s="87">
        <f>H50+H49+H48</f>
        <v>111</v>
      </c>
      <c r="I55" s="87">
        <f>I50+I49+I48</f>
        <v>111</v>
      </c>
      <c r="J55" s="75" t="s">
        <v>23</v>
      </c>
      <c r="K55" s="75"/>
      <c r="L55" s="75">
        <v>12405.807000000001</v>
      </c>
      <c r="M55" s="75">
        <f t="shared" si="7"/>
        <v>12405.807000000001</v>
      </c>
      <c r="N55" s="75">
        <f t="shared" ref="N55" si="26">G55*J55</f>
        <v>0</v>
      </c>
      <c r="O55" s="75">
        <f t="shared" ref="O55" si="27">G55*K55</f>
        <v>0</v>
      </c>
      <c r="P55" s="75"/>
      <c r="Q55" s="75">
        <f>E55*L55-125511.27</f>
        <v>1251533.307</v>
      </c>
      <c r="R55" s="75"/>
      <c r="S55" s="75"/>
      <c r="T55" s="75">
        <f>SUM(N55:Q55)</f>
        <v>1251533.307</v>
      </c>
      <c r="U55" s="75">
        <f t="shared" si="25"/>
        <v>1251533.307</v>
      </c>
      <c r="V55" s="75">
        <f t="shared" si="25"/>
        <v>1251533.307</v>
      </c>
    </row>
    <row r="56" spans="1:25" x14ac:dyDescent="0.25">
      <c r="A56" s="86"/>
      <c r="B56" s="213" t="s">
        <v>28</v>
      </c>
      <c r="C56" s="127" t="s">
        <v>220</v>
      </c>
      <c r="D56" s="86"/>
      <c r="E56" s="87"/>
      <c r="F56" s="87"/>
      <c r="G56" s="87"/>
      <c r="H56" s="87"/>
      <c r="I56" s="87"/>
      <c r="J56" s="75"/>
      <c r="K56" s="75"/>
      <c r="L56" s="75">
        <v>12248.94</v>
      </c>
      <c r="M56" s="75"/>
      <c r="N56" s="75"/>
      <c r="O56" s="75"/>
      <c r="P56" s="75"/>
      <c r="Q56" s="75"/>
      <c r="R56" s="75"/>
      <c r="S56" s="75">
        <f>L56*G55</f>
        <v>1359632.34</v>
      </c>
      <c r="T56" s="75">
        <f>S56</f>
        <v>1359632.34</v>
      </c>
      <c r="U56" s="75">
        <f>S56</f>
        <v>1359632.34</v>
      </c>
      <c r="V56" s="75">
        <f>S56</f>
        <v>1359632.34</v>
      </c>
    </row>
    <row r="57" spans="1:25" x14ac:dyDescent="0.25">
      <c r="A57" s="195" t="s">
        <v>44</v>
      </c>
      <c r="B57" s="94"/>
      <c r="C57" s="94"/>
      <c r="D57" s="94"/>
      <c r="E57" s="92"/>
      <c r="F57" s="92"/>
      <c r="G57" s="92"/>
      <c r="H57" s="92"/>
      <c r="I57" s="92"/>
      <c r="J57" s="78"/>
      <c r="K57" s="78"/>
      <c r="L57" s="78"/>
      <c r="M57" s="78">
        <f t="shared" si="7"/>
        <v>0</v>
      </c>
      <c r="N57" s="78">
        <f>N58+N67</f>
        <v>12356046</v>
      </c>
      <c r="O57" s="78">
        <f>O58+O67</f>
        <v>4647350.0018919278</v>
      </c>
      <c r="P57" s="78">
        <f>P58</f>
        <v>768048</v>
      </c>
      <c r="Q57" s="78">
        <f t="shared" ref="Q57" si="28">Q58+Q67</f>
        <v>7127415.0299948007</v>
      </c>
      <c r="R57" s="78">
        <f>R58</f>
        <v>3434069</v>
      </c>
      <c r="S57" s="78">
        <f>S68</f>
        <v>2621273.16</v>
      </c>
      <c r="T57" s="78">
        <f>T58+T67+T68</f>
        <v>30954201.19188673</v>
      </c>
      <c r="U57" s="78">
        <f t="shared" ref="U57:V57" si="29">U58+U67+U68</f>
        <v>30954201.19188673</v>
      </c>
      <c r="V57" s="78">
        <f t="shared" si="29"/>
        <v>30954201.19188673</v>
      </c>
      <c r="W57" s="252">
        <v>7127415.0300000003</v>
      </c>
      <c r="X57" s="85">
        <f>W57-Q57</f>
        <v>5.1995739340782166E-6</v>
      </c>
      <c r="Y57" s="80">
        <f>X57/I67</f>
        <v>2.4297074458309424E-8</v>
      </c>
    </row>
    <row r="58" spans="1:25" ht="96.6" customHeight="1" x14ac:dyDescent="0.25">
      <c r="A58" s="201" t="s">
        <v>251</v>
      </c>
      <c r="B58" s="84" t="s">
        <v>76</v>
      </c>
      <c r="C58" s="128"/>
      <c r="D58" s="95"/>
      <c r="E58" s="68"/>
      <c r="F58" s="68"/>
      <c r="G58" s="68"/>
      <c r="H58" s="68"/>
      <c r="I58" s="68"/>
      <c r="J58" s="75"/>
      <c r="K58" s="75"/>
      <c r="L58" s="75"/>
      <c r="M58" s="75">
        <f t="shared" si="7"/>
        <v>0</v>
      </c>
      <c r="N58" s="75">
        <f>SUM(N59:N65)</f>
        <v>12356046</v>
      </c>
      <c r="O58" s="75">
        <f>SUM(O59:O66)</f>
        <v>4647350.0018919278</v>
      </c>
      <c r="P58" s="75">
        <f>P64</f>
        <v>768048</v>
      </c>
      <c r="Q58" s="75">
        <f t="shared" ref="Q58" si="30">SUM(Q59:Q62)</f>
        <v>4315683.2519947998</v>
      </c>
      <c r="R58" s="75">
        <f>R63</f>
        <v>3434069</v>
      </c>
      <c r="S58" s="75"/>
      <c r="T58" s="75">
        <f>SUM(T59:T66)</f>
        <v>25521196.253886729</v>
      </c>
      <c r="U58" s="75">
        <f t="shared" ref="U58:V58" si="31">SUM(U59:U66)</f>
        <v>25521196.253886729</v>
      </c>
      <c r="V58" s="75">
        <f t="shared" si="31"/>
        <v>25521196.253886729</v>
      </c>
      <c r="W58" s="85">
        <f>S57+T58</f>
        <v>28142469.41388673</v>
      </c>
    </row>
    <row r="59" spans="1:25" ht="105" x14ac:dyDescent="0.25">
      <c r="A59" s="83"/>
      <c r="B59" s="97" t="s">
        <v>19</v>
      </c>
      <c r="C59" s="93" t="s">
        <v>0</v>
      </c>
      <c r="D59" s="213" t="s">
        <v>20</v>
      </c>
      <c r="E59" s="87">
        <v>37</v>
      </c>
      <c r="F59" s="87">
        <v>37</v>
      </c>
      <c r="G59" s="87">
        <f>(E59*8+F59*4)/12</f>
        <v>37</v>
      </c>
      <c r="H59" s="87">
        <v>37</v>
      </c>
      <c r="I59" s="87">
        <v>37</v>
      </c>
      <c r="J59" s="75">
        <v>43138.04</v>
      </c>
      <c r="K59" s="75">
        <v>21614.746317252</v>
      </c>
      <c r="L59" s="75">
        <f>18972.01+207.38+987.3541682</f>
        <v>20166.744168199999</v>
      </c>
      <c r="M59" s="75">
        <f t="shared" si="7"/>
        <v>84919.530485452007</v>
      </c>
      <c r="N59" s="75">
        <f>G59*J59+0.2+0.3</f>
        <v>1596107.98</v>
      </c>
      <c r="O59" s="75">
        <f>G59*K59+0.29</f>
        <v>799745.90373832406</v>
      </c>
      <c r="P59" s="75"/>
      <c r="Q59" s="75">
        <f>G59*L59</f>
        <v>746169.53422339994</v>
      </c>
      <c r="R59" s="75"/>
      <c r="S59" s="75"/>
      <c r="T59" s="75">
        <f>SUM(N59:Q59)</f>
        <v>3142023.4179617241</v>
      </c>
      <c r="U59" s="75">
        <f>T59</f>
        <v>3142023.4179617241</v>
      </c>
      <c r="V59" s="75">
        <f>U59</f>
        <v>3142023.4179617241</v>
      </c>
    </row>
    <row r="60" spans="1:25" x14ac:dyDescent="0.25">
      <c r="A60" s="88"/>
      <c r="B60" s="97" t="s">
        <v>24</v>
      </c>
      <c r="C60" s="97"/>
      <c r="D60" s="86" t="s">
        <v>20</v>
      </c>
      <c r="E60" s="87">
        <v>79</v>
      </c>
      <c r="F60" s="87">
        <v>79</v>
      </c>
      <c r="G60" s="87">
        <f>(E60*8+F60*4)/12</f>
        <v>79</v>
      </c>
      <c r="H60" s="87">
        <v>79</v>
      </c>
      <c r="I60" s="87">
        <v>79</v>
      </c>
      <c r="J60" s="75">
        <v>34198.17</v>
      </c>
      <c r="K60" s="75">
        <v>21614.746317252</v>
      </c>
      <c r="L60" s="75">
        <f t="shared" ref="L60:L62" si="32">18972.01+207.38+987.3541682</f>
        <v>20166.744168199999</v>
      </c>
      <c r="M60" s="75">
        <f t="shared" si="7"/>
        <v>75979.660485451997</v>
      </c>
      <c r="N60" s="75">
        <f t="shared" ref="N60:N67" si="33">G60*J60</f>
        <v>2701655.4299999997</v>
      </c>
      <c r="O60" s="75">
        <f t="shared" ref="O60:O67" si="34">G60*K60</f>
        <v>1707564.9590629081</v>
      </c>
      <c r="P60" s="75"/>
      <c r="Q60" s="75">
        <f t="shared" ref="Q60:Q61" si="35">G60*L60</f>
        <v>1593172.7892878</v>
      </c>
      <c r="R60" s="75"/>
      <c r="S60" s="75"/>
      <c r="T60" s="75">
        <f t="shared" si="3"/>
        <v>6002393.1783507075</v>
      </c>
      <c r="U60" s="75">
        <f t="shared" si="16"/>
        <v>6002393.1783507075</v>
      </c>
      <c r="V60" s="75">
        <f t="shared" si="4"/>
        <v>6002393.1783507075</v>
      </c>
    </row>
    <row r="61" spans="1:25" ht="105" x14ac:dyDescent="0.25">
      <c r="A61" s="83"/>
      <c r="B61" s="130"/>
      <c r="C61" s="93" t="s">
        <v>38</v>
      </c>
      <c r="D61" s="213" t="s">
        <v>20</v>
      </c>
      <c r="E61" s="87">
        <v>23</v>
      </c>
      <c r="F61" s="87">
        <v>23</v>
      </c>
      <c r="G61" s="87">
        <f t="shared" ref="G61:G67" si="36">(E61*8+F61*4)/12</f>
        <v>23</v>
      </c>
      <c r="H61" s="87">
        <v>23</v>
      </c>
      <c r="I61" s="87">
        <v>23</v>
      </c>
      <c r="J61" s="75">
        <v>142093.57999999999</v>
      </c>
      <c r="K61" s="75">
        <v>21614.746317252</v>
      </c>
      <c r="L61" s="75">
        <f t="shared" si="32"/>
        <v>20166.744168199999</v>
      </c>
      <c r="M61" s="75">
        <f t="shared" si="7"/>
        <v>183875.07048545199</v>
      </c>
      <c r="N61" s="75">
        <f t="shared" si="33"/>
        <v>3268152.34</v>
      </c>
      <c r="O61" s="75">
        <f t="shared" si="34"/>
        <v>497139.16529679601</v>
      </c>
      <c r="P61" s="75"/>
      <c r="Q61" s="75">
        <f t="shared" si="35"/>
        <v>463835.11586859997</v>
      </c>
      <c r="R61" s="75"/>
      <c r="S61" s="75"/>
      <c r="T61" s="75">
        <f t="shared" si="3"/>
        <v>4229126.6211653957</v>
      </c>
      <c r="U61" s="75">
        <f t="shared" si="16"/>
        <v>4229126.6211653957</v>
      </c>
      <c r="V61" s="75">
        <f t="shared" si="4"/>
        <v>4229126.6211653957</v>
      </c>
    </row>
    <row r="62" spans="1:25" ht="120" x14ac:dyDescent="0.25">
      <c r="A62" s="83"/>
      <c r="B62" s="97" t="s">
        <v>24</v>
      </c>
      <c r="C62" s="93" t="s">
        <v>162</v>
      </c>
      <c r="D62" s="213" t="s">
        <v>20</v>
      </c>
      <c r="E62" s="87">
        <v>75</v>
      </c>
      <c r="F62" s="87">
        <v>75</v>
      </c>
      <c r="G62" s="87">
        <f t="shared" si="36"/>
        <v>75</v>
      </c>
      <c r="H62" s="87">
        <v>75</v>
      </c>
      <c r="I62" s="87">
        <v>75</v>
      </c>
      <c r="J62" s="208">
        <v>50023.83</v>
      </c>
      <c r="K62" s="75">
        <v>21614.746317252</v>
      </c>
      <c r="L62" s="75">
        <f t="shared" si="32"/>
        <v>20166.744168199999</v>
      </c>
      <c r="M62" s="75">
        <f t="shared" si="7"/>
        <v>91805.320485452015</v>
      </c>
      <c r="N62" s="75">
        <f t="shared" si="33"/>
        <v>3751787.25</v>
      </c>
      <c r="O62" s="75">
        <f t="shared" si="34"/>
        <v>1621105.9737939001</v>
      </c>
      <c r="P62" s="75"/>
      <c r="Q62" s="75">
        <f>G62*L62</f>
        <v>1512505.8126149999</v>
      </c>
      <c r="R62" s="75"/>
      <c r="S62" s="75"/>
      <c r="T62" s="75">
        <f t="shared" si="3"/>
        <v>6885399.0364088994</v>
      </c>
      <c r="U62" s="75">
        <f t="shared" si="16"/>
        <v>6885399.0364089012</v>
      </c>
      <c r="V62" s="75">
        <f t="shared" si="4"/>
        <v>6885399.0364089012</v>
      </c>
    </row>
    <row r="63" spans="1:25" x14ac:dyDescent="0.25">
      <c r="A63" s="83"/>
      <c r="B63" s="89" t="s">
        <v>225</v>
      </c>
      <c r="C63" s="127" t="s">
        <v>219</v>
      </c>
      <c r="D63" s="213"/>
      <c r="E63" s="87"/>
      <c r="F63" s="87"/>
      <c r="G63" s="87">
        <v>20</v>
      </c>
      <c r="H63" s="87">
        <v>20</v>
      </c>
      <c r="I63" s="87">
        <v>20</v>
      </c>
      <c r="J63" s="75"/>
      <c r="K63" s="75"/>
      <c r="L63" s="75"/>
      <c r="M63" s="75"/>
      <c r="N63" s="75"/>
      <c r="O63" s="75"/>
      <c r="P63" s="75"/>
      <c r="Q63" s="75"/>
      <c r="R63" s="75">
        <f>3311260+122809</f>
        <v>3434069</v>
      </c>
      <c r="S63" s="75"/>
      <c r="T63" s="75">
        <f>R63</f>
        <v>3434069</v>
      </c>
      <c r="U63" s="75">
        <f>R63</f>
        <v>3434069</v>
      </c>
      <c r="V63" s="75">
        <f>R63</f>
        <v>3434069</v>
      </c>
    </row>
    <row r="64" spans="1:25" x14ac:dyDescent="0.25">
      <c r="A64" s="83"/>
      <c r="B64" s="89" t="s">
        <v>225</v>
      </c>
      <c r="C64" s="127" t="s">
        <v>226</v>
      </c>
      <c r="D64" s="213"/>
      <c r="E64" s="87"/>
      <c r="F64" s="87"/>
      <c r="G64" s="87">
        <v>12</v>
      </c>
      <c r="H64" s="87">
        <v>12</v>
      </c>
      <c r="I64" s="87">
        <v>12</v>
      </c>
      <c r="J64" s="75"/>
      <c r="K64" s="75"/>
      <c r="L64" s="75"/>
      <c r="M64" s="75"/>
      <c r="N64" s="75"/>
      <c r="O64" s="75"/>
      <c r="P64" s="75">
        <f>342524+289631+135893</f>
        <v>768048</v>
      </c>
      <c r="Q64" s="75"/>
      <c r="R64" s="75"/>
      <c r="S64" s="75"/>
      <c r="T64" s="75">
        <f>P64</f>
        <v>768048</v>
      </c>
      <c r="U64" s="75">
        <f>P64</f>
        <v>768048</v>
      </c>
      <c r="V64" s="75">
        <f>P64</f>
        <v>768048</v>
      </c>
    </row>
    <row r="65" spans="1:25" ht="57" x14ac:dyDescent="0.25">
      <c r="A65" s="83"/>
      <c r="B65" s="84" t="s">
        <v>263</v>
      </c>
      <c r="C65" s="127" t="s">
        <v>226</v>
      </c>
      <c r="D65" s="213"/>
      <c r="E65" s="87"/>
      <c r="F65" s="87"/>
      <c r="G65" s="87"/>
      <c r="H65" s="87"/>
      <c r="I65" s="87"/>
      <c r="J65" s="75"/>
      <c r="K65" s="75"/>
      <c r="L65" s="75"/>
      <c r="M65" s="75"/>
      <c r="N65" s="75">
        <v>1038343</v>
      </c>
      <c r="O65" s="75"/>
      <c r="P65" s="75"/>
      <c r="Q65" s="75"/>
      <c r="R65" s="75"/>
      <c r="S65" s="75"/>
      <c r="T65" s="75">
        <f>N65</f>
        <v>1038343</v>
      </c>
      <c r="U65" s="75">
        <f t="shared" ref="U65:V67" si="37">T65</f>
        <v>1038343</v>
      </c>
      <c r="V65" s="75">
        <f t="shared" si="37"/>
        <v>1038343</v>
      </c>
    </row>
    <row r="66" spans="1:25" x14ac:dyDescent="0.25">
      <c r="A66" s="83"/>
      <c r="B66" s="84" t="s">
        <v>281</v>
      </c>
      <c r="C66" s="127"/>
      <c r="D66" s="246"/>
      <c r="E66" s="87"/>
      <c r="F66" s="87"/>
      <c r="G66" s="87"/>
      <c r="H66" s="87"/>
      <c r="I66" s="87"/>
      <c r="J66" s="75"/>
      <c r="K66" s="75"/>
      <c r="L66" s="75"/>
      <c r="M66" s="75"/>
      <c r="N66" s="75"/>
      <c r="O66" s="75">
        <v>21794</v>
      </c>
      <c r="P66" s="75"/>
      <c r="Q66" s="75"/>
      <c r="R66" s="75"/>
      <c r="S66" s="75"/>
      <c r="T66" s="75">
        <f>O66</f>
        <v>21794</v>
      </c>
      <c r="U66" s="75">
        <f t="shared" si="37"/>
        <v>21794</v>
      </c>
      <c r="V66" s="75">
        <f t="shared" si="37"/>
        <v>21794</v>
      </c>
    </row>
    <row r="67" spans="1:25" ht="90" x14ac:dyDescent="0.25">
      <c r="A67" s="201" t="s">
        <v>252</v>
      </c>
      <c r="B67" s="213" t="s">
        <v>28</v>
      </c>
      <c r="C67" s="127" t="s">
        <v>219</v>
      </c>
      <c r="D67" s="86" t="s">
        <v>20</v>
      </c>
      <c r="E67" s="87">
        <f>E62+E61+E60+E59</f>
        <v>214</v>
      </c>
      <c r="F67" s="87">
        <f>F62+F61+F60+F59</f>
        <v>214</v>
      </c>
      <c r="G67" s="87">
        <f t="shared" si="36"/>
        <v>214</v>
      </c>
      <c r="H67" s="87">
        <f>H62+H61+H60+H59</f>
        <v>214</v>
      </c>
      <c r="I67" s="87">
        <f>I62+I61+I60+I59</f>
        <v>214</v>
      </c>
      <c r="J67" s="75" t="s">
        <v>23</v>
      </c>
      <c r="K67" s="75"/>
      <c r="L67" s="75">
        <v>12405.807000000001</v>
      </c>
      <c r="M67" s="75">
        <f t="shared" si="7"/>
        <v>12405.807000000001</v>
      </c>
      <c r="N67" s="75">
        <f t="shared" si="33"/>
        <v>0</v>
      </c>
      <c r="O67" s="75">
        <f t="shared" si="34"/>
        <v>0</v>
      </c>
      <c r="P67" s="75"/>
      <c r="Q67" s="75">
        <f>G67*L67+156889.08</f>
        <v>2811731.7780000004</v>
      </c>
      <c r="R67" s="75"/>
      <c r="S67" s="75"/>
      <c r="T67" s="75">
        <f t="shared" si="3"/>
        <v>2811731.7780000004</v>
      </c>
      <c r="U67" s="75">
        <f t="shared" si="37"/>
        <v>2811731.7780000004</v>
      </c>
      <c r="V67" s="75">
        <f t="shared" si="37"/>
        <v>2811731.7780000004</v>
      </c>
    </row>
    <row r="68" spans="1:25" ht="42" customHeight="1" x14ac:dyDescent="0.25">
      <c r="A68" s="86"/>
      <c r="B68" s="213" t="s">
        <v>28</v>
      </c>
      <c r="C68" s="127" t="s">
        <v>220</v>
      </c>
      <c r="D68" s="86"/>
      <c r="E68" s="87"/>
      <c r="F68" s="87"/>
      <c r="G68" s="87"/>
      <c r="H68" s="87"/>
      <c r="I68" s="87"/>
      <c r="J68" s="75"/>
      <c r="K68" s="75"/>
      <c r="L68" s="75">
        <v>12248.94</v>
      </c>
      <c r="M68" s="75"/>
      <c r="N68" s="75"/>
      <c r="O68" s="75"/>
      <c r="P68" s="75"/>
      <c r="Q68" s="75"/>
      <c r="R68" s="75"/>
      <c r="S68" s="75">
        <f>L68*G67</f>
        <v>2621273.16</v>
      </c>
      <c r="T68" s="75">
        <f>S68</f>
        <v>2621273.16</v>
      </c>
      <c r="U68" s="75">
        <f>S68</f>
        <v>2621273.16</v>
      </c>
      <c r="V68" s="75">
        <f>S68</f>
        <v>2621273.16</v>
      </c>
    </row>
    <row r="69" spans="1:25" x14ac:dyDescent="0.25">
      <c r="A69" s="195" t="s">
        <v>49</v>
      </c>
      <c r="B69" s="94"/>
      <c r="C69" s="94"/>
      <c r="D69" s="94"/>
      <c r="E69" s="92"/>
      <c r="F69" s="92"/>
      <c r="G69" s="92"/>
      <c r="H69" s="92"/>
      <c r="I69" s="92"/>
      <c r="J69" s="78"/>
      <c r="K69" s="78"/>
      <c r="L69" s="78"/>
      <c r="M69" s="78">
        <f t="shared" si="7"/>
        <v>0</v>
      </c>
      <c r="N69" s="78">
        <f>N70+N79</f>
        <v>5469567</v>
      </c>
      <c r="O69" s="78">
        <f>O70+O79</f>
        <v>2563981.9954357361</v>
      </c>
      <c r="P69" s="78">
        <f>P70</f>
        <v>423231</v>
      </c>
      <c r="Q69" s="78">
        <f>Q70+Q79</f>
        <v>3863088.1200044006</v>
      </c>
      <c r="R69" s="78">
        <f>R70</f>
        <v>2050850</v>
      </c>
      <c r="S69" s="78">
        <f>S80</f>
        <v>1445374.9200000002</v>
      </c>
      <c r="T69" s="78">
        <f>T70+T79+T80</f>
        <v>15816093.035440138</v>
      </c>
      <c r="U69" s="78">
        <f>U70+U79+U80</f>
        <v>15816093.035440138</v>
      </c>
      <c r="V69" s="78">
        <f t="shared" ref="V69" si="38">V70+V79+V80</f>
        <v>15816093.035440138</v>
      </c>
      <c r="W69" s="80">
        <v>3863088.12</v>
      </c>
      <c r="X69" s="85">
        <f>W69-Q69</f>
        <v>-4.400499165058136E-6</v>
      </c>
      <c r="Y69" s="80">
        <f>X69/I79</f>
        <v>-3.7292365805577422E-8</v>
      </c>
    </row>
    <row r="70" spans="1:25" ht="96" customHeight="1" x14ac:dyDescent="0.25">
      <c r="A70" s="201" t="s">
        <v>251</v>
      </c>
      <c r="B70" s="84" t="s">
        <v>76</v>
      </c>
      <c r="C70" s="128"/>
      <c r="D70" s="95"/>
      <c r="E70" s="68"/>
      <c r="F70" s="68"/>
      <c r="G70" s="68"/>
      <c r="H70" s="68"/>
      <c r="I70" s="68"/>
      <c r="J70" s="75"/>
      <c r="K70" s="75"/>
      <c r="L70" s="75"/>
      <c r="M70" s="75">
        <f t="shared" si="7"/>
        <v>0</v>
      </c>
      <c r="N70" s="75">
        <f>SUM(N71:N77)</f>
        <v>5469567</v>
      </c>
      <c r="O70" s="75">
        <f>SUM(O71:O78)</f>
        <v>2563981.9954357361</v>
      </c>
      <c r="P70" s="188">
        <f>P76</f>
        <v>423231</v>
      </c>
      <c r="Q70" s="75">
        <f t="shared" ref="Q70" si="39">SUM(Q71:Q74)</f>
        <v>2524714.1640044004</v>
      </c>
      <c r="R70" s="75">
        <f>R75</f>
        <v>2050850</v>
      </c>
      <c r="S70" s="75"/>
      <c r="T70" s="75">
        <f>SUM(T71:T78)</f>
        <v>13032344.159440137</v>
      </c>
      <c r="U70" s="75">
        <f t="shared" ref="U70:V70" si="40">SUM(U71:U78)</f>
        <v>13032344.159440137</v>
      </c>
      <c r="V70" s="75">
        <f t="shared" si="40"/>
        <v>13032344.159440137</v>
      </c>
    </row>
    <row r="71" spans="1:25" ht="105" x14ac:dyDescent="0.25">
      <c r="A71" s="83"/>
      <c r="B71" s="97" t="s">
        <v>19</v>
      </c>
      <c r="C71" s="93" t="s">
        <v>0</v>
      </c>
      <c r="D71" s="213" t="s">
        <v>20</v>
      </c>
      <c r="E71" s="87">
        <v>26</v>
      </c>
      <c r="F71" s="87">
        <v>26</v>
      </c>
      <c r="G71" s="87">
        <f t="shared" ref="G71:G74" si="41">(E71*8+F71*4)/12</f>
        <v>26</v>
      </c>
      <c r="H71" s="87">
        <v>26</v>
      </c>
      <c r="I71" s="87">
        <v>26</v>
      </c>
      <c r="J71" s="75">
        <v>43138.04</v>
      </c>
      <c r="K71" s="75">
        <v>21614.746317252</v>
      </c>
      <c r="L71" s="75">
        <f>18972.01+207.38+1792.763932+423.7288138</f>
        <v>21395.882745800001</v>
      </c>
      <c r="M71" s="75">
        <f t="shared" si="7"/>
        <v>86148.669063052002</v>
      </c>
      <c r="N71" s="75">
        <f>G71*J71-0.48+0.3</f>
        <v>1121588.8600000001</v>
      </c>
      <c r="O71" s="75">
        <f>G71*K71-0.07</f>
        <v>561983.3342485521</v>
      </c>
      <c r="P71" s="75"/>
      <c r="Q71" s="75">
        <f>G71*L71</f>
        <v>556292.95139080007</v>
      </c>
      <c r="R71" s="75"/>
      <c r="S71" s="75"/>
      <c r="T71" s="75">
        <f>SUM(N71:Q71)</f>
        <v>2239865.1456393525</v>
      </c>
      <c r="U71" s="75">
        <f>T71</f>
        <v>2239865.1456393525</v>
      </c>
      <c r="V71" s="75">
        <f>U71</f>
        <v>2239865.1456393525</v>
      </c>
    </row>
    <row r="72" spans="1:25" x14ac:dyDescent="0.25">
      <c r="A72" s="88"/>
      <c r="B72" s="97" t="s">
        <v>24</v>
      </c>
      <c r="C72" s="97"/>
      <c r="D72" s="86" t="s">
        <v>20</v>
      </c>
      <c r="E72" s="87">
        <v>17</v>
      </c>
      <c r="F72" s="87">
        <v>17</v>
      </c>
      <c r="G72" s="87">
        <f>(E72*8+F72*4)/12</f>
        <v>17</v>
      </c>
      <c r="H72" s="87">
        <v>17</v>
      </c>
      <c r="I72" s="87">
        <v>17</v>
      </c>
      <c r="J72" s="75">
        <v>34198.17</v>
      </c>
      <c r="K72" s="75">
        <v>21614.746317252</v>
      </c>
      <c r="L72" s="75">
        <f t="shared" ref="L72:L74" si="42">18972.01+207.38+1792.763932+423.7288138</f>
        <v>21395.882745800001</v>
      </c>
      <c r="M72" s="75">
        <f t="shared" si="7"/>
        <v>77208.799063051993</v>
      </c>
      <c r="N72" s="75">
        <f>G72*J72</f>
        <v>581368.89</v>
      </c>
      <c r="O72" s="75">
        <f>G72*K72</f>
        <v>367450.687393284</v>
      </c>
      <c r="P72" s="75"/>
      <c r="Q72" s="75">
        <f>G72*L72</f>
        <v>363730.00667860004</v>
      </c>
      <c r="R72" s="75"/>
      <c r="S72" s="75"/>
      <c r="T72" s="75">
        <f>SUM(N72:Q72)</f>
        <v>1312549.5840718842</v>
      </c>
      <c r="U72" s="75">
        <f>H72*M72</f>
        <v>1312549.5840718839</v>
      </c>
      <c r="V72" s="75">
        <f>U72</f>
        <v>1312549.5840718839</v>
      </c>
    </row>
    <row r="73" spans="1:25" ht="105" x14ac:dyDescent="0.25">
      <c r="A73" s="88"/>
      <c r="B73" s="97" t="s">
        <v>24</v>
      </c>
      <c r="C73" s="93" t="s">
        <v>179</v>
      </c>
      <c r="D73" s="86" t="s">
        <v>20</v>
      </c>
      <c r="E73" s="87">
        <v>0</v>
      </c>
      <c r="F73" s="87">
        <v>0</v>
      </c>
      <c r="G73" s="87">
        <f>(E73*8+F73*4)/12</f>
        <v>0</v>
      </c>
      <c r="H73" s="87">
        <v>0</v>
      </c>
      <c r="I73" s="87">
        <v>0</v>
      </c>
      <c r="J73" s="208">
        <v>67236.92</v>
      </c>
      <c r="K73" s="75">
        <v>21614.746317252</v>
      </c>
      <c r="L73" s="75">
        <f t="shared" si="42"/>
        <v>21395.882745800001</v>
      </c>
      <c r="M73" s="75">
        <f>J73+K73+L73</f>
        <v>110247.54906305201</v>
      </c>
      <c r="N73" s="75">
        <f>G73*J73</f>
        <v>0</v>
      </c>
      <c r="O73" s="75">
        <f>G73*K73</f>
        <v>0</v>
      </c>
      <c r="P73" s="75"/>
      <c r="Q73" s="75">
        <f>G73*L73</f>
        <v>0</v>
      </c>
      <c r="R73" s="75"/>
      <c r="S73" s="75"/>
      <c r="T73" s="75">
        <f>SUM(N73:Q73)</f>
        <v>0</v>
      </c>
      <c r="U73" s="75">
        <f>H73*M73</f>
        <v>0</v>
      </c>
      <c r="V73" s="75">
        <f>I73*M73</f>
        <v>0</v>
      </c>
    </row>
    <row r="74" spans="1:25" ht="120" x14ac:dyDescent="0.25">
      <c r="A74" s="88"/>
      <c r="B74" s="97" t="s">
        <v>24</v>
      </c>
      <c r="C74" s="93" t="s">
        <v>162</v>
      </c>
      <c r="D74" s="213" t="s">
        <v>20</v>
      </c>
      <c r="E74" s="87">
        <v>75</v>
      </c>
      <c r="F74" s="87">
        <v>75</v>
      </c>
      <c r="G74" s="87">
        <f t="shared" si="41"/>
        <v>75</v>
      </c>
      <c r="H74" s="87">
        <v>75</v>
      </c>
      <c r="I74" s="87">
        <v>75</v>
      </c>
      <c r="J74" s="208">
        <v>50023.83</v>
      </c>
      <c r="K74" s="75">
        <v>21614.746317252</v>
      </c>
      <c r="L74" s="75">
        <f t="shared" si="42"/>
        <v>21395.882745800001</v>
      </c>
      <c r="M74" s="75">
        <f t="shared" ref="M74" si="43">J74+K74+L74</f>
        <v>93034.459063052011</v>
      </c>
      <c r="N74" s="75">
        <f t="shared" ref="N74:N79" si="44">G74*J74</f>
        <v>3751787.25</v>
      </c>
      <c r="O74" s="75">
        <f t="shared" ref="O74:O79" si="45">G74*K74</f>
        <v>1621105.9737939001</v>
      </c>
      <c r="P74" s="75"/>
      <c r="Q74" s="75">
        <f t="shared" ref="Q74" si="46">G74*L74</f>
        <v>1604691.2059350002</v>
      </c>
      <c r="R74" s="75"/>
      <c r="S74" s="75"/>
      <c r="T74" s="75">
        <f t="shared" ref="T74" si="47">SUM(N74:Q74)</f>
        <v>6977584.4297289001</v>
      </c>
      <c r="U74" s="75">
        <f t="shared" ref="U74" si="48">H74*M74</f>
        <v>6977584.429728901</v>
      </c>
      <c r="V74" s="75">
        <f t="shared" ref="V74" si="49">I74*M74</f>
        <v>6977584.429728901</v>
      </c>
    </row>
    <row r="75" spans="1:25" x14ac:dyDescent="0.25">
      <c r="A75" s="88"/>
      <c r="B75" s="89" t="s">
        <v>225</v>
      </c>
      <c r="C75" s="127" t="s">
        <v>219</v>
      </c>
      <c r="D75" s="213"/>
      <c r="E75" s="87"/>
      <c r="F75" s="87"/>
      <c r="G75" s="87">
        <v>12</v>
      </c>
      <c r="H75" s="87">
        <v>12</v>
      </c>
      <c r="I75" s="87">
        <v>12</v>
      </c>
      <c r="J75" s="75"/>
      <c r="K75" s="75"/>
      <c r="L75" s="75"/>
      <c r="M75" s="75"/>
      <c r="N75" s="75"/>
      <c r="O75" s="75"/>
      <c r="P75" s="75"/>
      <c r="Q75" s="75"/>
      <c r="R75" s="75">
        <v>2050850</v>
      </c>
      <c r="S75" s="75"/>
      <c r="T75" s="75">
        <f>R75</f>
        <v>2050850</v>
      </c>
      <c r="U75" s="75">
        <f>R75</f>
        <v>2050850</v>
      </c>
      <c r="V75" s="75">
        <f>R75</f>
        <v>2050850</v>
      </c>
    </row>
    <row r="76" spans="1:25" x14ac:dyDescent="0.25">
      <c r="A76" s="88"/>
      <c r="B76" s="89" t="s">
        <v>225</v>
      </c>
      <c r="C76" s="127" t="s">
        <v>226</v>
      </c>
      <c r="D76" s="213"/>
      <c r="E76" s="87"/>
      <c r="F76" s="87"/>
      <c r="G76" s="87">
        <v>6</v>
      </c>
      <c r="H76" s="87">
        <v>6</v>
      </c>
      <c r="I76" s="87">
        <v>6</v>
      </c>
      <c r="J76" s="75"/>
      <c r="K76" s="75"/>
      <c r="L76" s="75"/>
      <c r="M76" s="75"/>
      <c r="N76" s="75"/>
      <c r="O76" s="75"/>
      <c r="P76" s="75">
        <f>171262+162730+89239</f>
        <v>423231</v>
      </c>
      <c r="Q76" s="75"/>
      <c r="R76" s="75"/>
      <c r="S76" s="75"/>
      <c r="T76" s="75">
        <f>P76</f>
        <v>423231</v>
      </c>
      <c r="U76" s="75">
        <f>P76</f>
        <v>423231</v>
      </c>
      <c r="V76" s="75">
        <f>P76</f>
        <v>423231</v>
      </c>
    </row>
    <row r="77" spans="1:25" ht="57" x14ac:dyDescent="0.25">
      <c r="A77" s="88"/>
      <c r="B77" s="84" t="s">
        <v>263</v>
      </c>
      <c r="C77" s="127" t="s">
        <v>226</v>
      </c>
      <c r="D77" s="213"/>
      <c r="E77" s="87"/>
      <c r="F77" s="87"/>
      <c r="G77" s="87"/>
      <c r="H77" s="87"/>
      <c r="I77" s="87"/>
      <c r="J77" s="75"/>
      <c r="K77" s="75"/>
      <c r="L77" s="75"/>
      <c r="M77" s="75"/>
      <c r="N77" s="75">
        <v>14822</v>
      </c>
      <c r="O77" s="75"/>
      <c r="P77" s="75"/>
      <c r="Q77" s="75"/>
      <c r="R77" s="75"/>
      <c r="S77" s="75"/>
      <c r="T77" s="75">
        <f>N77</f>
        <v>14822</v>
      </c>
      <c r="U77" s="75">
        <f t="shared" ref="U77:V79" si="50">T77</f>
        <v>14822</v>
      </c>
      <c r="V77" s="75">
        <f t="shared" si="50"/>
        <v>14822</v>
      </c>
    </row>
    <row r="78" spans="1:25" x14ac:dyDescent="0.25">
      <c r="A78" s="88"/>
      <c r="B78" s="84" t="s">
        <v>281</v>
      </c>
      <c r="C78" s="127"/>
      <c r="D78" s="246"/>
      <c r="E78" s="87"/>
      <c r="F78" s="87"/>
      <c r="G78" s="87"/>
      <c r="H78" s="87"/>
      <c r="I78" s="87"/>
      <c r="J78" s="75"/>
      <c r="K78" s="75"/>
      <c r="L78" s="75"/>
      <c r="M78" s="75"/>
      <c r="N78" s="75"/>
      <c r="O78" s="75">
        <v>13442</v>
      </c>
      <c r="P78" s="75"/>
      <c r="Q78" s="75"/>
      <c r="R78" s="75"/>
      <c r="S78" s="75"/>
      <c r="T78" s="75">
        <f>O78</f>
        <v>13442</v>
      </c>
      <c r="U78" s="75">
        <f t="shared" si="50"/>
        <v>13442</v>
      </c>
      <c r="V78" s="75">
        <f t="shared" si="50"/>
        <v>13442</v>
      </c>
    </row>
    <row r="79" spans="1:25" ht="34.9" customHeight="1" x14ac:dyDescent="0.25">
      <c r="A79" s="86" t="s">
        <v>252</v>
      </c>
      <c r="B79" s="213" t="s">
        <v>28</v>
      </c>
      <c r="C79" s="127" t="s">
        <v>219</v>
      </c>
      <c r="D79" s="86" t="s">
        <v>20</v>
      </c>
      <c r="E79" s="87">
        <f>E74+E73+E72+E71</f>
        <v>118</v>
      </c>
      <c r="F79" s="87">
        <f>F74+F73+F72+F71</f>
        <v>118</v>
      </c>
      <c r="G79" s="87">
        <f>(E79*8+F79*4)/12</f>
        <v>118</v>
      </c>
      <c r="H79" s="87">
        <f>H74+H73+H72+H71</f>
        <v>118</v>
      </c>
      <c r="I79" s="87">
        <f>I74+I73+I72+I71</f>
        <v>118</v>
      </c>
      <c r="J79" s="75" t="s">
        <v>23</v>
      </c>
      <c r="K79" s="75"/>
      <c r="L79" s="75">
        <v>12405.807000000001</v>
      </c>
      <c r="M79" s="75">
        <f t="shared" si="7"/>
        <v>12405.807000000001</v>
      </c>
      <c r="N79" s="75">
        <f t="shared" si="44"/>
        <v>0</v>
      </c>
      <c r="O79" s="75">
        <f t="shared" si="45"/>
        <v>0</v>
      </c>
      <c r="P79" s="75"/>
      <c r="Q79" s="75">
        <f>G79*L79-125511.27</f>
        <v>1338373.956</v>
      </c>
      <c r="R79" s="75"/>
      <c r="S79" s="75"/>
      <c r="T79" s="75">
        <f t="shared" si="3"/>
        <v>1338373.956</v>
      </c>
      <c r="U79" s="75">
        <f t="shared" si="50"/>
        <v>1338373.956</v>
      </c>
      <c r="V79" s="75">
        <f t="shared" si="50"/>
        <v>1338373.956</v>
      </c>
    </row>
    <row r="80" spans="1:25" ht="51" customHeight="1" x14ac:dyDescent="0.25">
      <c r="A80" s="86"/>
      <c r="B80" s="213" t="s">
        <v>28</v>
      </c>
      <c r="C80" s="127" t="s">
        <v>220</v>
      </c>
      <c r="D80" s="86"/>
      <c r="E80" s="87"/>
      <c r="F80" s="87"/>
      <c r="G80" s="87"/>
      <c r="H80" s="87"/>
      <c r="I80" s="87"/>
      <c r="J80" s="75"/>
      <c r="K80" s="75"/>
      <c r="L80" s="75">
        <v>12248.94</v>
      </c>
      <c r="M80" s="75"/>
      <c r="N80" s="75"/>
      <c r="O80" s="75"/>
      <c r="P80" s="75"/>
      <c r="Q80" s="75"/>
      <c r="R80" s="75"/>
      <c r="S80" s="75">
        <f>L80*G79</f>
        <v>1445374.9200000002</v>
      </c>
      <c r="T80" s="75">
        <f>S80</f>
        <v>1445374.9200000002</v>
      </c>
      <c r="U80" s="75">
        <f>S80</f>
        <v>1445374.9200000002</v>
      </c>
      <c r="V80" s="75">
        <f>S80</f>
        <v>1445374.9200000002</v>
      </c>
    </row>
    <row r="81" spans="1:25" x14ac:dyDescent="0.25">
      <c r="A81" s="195" t="s">
        <v>53</v>
      </c>
      <c r="B81" s="94"/>
      <c r="C81" s="94"/>
      <c r="D81" s="94"/>
      <c r="E81" s="92"/>
      <c r="F81" s="92"/>
      <c r="G81" s="92"/>
      <c r="H81" s="92"/>
      <c r="I81" s="92"/>
      <c r="J81" s="78"/>
      <c r="K81" s="78"/>
      <c r="L81" s="78"/>
      <c r="M81" s="78">
        <f t="shared" si="7"/>
        <v>0</v>
      </c>
      <c r="N81" s="78">
        <f>N82+N90</f>
        <v>7997409.5999999996</v>
      </c>
      <c r="O81" s="78">
        <f>O82+O90</f>
        <v>3478922.0007603196</v>
      </c>
      <c r="P81" s="78">
        <f>P82</f>
        <v>704131</v>
      </c>
      <c r="Q81" s="78">
        <f t="shared" ref="Q81" si="51">Q82+Q90</f>
        <v>6423750.9400000004</v>
      </c>
      <c r="R81" s="78">
        <f>R82</f>
        <v>4623562</v>
      </c>
      <c r="S81" s="78">
        <f>S91</f>
        <v>1959830.4000000001</v>
      </c>
      <c r="T81" s="78">
        <f>T82+T90+T91</f>
        <v>25187605.940760318</v>
      </c>
      <c r="U81" s="78">
        <f t="shared" ref="U81:V81" si="52">U82+U90+U91</f>
        <v>25187605.940760318</v>
      </c>
      <c r="V81" s="78">
        <f t="shared" si="52"/>
        <v>25187605.940760318</v>
      </c>
      <c r="W81" s="80">
        <v>6423750.9400000004</v>
      </c>
      <c r="X81" s="85">
        <f>W81-Q81</f>
        <v>0</v>
      </c>
      <c r="Y81" s="124">
        <f>X81/I90</f>
        <v>0</v>
      </c>
    </row>
    <row r="82" spans="1:25" ht="94.9" customHeight="1" x14ac:dyDescent="0.25">
      <c r="A82" s="201" t="s">
        <v>251</v>
      </c>
      <c r="B82" s="84" t="s">
        <v>76</v>
      </c>
      <c r="C82" s="128"/>
      <c r="D82" s="95"/>
      <c r="E82" s="68"/>
      <c r="F82" s="68"/>
      <c r="G82" s="68"/>
      <c r="H82" s="68"/>
      <c r="I82" s="68"/>
      <c r="J82" s="75"/>
      <c r="K82" s="75"/>
      <c r="L82" s="75"/>
      <c r="M82" s="75">
        <f t="shared" si="7"/>
        <v>0</v>
      </c>
      <c r="N82" s="75">
        <f>SUM(N83:N88)</f>
        <v>7997409.5999999996</v>
      </c>
      <c r="O82" s="75">
        <f>SUM(O83:O89)</f>
        <v>3478922.0007603196</v>
      </c>
      <c r="P82" s="75">
        <f>P87</f>
        <v>704131</v>
      </c>
      <c r="Q82" s="75">
        <f t="shared" ref="Q82" si="53">SUM(Q83:Q85)</f>
        <v>4407444</v>
      </c>
      <c r="R82" s="75">
        <f>R86</f>
        <v>4623562</v>
      </c>
      <c r="S82" s="75"/>
      <c r="T82" s="75">
        <f>SUM(T83:T89)</f>
        <v>21211468.600760318</v>
      </c>
      <c r="U82" s="75">
        <f t="shared" ref="U82:V82" si="54">SUM(U83:U89)</f>
        <v>21211468.600760318</v>
      </c>
      <c r="V82" s="75">
        <f t="shared" si="54"/>
        <v>21211468.600760318</v>
      </c>
    </row>
    <row r="83" spans="1:25" ht="105" x14ac:dyDescent="0.25">
      <c r="A83" s="83"/>
      <c r="B83" s="97" t="s">
        <v>19</v>
      </c>
      <c r="C83" s="93" t="s">
        <v>0</v>
      </c>
      <c r="D83" s="213" t="s">
        <v>20</v>
      </c>
      <c r="E83" s="87">
        <v>18</v>
      </c>
      <c r="F83" s="87">
        <v>18</v>
      </c>
      <c r="G83" s="87">
        <f t="shared" ref="G83:G90" si="55">(E83*8+F83*4)/12</f>
        <v>18</v>
      </c>
      <c r="H83" s="87">
        <v>18</v>
      </c>
      <c r="I83" s="87">
        <v>18</v>
      </c>
      <c r="J83" s="75">
        <v>43138.04</v>
      </c>
      <c r="K83" s="75">
        <v>21614.746317252</v>
      </c>
      <c r="L83" s="75">
        <f>18972.01+207.38+1068.75+4943.1475+2355.2375</f>
        <v>27546.524999999998</v>
      </c>
      <c r="M83" s="75">
        <f t="shared" si="7"/>
        <v>92299.311317251995</v>
      </c>
      <c r="N83" s="75">
        <f>G83*J83</f>
        <v>776484.72</v>
      </c>
      <c r="O83" s="75">
        <f>G83*K83</f>
        <v>389065.43371053599</v>
      </c>
      <c r="P83" s="75"/>
      <c r="Q83" s="75">
        <f>G83*L83</f>
        <v>495837.44999999995</v>
      </c>
      <c r="R83" s="75"/>
      <c r="S83" s="75"/>
      <c r="T83" s="75">
        <f t="shared" si="3"/>
        <v>1661387.6037105359</v>
      </c>
      <c r="U83" s="75">
        <f t="shared" si="16"/>
        <v>1661387.6037105359</v>
      </c>
      <c r="V83" s="75">
        <f t="shared" si="4"/>
        <v>1661387.6037105359</v>
      </c>
    </row>
    <row r="84" spans="1:25" x14ac:dyDescent="0.25">
      <c r="A84" s="88"/>
      <c r="B84" s="97" t="s">
        <v>24</v>
      </c>
      <c r="C84" s="97"/>
      <c r="D84" s="86" t="s">
        <v>20</v>
      </c>
      <c r="E84" s="87">
        <v>42</v>
      </c>
      <c r="F84" s="87">
        <v>42</v>
      </c>
      <c r="G84" s="87">
        <f t="shared" si="55"/>
        <v>42</v>
      </c>
      <c r="H84" s="87">
        <v>42</v>
      </c>
      <c r="I84" s="87">
        <v>42</v>
      </c>
      <c r="J84" s="75">
        <v>34198.17</v>
      </c>
      <c r="K84" s="75">
        <v>21614.746317252</v>
      </c>
      <c r="L84" s="75">
        <f t="shared" ref="L84:L85" si="56">18972.01+207.38+1068.75+4943.1475+2355.2375</f>
        <v>27546.524999999998</v>
      </c>
      <c r="M84" s="75">
        <f t="shared" si="7"/>
        <v>83359.441317252</v>
      </c>
      <c r="N84" s="75">
        <f>G84*J84</f>
        <v>1436323.14</v>
      </c>
      <c r="O84" s="75">
        <f>G84*K84</f>
        <v>907819.34532458405</v>
      </c>
      <c r="P84" s="75"/>
      <c r="Q84" s="75">
        <f t="shared" ref="Q84:Q85" si="57">G84*L84</f>
        <v>1156954.0499999998</v>
      </c>
      <c r="R84" s="75"/>
      <c r="S84" s="75"/>
      <c r="T84" s="75">
        <f t="shared" si="3"/>
        <v>3501096.5353245838</v>
      </c>
      <c r="U84" s="75">
        <f t="shared" si="16"/>
        <v>3501096.5353245838</v>
      </c>
      <c r="V84" s="75">
        <f t="shared" si="4"/>
        <v>3501096.5353245838</v>
      </c>
    </row>
    <row r="85" spans="1:25" ht="120" x14ac:dyDescent="0.25">
      <c r="A85" s="88"/>
      <c r="B85" s="97" t="s">
        <v>24</v>
      </c>
      <c r="C85" s="93" t="s">
        <v>162</v>
      </c>
      <c r="D85" s="213" t="s">
        <v>20</v>
      </c>
      <c r="E85" s="87">
        <v>100</v>
      </c>
      <c r="F85" s="87">
        <v>100</v>
      </c>
      <c r="G85" s="87">
        <f t="shared" si="55"/>
        <v>100</v>
      </c>
      <c r="H85" s="87">
        <v>100</v>
      </c>
      <c r="I85" s="87">
        <v>100</v>
      </c>
      <c r="J85" s="208">
        <v>50023.83</v>
      </c>
      <c r="K85" s="75">
        <v>21614.746317252</v>
      </c>
      <c r="L85" s="75">
        <f t="shared" si="56"/>
        <v>27546.524999999998</v>
      </c>
      <c r="M85" s="75">
        <f t="shared" si="7"/>
        <v>99185.101317252003</v>
      </c>
      <c r="N85" s="75">
        <f>G85*J85-0.26</f>
        <v>5002382.74</v>
      </c>
      <c r="O85" s="75">
        <f>G85*K85-0.41</f>
        <v>2161474.2217251998</v>
      </c>
      <c r="P85" s="75"/>
      <c r="Q85" s="75">
        <f t="shared" si="57"/>
        <v>2754652.5</v>
      </c>
      <c r="R85" s="75"/>
      <c r="S85" s="75"/>
      <c r="T85" s="75">
        <f t="shared" si="3"/>
        <v>9918509.4617251996</v>
      </c>
      <c r="U85" s="75">
        <f>H85*M85-0.67</f>
        <v>9918509.4617251996</v>
      </c>
      <c r="V85" s="75">
        <f>U85</f>
        <v>9918509.4617251996</v>
      </c>
      <c r="W85" s="85">
        <f>T85-U85</f>
        <v>0</v>
      </c>
    </row>
    <row r="86" spans="1:25" x14ac:dyDescent="0.25">
      <c r="A86" s="88"/>
      <c r="B86" s="89" t="s">
        <v>225</v>
      </c>
      <c r="C86" s="127" t="s">
        <v>219</v>
      </c>
      <c r="D86" s="213"/>
      <c r="E86" s="87"/>
      <c r="F86" s="87"/>
      <c r="G86" s="87">
        <v>26</v>
      </c>
      <c r="H86" s="87">
        <v>26</v>
      </c>
      <c r="I86" s="87">
        <v>26</v>
      </c>
      <c r="J86" s="75"/>
      <c r="K86" s="75"/>
      <c r="L86" s="75"/>
      <c r="M86" s="75"/>
      <c r="N86" s="75"/>
      <c r="O86" s="75"/>
      <c r="P86" s="75"/>
      <c r="Q86" s="75"/>
      <c r="R86" s="75">
        <f>4585119+38443</f>
        <v>4623562</v>
      </c>
      <c r="S86" s="75"/>
      <c r="T86" s="75">
        <f>R86</f>
        <v>4623562</v>
      </c>
      <c r="U86" s="75">
        <f>R86</f>
        <v>4623562</v>
      </c>
      <c r="V86" s="75">
        <f>R86</f>
        <v>4623562</v>
      </c>
    </row>
    <row r="87" spans="1:25" x14ac:dyDescent="0.25">
      <c r="A87" s="88"/>
      <c r="B87" s="89" t="s">
        <v>225</v>
      </c>
      <c r="C87" s="127" t="s">
        <v>226</v>
      </c>
      <c r="D87" s="213"/>
      <c r="E87" s="87"/>
      <c r="F87" s="87"/>
      <c r="G87" s="87">
        <v>10</v>
      </c>
      <c r="H87" s="87">
        <v>10</v>
      </c>
      <c r="I87" s="87">
        <v>10</v>
      </c>
      <c r="J87" s="75"/>
      <c r="K87" s="75"/>
      <c r="L87" s="75"/>
      <c r="M87" s="75"/>
      <c r="N87" s="75"/>
      <c r="O87" s="75"/>
      <c r="P87" s="75">
        <f>285437+300877+117817</f>
        <v>704131</v>
      </c>
      <c r="Q87" s="75"/>
      <c r="R87" s="75"/>
      <c r="S87" s="75"/>
      <c r="T87" s="75">
        <f>P87</f>
        <v>704131</v>
      </c>
      <c r="U87" s="75">
        <f>P87</f>
        <v>704131</v>
      </c>
      <c r="V87" s="75">
        <f>P87</f>
        <v>704131</v>
      </c>
    </row>
    <row r="88" spans="1:25" ht="57" x14ac:dyDescent="0.25">
      <c r="A88" s="88"/>
      <c r="B88" s="84" t="s">
        <v>263</v>
      </c>
      <c r="C88" s="127" t="s">
        <v>226</v>
      </c>
      <c r="D88" s="213"/>
      <c r="E88" s="87"/>
      <c r="F88" s="87"/>
      <c r="G88" s="87"/>
      <c r="H88" s="87"/>
      <c r="I88" s="87"/>
      <c r="J88" s="75"/>
      <c r="K88" s="75"/>
      <c r="L88" s="75"/>
      <c r="M88" s="75"/>
      <c r="N88" s="75">
        <v>782219</v>
      </c>
      <c r="O88" s="75"/>
      <c r="P88" s="75"/>
      <c r="Q88" s="75"/>
      <c r="R88" s="75"/>
      <c r="S88" s="75"/>
      <c r="T88" s="75">
        <f>N88</f>
        <v>782219</v>
      </c>
      <c r="U88" s="75">
        <f t="shared" ref="U88:V90" si="58">T88</f>
        <v>782219</v>
      </c>
      <c r="V88" s="75">
        <f t="shared" si="58"/>
        <v>782219</v>
      </c>
    </row>
    <row r="89" spans="1:25" x14ac:dyDescent="0.25">
      <c r="A89" s="88"/>
      <c r="B89" s="84" t="s">
        <v>281</v>
      </c>
      <c r="C89" s="127"/>
      <c r="D89" s="246"/>
      <c r="E89" s="87"/>
      <c r="F89" s="87"/>
      <c r="G89" s="87"/>
      <c r="H89" s="87"/>
      <c r="I89" s="87"/>
      <c r="J89" s="75"/>
      <c r="K89" s="75"/>
      <c r="L89" s="75"/>
      <c r="M89" s="75"/>
      <c r="N89" s="75"/>
      <c r="O89" s="75">
        <v>20563</v>
      </c>
      <c r="P89" s="75"/>
      <c r="Q89" s="75"/>
      <c r="R89" s="75"/>
      <c r="S89" s="75"/>
      <c r="T89" s="75">
        <f>O89</f>
        <v>20563</v>
      </c>
      <c r="U89" s="75">
        <f t="shared" si="58"/>
        <v>20563</v>
      </c>
      <c r="V89" s="75">
        <f t="shared" si="58"/>
        <v>20563</v>
      </c>
    </row>
    <row r="90" spans="1:25" ht="90" x14ac:dyDescent="0.25">
      <c r="A90" s="201" t="s">
        <v>252</v>
      </c>
      <c r="B90" s="213" t="s">
        <v>28</v>
      </c>
      <c r="C90" s="127" t="s">
        <v>219</v>
      </c>
      <c r="D90" s="86" t="s">
        <v>20</v>
      </c>
      <c r="E90" s="87">
        <f>E85+E84+E83</f>
        <v>160</v>
      </c>
      <c r="F90" s="87">
        <f>F85+F84+F83</f>
        <v>160</v>
      </c>
      <c r="G90" s="87">
        <f t="shared" si="55"/>
        <v>160</v>
      </c>
      <c r="H90" s="87">
        <f>H85+H84+H83</f>
        <v>160</v>
      </c>
      <c r="I90" s="87">
        <f>I85+I84+I83</f>
        <v>160</v>
      </c>
      <c r="J90" s="75" t="s">
        <v>23</v>
      </c>
      <c r="K90" s="75"/>
      <c r="L90" s="75">
        <v>12405.807000000001</v>
      </c>
      <c r="M90" s="75">
        <f t="shared" si="7"/>
        <v>12405.807000000001</v>
      </c>
      <c r="N90" s="75">
        <f t="shared" si="19"/>
        <v>0</v>
      </c>
      <c r="O90" s="75">
        <f t="shared" ref="O90" si="59">G90*K90</f>
        <v>0</v>
      </c>
      <c r="P90" s="75"/>
      <c r="Q90" s="75">
        <f>G90*L90+31377.82</f>
        <v>2016306.9400000002</v>
      </c>
      <c r="R90" s="75"/>
      <c r="S90" s="75"/>
      <c r="T90" s="75">
        <f t="shared" si="3"/>
        <v>2016306.9400000002</v>
      </c>
      <c r="U90" s="75">
        <f t="shared" si="58"/>
        <v>2016306.9400000002</v>
      </c>
      <c r="V90" s="75">
        <f t="shared" si="58"/>
        <v>2016306.9400000002</v>
      </c>
    </row>
    <row r="91" spans="1:25" x14ac:dyDescent="0.25">
      <c r="A91" s="86"/>
      <c r="B91" s="213" t="s">
        <v>28</v>
      </c>
      <c r="C91" s="127" t="s">
        <v>220</v>
      </c>
      <c r="D91" s="86"/>
      <c r="E91" s="87"/>
      <c r="F91" s="87"/>
      <c r="G91" s="87"/>
      <c r="H91" s="87"/>
      <c r="I91" s="87"/>
      <c r="J91" s="75"/>
      <c r="K91" s="75"/>
      <c r="L91" s="75">
        <v>12248.94</v>
      </c>
      <c r="M91" s="75"/>
      <c r="N91" s="75"/>
      <c r="O91" s="75"/>
      <c r="P91" s="75"/>
      <c r="Q91" s="75"/>
      <c r="R91" s="75"/>
      <c r="S91" s="75">
        <f>L91*G90</f>
        <v>1959830.4000000001</v>
      </c>
      <c r="T91" s="75">
        <f>S91:S92</f>
        <v>1959830.4000000001</v>
      </c>
      <c r="U91" s="75">
        <f>S91</f>
        <v>1959830.4000000001</v>
      </c>
      <c r="V91" s="75">
        <f>S91</f>
        <v>1959830.4000000001</v>
      </c>
    </row>
    <row r="92" spans="1:25" x14ac:dyDescent="0.25">
      <c r="A92" s="195" t="s">
        <v>57</v>
      </c>
      <c r="B92" s="94"/>
      <c r="C92" s="94"/>
      <c r="D92" s="94"/>
      <c r="E92" s="92"/>
      <c r="F92" s="92"/>
      <c r="G92" s="92"/>
      <c r="H92" s="92"/>
      <c r="I92" s="92"/>
      <c r="J92" s="78"/>
      <c r="K92" s="78"/>
      <c r="L92" s="78"/>
      <c r="M92" s="78">
        <f t="shared" si="7"/>
        <v>0</v>
      </c>
      <c r="N92" s="78">
        <f t="shared" ref="N92:Q92" si="60">N93+N104</f>
        <v>5349385</v>
      </c>
      <c r="O92" s="78">
        <f>O93+O104</f>
        <v>2407969.0012149718</v>
      </c>
      <c r="P92" s="78">
        <f>P93</f>
        <v>432368</v>
      </c>
      <c r="Q92" s="78">
        <f t="shared" si="60"/>
        <v>3909444.0699946992</v>
      </c>
      <c r="R92" s="78">
        <f>R93</f>
        <v>2117421</v>
      </c>
      <c r="S92" s="78">
        <f>S105</f>
        <v>1359632.34</v>
      </c>
      <c r="T92" s="78">
        <f>T93+T104+T105</f>
        <v>15576219.411209673</v>
      </c>
      <c r="U92" s="78">
        <f>U93+U104+U105</f>
        <v>15576219.411209675</v>
      </c>
      <c r="V92" s="78">
        <f t="shared" ref="V92" si="61">V93+V104+V105</f>
        <v>15576219.411209675</v>
      </c>
      <c r="W92" s="80">
        <v>3909444.07</v>
      </c>
      <c r="X92" s="85">
        <f>W92-Q92</f>
        <v>5.300622433423996E-6</v>
      </c>
      <c r="Y92" s="80">
        <f>X92/I104</f>
        <v>4.7753355256072038E-8</v>
      </c>
    </row>
    <row r="93" spans="1:25" ht="152.25" customHeight="1" x14ac:dyDescent="0.25">
      <c r="A93" s="201" t="s">
        <v>251</v>
      </c>
      <c r="B93" s="84" t="s">
        <v>76</v>
      </c>
      <c r="C93" s="128"/>
      <c r="D93" s="95"/>
      <c r="E93" s="68"/>
      <c r="F93" s="68"/>
      <c r="G93" s="68"/>
      <c r="H93" s="68"/>
      <c r="I93" s="68"/>
      <c r="J93" s="75"/>
      <c r="K93" s="75"/>
      <c r="L93" s="75"/>
      <c r="M93" s="75">
        <f t="shared" si="7"/>
        <v>0</v>
      </c>
      <c r="N93" s="75">
        <f>SUM(N94:N102)</f>
        <v>5349385</v>
      </c>
      <c r="O93" s="75">
        <f>SUM(O94:O103)</f>
        <v>2407969.0012149718</v>
      </c>
      <c r="P93" s="75">
        <f>P101</f>
        <v>432368</v>
      </c>
      <c r="Q93" s="75">
        <f t="shared" ref="Q93" si="62">SUM(Q94:Q99)</f>
        <v>2438266.0429946994</v>
      </c>
      <c r="R93" s="75">
        <f>R100</f>
        <v>2117421</v>
      </c>
      <c r="S93" s="75"/>
      <c r="T93" s="75">
        <f>SUM(T94:T103)</f>
        <v>12745409.044209672</v>
      </c>
      <c r="U93" s="75">
        <f t="shared" ref="U93:V93" si="63">SUM(U94:U103)</f>
        <v>12745409.044209674</v>
      </c>
      <c r="V93" s="75">
        <f t="shared" si="63"/>
        <v>12745409.044209674</v>
      </c>
    </row>
    <row r="94" spans="1:25" ht="105" x14ac:dyDescent="0.25">
      <c r="A94" s="83"/>
      <c r="B94" s="97" t="s">
        <v>19</v>
      </c>
      <c r="C94" s="93" t="s">
        <v>0</v>
      </c>
      <c r="D94" s="213" t="s">
        <v>20</v>
      </c>
      <c r="E94" s="87">
        <v>21</v>
      </c>
      <c r="F94" s="87">
        <v>21</v>
      </c>
      <c r="G94" s="87">
        <f t="shared" ref="G94:G95" si="64">(E94*8+F94*4)/12</f>
        <v>21</v>
      </c>
      <c r="H94" s="87">
        <v>21</v>
      </c>
      <c r="I94" s="87">
        <v>21</v>
      </c>
      <c r="J94" s="75">
        <v>43138.04</v>
      </c>
      <c r="K94" s="75">
        <v>21614.746317252</v>
      </c>
      <c r="L94" s="75">
        <f>18972.01+207.38+2336.520297+450.4504507</f>
        <v>21966.360747699997</v>
      </c>
      <c r="M94" s="75">
        <f t="shared" si="7"/>
        <v>86719.147064952005</v>
      </c>
      <c r="N94" s="75">
        <f>G94*J94+0.37-0.67</f>
        <v>905898.53999999992</v>
      </c>
      <c r="O94" s="75">
        <f>G94*K94+0.16</f>
        <v>453909.832662292</v>
      </c>
      <c r="P94" s="75"/>
      <c r="Q94" s="75">
        <f>G94*L94</f>
        <v>461293.57570169994</v>
      </c>
      <c r="R94" s="75"/>
      <c r="S94" s="75"/>
      <c r="T94" s="75">
        <f t="shared" si="3"/>
        <v>1821101.9483639919</v>
      </c>
      <c r="U94" s="75">
        <f>T94</f>
        <v>1821101.9483639919</v>
      </c>
      <c r="V94" s="75">
        <f>U94</f>
        <v>1821101.9483639919</v>
      </c>
    </row>
    <row r="95" spans="1:25" x14ac:dyDescent="0.25">
      <c r="A95" s="88"/>
      <c r="B95" s="97" t="s">
        <v>24</v>
      </c>
      <c r="C95" s="97"/>
      <c r="D95" s="86" t="s">
        <v>20</v>
      </c>
      <c r="E95" s="87">
        <v>17</v>
      </c>
      <c r="F95" s="87">
        <v>17</v>
      </c>
      <c r="G95" s="87">
        <f t="shared" si="64"/>
        <v>17</v>
      </c>
      <c r="H95" s="87">
        <v>17</v>
      </c>
      <c r="I95" s="87">
        <v>17</v>
      </c>
      <c r="J95" s="75">
        <v>34198.17</v>
      </c>
      <c r="K95" s="75">
        <v>21614.746317252</v>
      </c>
      <c r="L95" s="75">
        <f t="shared" ref="L95:L96" si="65">18972.01+207.38+2336.520297+450.4504507</f>
        <v>21966.360747699997</v>
      </c>
      <c r="M95" s="75">
        <f t="shared" si="7"/>
        <v>77779.277064951995</v>
      </c>
      <c r="N95" s="75">
        <f t="shared" ref="N95:N104" si="66">G95*J95</f>
        <v>581368.89</v>
      </c>
      <c r="O95" s="75">
        <f t="shared" ref="O95:O104" si="67">G95*K95</f>
        <v>367450.687393284</v>
      </c>
      <c r="P95" s="75"/>
      <c r="Q95" s="75">
        <f t="shared" ref="Q95" si="68">G95*L95</f>
        <v>373428.13271089992</v>
      </c>
      <c r="R95" s="75"/>
      <c r="S95" s="75"/>
      <c r="T95" s="75">
        <f t="shared" si="3"/>
        <v>1322247.710104184</v>
      </c>
      <c r="U95" s="75">
        <f t="shared" si="16"/>
        <v>1322247.710104184</v>
      </c>
      <c r="V95" s="75">
        <f t="shared" si="4"/>
        <v>1322247.710104184</v>
      </c>
    </row>
    <row r="96" spans="1:25" ht="120" x14ac:dyDescent="0.25">
      <c r="A96" s="83"/>
      <c r="B96" s="97" t="s">
        <v>24</v>
      </c>
      <c r="C96" s="93" t="s">
        <v>162</v>
      </c>
      <c r="D96" s="213" t="s">
        <v>20</v>
      </c>
      <c r="E96" s="87">
        <v>73</v>
      </c>
      <c r="F96" s="87">
        <v>73</v>
      </c>
      <c r="G96" s="87">
        <f>(E96*8+F96*4)/12</f>
        <v>73</v>
      </c>
      <c r="H96" s="87">
        <v>73</v>
      </c>
      <c r="I96" s="87">
        <v>73</v>
      </c>
      <c r="J96" s="208">
        <v>50023.83</v>
      </c>
      <c r="K96" s="75">
        <v>21614.746317252</v>
      </c>
      <c r="L96" s="75">
        <f t="shared" si="65"/>
        <v>21966.360747699997</v>
      </c>
      <c r="M96" s="75">
        <f t="shared" si="7"/>
        <v>93604.937064952013</v>
      </c>
      <c r="N96" s="75">
        <f>G96*J96</f>
        <v>3651739.5900000003</v>
      </c>
      <c r="O96" s="75">
        <f>G96*K96</f>
        <v>1577876.481159396</v>
      </c>
      <c r="P96" s="75"/>
      <c r="Q96" s="75">
        <f>G96*L96</f>
        <v>1603544.3345820997</v>
      </c>
      <c r="R96" s="75"/>
      <c r="S96" s="75"/>
      <c r="T96" s="75">
        <f>SUM(N96:Q96)</f>
        <v>6833160.405741496</v>
      </c>
      <c r="U96" s="75">
        <f t="shared" si="16"/>
        <v>6833160.4057414969</v>
      </c>
      <c r="V96" s="75">
        <f t="shared" si="4"/>
        <v>6833160.4057414969</v>
      </c>
    </row>
    <row r="97" spans="1:25" x14ac:dyDescent="0.25">
      <c r="A97" s="83"/>
      <c r="B97" s="97" t="s">
        <v>180</v>
      </c>
      <c r="C97" s="286" t="s">
        <v>78</v>
      </c>
      <c r="D97" s="288" t="s">
        <v>20</v>
      </c>
      <c r="E97" s="87">
        <v>0</v>
      </c>
      <c r="F97" s="87">
        <v>0</v>
      </c>
      <c r="G97" s="87">
        <f>(E97*8+F97*4)/12</f>
        <v>0</v>
      </c>
      <c r="H97" s="87">
        <v>0</v>
      </c>
      <c r="I97" s="87">
        <v>0</v>
      </c>
      <c r="J97" s="75">
        <v>2073.06</v>
      </c>
      <c r="K97" s="75"/>
      <c r="L97" s="75"/>
      <c r="M97" s="75">
        <f>J97+K97+L97</f>
        <v>2073.06</v>
      </c>
      <c r="N97" s="75">
        <f t="shared" si="66"/>
        <v>0</v>
      </c>
      <c r="O97" s="75">
        <f>G97*K97</f>
        <v>0</v>
      </c>
      <c r="P97" s="75"/>
      <c r="Q97" s="75">
        <f>G97*L97</f>
        <v>0</v>
      </c>
      <c r="R97" s="75"/>
      <c r="S97" s="75"/>
      <c r="T97" s="75">
        <f>SUM(N97:Q97)</f>
        <v>0</v>
      </c>
      <c r="U97" s="75">
        <f>H97*M97</f>
        <v>0</v>
      </c>
      <c r="V97" s="75">
        <f>I97*M97</f>
        <v>0</v>
      </c>
    </row>
    <row r="98" spans="1:25" x14ac:dyDescent="0.25">
      <c r="A98" s="83"/>
      <c r="B98" s="97" t="s">
        <v>181</v>
      </c>
      <c r="C98" s="287"/>
      <c r="D98" s="289"/>
      <c r="E98" s="87">
        <v>17</v>
      </c>
      <c r="F98" s="87">
        <v>17</v>
      </c>
      <c r="G98" s="87">
        <f>(E98*8+F98*4)/12</f>
        <v>17</v>
      </c>
      <c r="H98" s="87">
        <v>17</v>
      </c>
      <c r="I98" s="87">
        <v>17</v>
      </c>
      <c r="J98" s="208">
        <v>1554.8</v>
      </c>
      <c r="K98" s="75"/>
      <c r="L98" s="75"/>
      <c r="M98" s="75">
        <f>J98+K98+L98</f>
        <v>1554.8</v>
      </c>
      <c r="N98" s="75">
        <f>G98*J98</f>
        <v>26431.599999999999</v>
      </c>
      <c r="O98" s="75">
        <f>G98*K98</f>
        <v>0</v>
      </c>
      <c r="P98" s="75"/>
      <c r="Q98" s="75">
        <f>G98*L98</f>
        <v>0</v>
      </c>
      <c r="R98" s="75"/>
      <c r="S98" s="75"/>
      <c r="T98" s="75">
        <f>SUM(N98:Q98)</f>
        <v>26431.599999999999</v>
      </c>
      <c r="U98" s="75">
        <f>H98*M98</f>
        <v>26431.599999999999</v>
      </c>
      <c r="V98" s="75">
        <f>I98*M98</f>
        <v>26431.599999999999</v>
      </c>
    </row>
    <row r="99" spans="1:25" ht="75" x14ac:dyDescent="0.25">
      <c r="A99" s="83"/>
      <c r="B99" s="97" t="s">
        <v>181</v>
      </c>
      <c r="C99" s="215" t="s">
        <v>182</v>
      </c>
      <c r="D99" s="86" t="s">
        <v>20</v>
      </c>
      <c r="E99" s="87">
        <v>73</v>
      </c>
      <c r="F99" s="87">
        <v>73</v>
      </c>
      <c r="G99" s="87">
        <f>(E99*8+F99*4)/12</f>
        <v>73</v>
      </c>
      <c r="H99" s="87">
        <v>73</v>
      </c>
      <c r="I99" s="87">
        <v>73</v>
      </c>
      <c r="J99" s="208">
        <v>2073.06</v>
      </c>
      <c r="K99" s="75"/>
      <c r="L99" s="75"/>
      <c r="M99" s="75">
        <f>J99+K99+L99</f>
        <v>2073.06</v>
      </c>
      <c r="N99" s="75">
        <f t="shared" si="66"/>
        <v>151333.38</v>
      </c>
      <c r="O99" s="75">
        <f>G99*K99</f>
        <v>0</v>
      </c>
      <c r="P99" s="75"/>
      <c r="Q99" s="75">
        <f>G99*L99</f>
        <v>0</v>
      </c>
      <c r="R99" s="75"/>
      <c r="S99" s="75"/>
      <c r="T99" s="75">
        <f>SUM(N99:Q99)</f>
        <v>151333.38</v>
      </c>
      <c r="U99" s="75">
        <f>H99*M99</f>
        <v>151333.38</v>
      </c>
      <c r="V99" s="75">
        <f>I99*M99</f>
        <v>151333.38</v>
      </c>
    </row>
    <row r="100" spans="1:25" x14ac:dyDescent="0.25">
      <c r="A100" s="83"/>
      <c r="B100" s="89" t="s">
        <v>225</v>
      </c>
      <c r="C100" s="127" t="s">
        <v>219</v>
      </c>
      <c r="D100" s="86"/>
      <c r="E100" s="87"/>
      <c r="F100" s="87"/>
      <c r="G100" s="87">
        <v>13</v>
      </c>
      <c r="H100" s="87">
        <v>13</v>
      </c>
      <c r="I100" s="87">
        <v>13</v>
      </c>
      <c r="J100" s="75"/>
      <c r="K100" s="75"/>
      <c r="L100" s="75"/>
      <c r="M100" s="75"/>
      <c r="N100" s="75"/>
      <c r="O100" s="75"/>
      <c r="P100" s="75"/>
      <c r="Q100" s="75"/>
      <c r="R100" s="75">
        <f>2133207+60214-76000</f>
        <v>2117421</v>
      </c>
      <c r="S100" s="75"/>
      <c r="T100" s="75">
        <f>R100</f>
        <v>2117421</v>
      </c>
      <c r="U100" s="75">
        <f>R100</f>
        <v>2117421</v>
      </c>
      <c r="V100" s="75">
        <f>R100</f>
        <v>2117421</v>
      </c>
    </row>
    <row r="101" spans="1:25" x14ac:dyDescent="0.25">
      <c r="A101" s="83"/>
      <c r="B101" s="89" t="s">
        <v>225</v>
      </c>
      <c r="C101" s="127" t="s">
        <v>226</v>
      </c>
      <c r="D101" s="86"/>
      <c r="E101" s="87"/>
      <c r="F101" s="87"/>
      <c r="G101" s="87">
        <v>7</v>
      </c>
      <c r="H101" s="87">
        <v>7</v>
      </c>
      <c r="I101" s="87">
        <v>7</v>
      </c>
      <c r="J101" s="75"/>
      <c r="K101" s="75"/>
      <c r="L101" s="75"/>
      <c r="M101" s="75"/>
      <c r="N101" s="75"/>
      <c r="O101" s="75"/>
      <c r="P101" s="75">
        <f>199806+173878+58684</f>
        <v>432368</v>
      </c>
      <c r="Q101" s="75"/>
      <c r="R101" s="75"/>
      <c r="S101" s="75"/>
      <c r="T101" s="75">
        <f>P101</f>
        <v>432368</v>
      </c>
      <c r="U101" s="75">
        <f>P101</f>
        <v>432368</v>
      </c>
      <c r="V101" s="75">
        <f>P101</f>
        <v>432368</v>
      </c>
    </row>
    <row r="102" spans="1:25" ht="57" x14ac:dyDescent="0.25">
      <c r="A102" s="83"/>
      <c r="B102" s="84" t="s">
        <v>263</v>
      </c>
      <c r="C102" s="127" t="s">
        <v>226</v>
      </c>
      <c r="D102" s="213"/>
      <c r="E102" s="87"/>
      <c r="F102" s="87"/>
      <c r="G102" s="87"/>
      <c r="H102" s="87"/>
      <c r="I102" s="87"/>
      <c r="J102" s="75"/>
      <c r="K102" s="75"/>
      <c r="L102" s="75"/>
      <c r="M102" s="75"/>
      <c r="N102" s="75">
        <v>32613</v>
      </c>
      <c r="O102" s="75"/>
      <c r="P102" s="75"/>
      <c r="Q102" s="75"/>
      <c r="R102" s="75"/>
      <c r="S102" s="75"/>
      <c r="T102" s="75">
        <f>N102</f>
        <v>32613</v>
      </c>
      <c r="U102" s="75">
        <f>T102</f>
        <v>32613</v>
      </c>
      <c r="V102" s="75">
        <f>U102</f>
        <v>32613</v>
      </c>
    </row>
    <row r="103" spans="1:25" x14ac:dyDescent="0.25">
      <c r="A103" s="83"/>
      <c r="B103" s="84" t="s">
        <v>281</v>
      </c>
      <c r="C103" s="127"/>
      <c r="D103" s="246"/>
      <c r="E103" s="87"/>
      <c r="F103" s="87"/>
      <c r="G103" s="87"/>
      <c r="H103" s="87"/>
      <c r="I103" s="87"/>
      <c r="J103" s="75"/>
      <c r="K103" s="75"/>
      <c r="L103" s="75"/>
      <c r="M103" s="75"/>
      <c r="N103" s="75"/>
      <c r="O103" s="75">
        <v>8732</v>
      </c>
      <c r="P103" s="75"/>
      <c r="Q103" s="75"/>
      <c r="R103" s="75"/>
      <c r="S103" s="75"/>
      <c r="T103" s="75">
        <f>O103</f>
        <v>8732</v>
      </c>
      <c r="U103" s="75">
        <f>O103</f>
        <v>8732</v>
      </c>
      <c r="V103" s="75">
        <f>U103</f>
        <v>8732</v>
      </c>
    </row>
    <row r="104" spans="1:25" ht="90" x14ac:dyDescent="0.25">
      <c r="A104" s="201" t="s">
        <v>252</v>
      </c>
      <c r="B104" s="213" t="s">
        <v>28</v>
      </c>
      <c r="C104" s="127" t="s">
        <v>219</v>
      </c>
      <c r="D104" s="86" t="s">
        <v>20</v>
      </c>
      <c r="E104" s="87">
        <f>E96+E95+E94</f>
        <v>111</v>
      </c>
      <c r="F104" s="87">
        <f>F96+F95+F94</f>
        <v>111</v>
      </c>
      <c r="G104" s="87">
        <f>(E104*8+F104*4)/12</f>
        <v>111</v>
      </c>
      <c r="H104" s="87">
        <f>H96+H95+H94</f>
        <v>111</v>
      </c>
      <c r="I104" s="87">
        <f>I96+I95+I94</f>
        <v>111</v>
      </c>
      <c r="J104" s="75" t="s">
        <v>23</v>
      </c>
      <c r="K104" s="75"/>
      <c r="L104" s="75">
        <v>12405.807000000001</v>
      </c>
      <c r="M104" s="75">
        <f t="shared" si="7"/>
        <v>12405.807000000001</v>
      </c>
      <c r="N104" s="75">
        <f t="shared" si="66"/>
        <v>0</v>
      </c>
      <c r="O104" s="75">
        <f t="shared" si="67"/>
        <v>0</v>
      </c>
      <c r="P104" s="75"/>
      <c r="Q104" s="75">
        <f>G104*L104+94133.45</f>
        <v>1471178.027</v>
      </c>
      <c r="R104" s="75"/>
      <c r="S104" s="75"/>
      <c r="T104" s="75">
        <f t="shared" si="3"/>
        <v>1471178.027</v>
      </c>
      <c r="U104" s="75">
        <f>T104</f>
        <v>1471178.027</v>
      </c>
      <c r="V104" s="75">
        <f>U104</f>
        <v>1471178.027</v>
      </c>
    </row>
    <row r="105" spans="1:25" ht="33" customHeight="1" x14ac:dyDescent="0.25">
      <c r="A105" s="86"/>
      <c r="B105" s="213" t="s">
        <v>28</v>
      </c>
      <c r="C105" s="127" t="s">
        <v>220</v>
      </c>
      <c r="D105" s="86"/>
      <c r="E105" s="87"/>
      <c r="F105" s="87"/>
      <c r="G105" s="87"/>
      <c r="H105" s="87"/>
      <c r="I105" s="87"/>
      <c r="J105" s="75"/>
      <c r="K105" s="75"/>
      <c r="L105" s="75">
        <v>12248.94</v>
      </c>
      <c r="M105" s="75"/>
      <c r="N105" s="75"/>
      <c r="O105" s="75"/>
      <c r="P105" s="75"/>
      <c r="Q105" s="75"/>
      <c r="R105" s="75"/>
      <c r="S105" s="75">
        <f>L105*G104</f>
        <v>1359632.34</v>
      </c>
      <c r="T105" s="75">
        <f>S105</f>
        <v>1359632.34</v>
      </c>
      <c r="U105" s="75">
        <f>S105</f>
        <v>1359632.34</v>
      </c>
      <c r="V105" s="75">
        <f>S105</f>
        <v>1359632.34</v>
      </c>
    </row>
    <row r="106" spans="1:25" ht="19.899999999999999" customHeight="1" x14ac:dyDescent="0.25">
      <c r="A106" s="195" t="s">
        <v>61</v>
      </c>
      <c r="B106" s="94"/>
      <c r="C106" s="94"/>
      <c r="D106" s="94"/>
      <c r="E106" s="92"/>
      <c r="F106" s="92"/>
      <c r="G106" s="92"/>
      <c r="H106" s="92"/>
      <c r="I106" s="92"/>
      <c r="J106" s="78"/>
      <c r="K106" s="78"/>
      <c r="L106" s="78"/>
      <c r="M106" s="78">
        <f t="shared" si="7"/>
        <v>0</v>
      </c>
      <c r="N106" s="78">
        <f t="shared" ref="N106:Q106" si="69">N107+N118</f>
        <v>11301927</v>
      </c>
      <c r="O106" s="78">
        <f>O107+O118</f>
        <v>4849325.998747196</v>
      </c>
      <c r="P106" s="78">
        <f>P107</f>
        <v>1027282</v>
      </c>
      <c r="Q106" s="78">
        <f t="shared" si="69"/>
        <v>7248664.4200076004</v>
      </c>
      <c r="R106" s="78">
        <f>R107</f>
        <v>3662908</v>
      </c>
      <c r="S106" s="78">
        <f>S119</f>
        <v>2731513.62</v>
      </c>
      <c r="T106" s="78">
        <f>T107+T118+T119</f>
        <v>30821621.038754798</v>
      </c>
      <c r="U106" s="78">
        <f t="shared" ref="U106:V106" si="70">U107+U118+U119</f>
        <v>30821621.038754798</v>
      </c>
      <c r="V106" s="78">
        <f t="shared" si="70"/>
        <v>30821621.038754798</v>
      </c>
      <c r="W106" s="80">
        <v>7248664.4199999999</v>
      </c>
      <c r="X106" s="85">
        <f>W106-Q106</f>
        <v>-7.6005235314369202E-6</v>
      </c>
      <c r="Y106" s="80">
        <f>X106/I118</f>
        <v>-3.4083065163394263E-8</v>
      </c>
    </row>
    <row r="107" spans="1:25" ht="94.9" customHeight="1" x14ac:dyDescent="0.25">
      <c r="A107" s="201" t="s">
        <v>251</v>
      </c>
      <c r="B107" s="84" t="s">
        <v>76</v>
      </c>
      <c r="C107" s="128"/>
      <c r="D107" s="95"/>
      <c r="E107" s="68"/>
      <c r="F107" s="68"/>
      <c r="G107" s="68"/>
      <c r="H107" s="68"/>
      <c r="I107" s="68"/>
      <c r="J107" s="75"/>
      <c r="K107" s="75"/>
      <c r="L107" s="75"/>
      <c r="M107" s="75">
        <f>J107+K107+L107</f>
        <v>0</v>
      </c>
      <c r="N107" s="75">
        <f>SUM(N108:N116)</f>
        <v>11301927</v>
      </c>
      <c r="O107" s="75">
        <f>SUM(O108:O117)</f>
        <v>4849325.998747196</v>
      </c>
      <c r="P107" s="75">
        <f>P115</f>
        <v>1027282</v>
      </c>
      <c r="Q107" s="75">
        <f t="shared" ref="Q107" si="71">SUM(Q108:Q113)</f>
        <v>4419413.6390076</v>
      </c>
      <c r="R107" s="75">
        <f>R114</f>
        <v>3662908</v>
      </c>
      <c r="S107" s="75"/>
      <c r="T107" s="75">
        <f>SUM(T108:T117)</f>
        <v>25260856.637754798</v>
      </c>
      <c r="U107" s="75">
        <f t="shared" ref="U107:V107" si="72">SUM(U108:U117)</f>
        <v>25260856.637754798</v>
      </c>
      <c r="V107" s="75">
        <f t="shared" si="72"/>
        <v>25260856.637754798</v>
      </c>
    </row>
    <row r="108" spans="1:25" ht="105" x14ac:dyDescent="0.25">
      <c r="A108" s="83"/>
      <c r="B108" s="97" t="s">
        <v>19</v>
      </c>
      <c r="C108" s="93" t="s">
        <v>0</v>
      </c>
      <c r="D108" s="213" t="s">
        <v>20</v>
      </c>
      <c r="E108" s="87">
        <v>46</v>
      </c>
      <c r="F108" s="87">
        <v>46</v>
      </c>
      <c r="G108" s="87">
        <f t="shared" ref="G108:G113" si="73">(E108*8+F108*4)/12</f>
        <v>46</v>
      </c>
      <c r="H108" s="87">
        <v>46</v>
      </c>
      <c r="I108" s="87">
        <v>46</v>
      </c>
      <c r="J108" s="75">
        <v>43138.04</v>
      </c>
      <c r="K108" s="75">
        <v>21614.746317252</v>
      </c>
      <c r="L108" s="75">
        <f>18972.01-2726.46+207.38+414.8+2544.439457-1602.735426+1111.703364+896.8609862</f>
        <v>19817.998381200003</v>
      </c>
      <c r="M108" s="75">
        <f t="shared" si="7"/>
        <v>84570.784698452</v>
      </c>
      <c r="N108" s="75">
        <f>G108*J108-0.04+0.67</f>
        <v>1984350.47</v>
      </c>
      <c r="O108" s="75">
        <f>G108*K108-0.43</f>
        <v>994277.90059359197</v>
      </c>
      <c r="P108" s="75"/>
      <c r="Q108" s="75">
        <f>G108*L108</f>
        <v>911627.92553520016</v>
      </c>
      <c r="R108" s="75"/>
      <c r="S108" s="75"/>
      <c r="T108" s="75">
        <f>SUM(N108:Q108)</f>
        <v>3890256.2961287922</v>
      </c>
      <c r="U108" s="75">
        <f>T108</f>
        <v>3890256.2961287922</v>
      </c>
      <c r="V108" s="75">
        <f>U108</f>
        <v>3890256.2961287922</v>
      </c>
    </row>
    <row r="109" spans="1:25" x14ac:dyDescent="0.25">
      <c r="A109" s="88"/>
      <c r="B109" s="97" t="s">
        <v>24</v>
      </c>
      <c r="C109" s="97"/>
      <c r="D109" s="86" t="s">
        <v>20</v>
      </c>
      <c r="E109" s="87">
        <v>0</v>
      </c>
      <c r="F109" s="87">
        <v>0</v>
      </c>
      <c r="G109" s="87">
        <f t="shared" si="73"/>
        <v>0</v>
      </c>
      <c r="H109" s="87">
        <v>0</v>
      </c>
      <c r="I109" s="87">
        <v>0</v>
      </c>
      <c r="J109" s="75">
        <v>34198.17</v>
      </c>
      <c r="K109" s="75">
        <v>21614.746317252</v>
      </c>
      <c r="L109" s="75">
        <f t="shared" ref="L109:L110" si="74">18972.01-2726.46+207.38+414.8+2544.439457-1602.735426+1111.703364+896.8609862</f>
        <v>19817.998381200003</v>
      </c>
      <c r="M109" s="75">
        <f>J109+K109+L109</f>
        <v>75630.914698452005</v>
      </c>
      <c r="N109" s="75">
        <f>G109*J109</f>
        <v>0</v>
      </c>
      <c r="O109" s="75">
        <f t="shared" ref="O109:O118" si="75">G109*K109</f>
        <v>0</v>
      </c>
      <c r="P109" s="75"/>
      <c r="Q109" s="75">
        <f t="shared" ref="Q109:Q113" si="76">G109*L109</f>
        <v>0</v>
      </c>
      <c r="R109" s="75"/>
      <c r="S109" s="75"/>
      <c r="T109" s="75">
        <f t="shared" si="3"/>
        <v>0</v>
      </c>
      <c r="U109" s="75">
        <f t="shared" si="16"/>
        <v>0</v>
      </c>
      <c r="V109" s="75">
        <f t="shared" si="4"/>
        <v>0</v>
      </c>
    </row>
    <row r="110" spans="1:25" ht="120" x14ac:dyDescent="0.25">
      <c r="A110" s="88"/>
      <c r="B110" s="97" t="s">
        <v>24</v>
      </c>
      <c r="C110" s="215" t="s">
        <v>162</v>
      </c>
      <c r="D110" s="213" t="s">
        <v>20</v>
      </c>
      <c r="E110" s="87">
        <v>177</v>
      </c>
      <c r="F110" s="87">
        <v>177</v>
      </c>
      <c r="G110" s="87">
        <f t="shared" si="73"/>
        <v>177</v>
      </c>
      <c r="H110" s="87">
        <v>177</v>
      </c>
      <c r="I110" s="87">
        <v>177</v>
      </c>
      <c r="J110" s="208">
        <v>50023.83</v>
      </c>
      <c r="K110" s="75">
        <v>21614.746317252</v>
      </c>
      <c r="L110" s="75">
        <f t="shared" si="74"/>
        <v>19817.998381200003</v>
      </c>
      <c r="M110" s="75">
        <f t="shared" si="7"/>
        <v>91456.574698452008</v>
      </c>
      <c r="N110" s="75">
        <f t="shared" ref="N110:N113" si="77">G110*J110</f>
        <v>8854217.9100000001</v>
      </c>
      <c r="O110" s="75">
        <f t="shared" si="75"/>
        <v>3825810.0981536042</v>
      </c>
      <c r="P110" s="75"/>
      <c r="Q110" s="75">
        <f t="shared" si="76"/>
        <v>3507785.7134724003</v>
      </c>
      <c r="R110" s="75"/>
      <c r="S110" s="75"/>
      <c r="T110" s="75">
        <f t="shared" si="3"/>
        <v>16187813.721626004</v>
      </c>
      <c r="U110" s="75">
        <f t="shared" si="16"/>
        <v>16187813.721626006</v>
      </c>
      <c r="V110" s="75">
        <f t="shared" si="4"/>
        <v>16187813.721626006</v>
      </c>
    </row>
    <row r="111" spans="1:25" ht="75" x14ac:dyDescent="0.25">
      <c r="A111" s="83"/>
      <c r="B111" s="97" t="s">
        <v>180</v>
      </c>
      <c r="C111" s="93" t="s">
        <v>78</v>
      </c>
      <c r="D111" s="213" t="s">
        <v>20</v>
      </c>
      <c r="E111" s="87"/>
      <c r="F111" s="87"/>
      <c r="G111" s="87">
        <f t="shared" si="73"/>
        <v>0</v>
      </c>
      <c r="H111" s="87"/>
      <c r="I111" s="87"/>
      <c r="J111" s="75">
        <v>2073.06</v>
      </c>
      <c r="K111" s="75"/>
      <c r="L111" s="75"/>
      <c r="M111" s="75">
        <f t="shared" si="7"/>
        <v>2073.06</v>
      </c>
      <c r="N111" s="75">
        <f t="shared" si="77"/>
        <v>0</v>
      </c>
      <c r="O111" s="75">
        <f t="shared" si="75"/>
        <v>0</v>
      </c>
      <c r="P111" s="75"/>
      <c r="Q111" s="75">
        <f t="shared" si="76"/>
        <v>0</v>
      </c>
      <c r="R111" s="75"/>
      <c r="S111" s="75"/>
      <c r="T111" s="75">
        <f t="shared" si="3"/>
        <v>0</v>
      </c>
      <c r="U111" s="75">
        <f t="shared" si="16"/>
        <v>0</v>
      </c>
      <c r="V111" s="75">
        <f t="shared" si="4"/>
        <v>0</v>
      </c>
    </row>
    <row r="112" spans="1:25" x14ac:dyDescent="0.25">
      <c r="A112" s="83"/>
      <c r="B112" s="97" t="s">
        <v>181</v>
      </c>
      <c r="C112" s="93"/>
      <c r="D112" s="213" t="s">
        <v>20</v>
      </c>
      <c r="E112" s="87"/>
      <c r="F112" s="87"/>
      <c r="G112" s="87">
        <f t="shared" si="73"/>
        <v>0</v>
      </c>
      <c r="H112" s="87"/>
      <c r="I112" s="87"/>
      <c r="J112" s="75">
        <v>1554.8</v>
      </c>
      <c r="K112" s="75"/>
      <c r="L112" s="75"/>
      <c r="M112" s="75">
        <f t="shared" si="7"/>
        <v>1554.8</v>
      </c>
      <c r="N112" s="75">
        <f t="shared" si="77"/>
        <v>0</v>
      </c>
      <c r="O112" s="75">
        <f t="shared" si="75"/>
        <v>0</v>
      </c>
      <c r="P112" s="75"/>
      <c r="Q112" s="75">
        <f t="shared" si="76"/>
        <v>0</v>
      </c>
      <c r="R112" s="75"/>
      <c r="S112" s="75"/>
      <c r="T112" s="75">
        <f t="shared" ref="T112:T113" si="78">SUM(N112:Q112)</f>
        <v>0</v>
      </c>
      <c r="U112" s="75">
        <f t="shared" si="16"/>
        <v>0</v>
      </c>
      <c r="V112" s="75">
        <f t="shared" si="4"/>
        <v>0</v>
      </c>
    </row>
    <row r="113" spans="1:25" ht="75" x14ac:dyDescent="0.25">
      <c r="A113" s="83"/>
      <c r="B113" s="97" t="s">
        <v>181</v>
      </c>
      <c r="C113" s="129" t="s">
        <v>182</v>
      </c>
      <c r="D113" s="213" t="s">
        <v>20</v>
      </c>
      <c r="E113" s="87">
        <v>177</v>
      </c>
      <c r="F113" s="87">
        <v>177</v>
      </c>
      <c r="G113" s="87">
        <f t="shared" si="73"/>
        <v>177</v>
      </c>
      <c r="H113" s="87">
        <v>177</v>
      </c>
      <c r="I113" s="87">
        <v>177</v>
      </c>
      <c r="J113" s="75">
        <v>2073.06</v>
      </c>
      <c r="K113" s="75"/>
      <c r="L113" s="75"/>
      <c r="M113" s="75">
        <f t="shared" si="7"/>
        <v>2073.06</v>
      </c>
      <c r="N113" s="75">
        <f t="shared" si="77"/>
        <v>366931.62</v>
      </c>
      <c r="O113" s="75">
        <f t="shared" si="75"/>
        <v>0</v>
      </c>
      <c r="P113" s="75"/>
      <c r="Q113" s="75">
        <f t="shared" si="76"/>
        <v>0</v>
      </c>
      <c r="R113" s="75"/>
      <c r="S113" s="75"/>
      <c r="T113" s="75">
        <f t="shared" si="78"/>
        <v>366931.62</v>
      </c>
      <c r="U113" s="75">
        <f t="shared" si="16"/>
        <v>366931.62</v>
      </c>
      <c r="V113" s="75">
        <f t="shared" si="4"/>
        <v>366931.62</v>
      </c>
    </row>
    <row r="114" spans="1:25" x14ac:dyDescent="0.25">
      <c r="A114" s="83"/>
      <c r="B114" s="89" t="s">
        <v>225</v>
      </c>
      <c r="C114" s="127" t="s">
        <v>219</v>
      </c>
      <c r="D114" s="213"/>
      <c r="E114" s="87"/>
      <c r="F114" s="87"/>
      <c r="G114" s="87">
        <v>23</v>
      </c>
      <c r="H114" s="87">
        <v>23</v>
      </c>
      <c r="I114" s="87">
        <v>23</v>
      </c>
      <c r="J114" s="75"/>
      <c r="K114" s="75"/>
      <c r="L114" s="75"/>
      <c r="M114" s="75"/>
      <c r="N114" s="75"/>
      <c r="O114" s="75"/>
      <c r="P114" s="75"/>
      <c r="Q114" s="75"/>
      <c r="R114" s="75">
        <v>3662908</v>
      </c>
      <c r="S114" s="75"/>
      <c r="T114" s="75">
        <f>R114</f>
        <v>3662908</v>
      </c>
      <c r="U114" s="75">
        <f>R114</f>
        <v>3662908</v>
      </c>
      <c r="V114" s="75">
        <f>R114</f>
        <v>3662908</v>
      </c>
    </row>
    <row r="115" spans="1:25" x14ac:dyDescent="0.25">
      <c r="A115" s="83"/>
      <c r="B115" s="89" t="s">
        <v>225</v>
      </c>
      <c r="C115" s="127" t="s">
        <v>226</v>
      </c>
      <c r="D115" s="213"/>
      <c r="E115" s="87"/>
      <c r="F115" s="87"/>
      <c r="G115" s="87">
        <v>14</v>
      </c>
      <c r="H115" s="87">
        <v>14</v>
      </c>
      <c r="I115" s="87">
        <v>14</v>
      </c>
      <c r="J115" s="75"/>
      <c r="K115" s="75"/>
      <c r="L115" s="75"/>
      <c r="M115" s="75"/>
      <c r="N115" s="75"/>
      <c r="O115" s="75"/>
      <c r="P115" s="75">
        <f>399612+394913+232757</f>
        <v>1027282</v>
      </c>
      <c r="Q115" s="75"/>
      <c r="R115" s="75"/>
      <c r="S115" s="75"/>
      <c r="T115" s="75">
        <f>P115</f>
        <v>1027282</v>
      </c>
      <c r="U115" s="75">
        <f>P115</f>
        <v>1027282</v>
      </c>
      <c r="V115" s="75">
        <f>P115</f>
        <v>1027282</v>
      </c>
    </row>
    <row r="116" spans="1:25" ht="57" x14ac:dyDescent="0.25">
      <c r="A116" s="83"/>
      <c r="B116" s="84" t="s">
        <v>263</v>
      </c>
      <c r="C116" s="127" t="s">
        <v>226</v>
      </c>
      <c r="D116" s="213"/>
      <c r="E116" s="87"/>
      <c r="F116" s="87"/>
      <c r="G116" s="87"/>
      <c r="H116" s="87"/>
      <c r="I116" s="87"/>
      <c r="J116" s="75"/>
      <c r="K116" s="75"/>
      <c r="L116" s="75"/>
      <c r="M116" s="75"/>
      <c r="N116" s="75">
        <v>96427</v>
      </c>
      <c r="O116" s="75"/>
      <c r="P116" s="75"/>
      <c r="Q116" s="75"/>
      <c r="R116" s="75"/>
      <c r="S116" s="75"/>
      <c r="T116" s="75">
        <f>N116</f>
        <v>96427</v>
      </c>
      <c r="U116" s="75">
        <f t="shared" ref="U116:V118" si="79">T116</f>
        <v>96427</v>
      </c>
      <c r="V116" s="75">
        <f t="shared" si="79"/>
        <v>96427</v>
      </c>
    </row>
    <row r="117" spans="1:25" x14ac:dyDescent="0.25">
      <c r="A117" s="83"/>
      <c r="B117" s="84" t="s">
        <v>281</v>
      </c>
      <c r="C117" s="127"/>
      <c r="D117" s="246"/>
      <c r="E117" s="87"/>
      <c r="F117" s="87"/>
      <c r="G117" s="87"/>
      <c r="H117" s="87"/>
      <c r="I117" s="87"/>
      <c r="J117" s="75"/>
      <c r="K117" s="75"/>
      <c r="L117" s="75"/>
      <c r="M117" s="75"/>
      <c r="N117" s="75"/>
      <c r="O117" s="75">
        <v>29238</v>
      </c>
      <c r="P117" s="75"/>
      <c r="Q117" s="75"/>
      <c r="R117" s="75"/>
      <c r="S117" s="75"/>
      <c r="T117" s="75">
        <f>O117</f>
        <v>29238</v>
      </c>
      <c r="U117" s="75">
        <f t="shared" si="79"/>
        <v>29238</v>
      </c>
      <c r="V117" s="75">
        <f t="shared" si="79"/>
        <v>29238</v>
      </c>
    </row>
    <row r="118" spans="1:25" ht="90" x14ac:dyDescent="0.25">
      <c r="A118" s="201" t="s">
        <v>252</v>
      </c>
      <c r="B118" s="213" t="s">
        <v>28</v>
      </c>
      <c r="C118" s="127" t="s">
        <v>219</v>
      </c>
      <c r="D118" s="86" t="s">
        <v>20</v>
      </c>
      <c r="E118" s="87">
        <f>E110+E109+E108</f>
        <v>223</v>
      </c>
      <c r="F118" s="87">
        <f>F110+F109+F108</f>
        <v>223</v>
      </c>
      <c r="G118" s="87">
        <f>(E118*8+F118*4)/12</f>
        <v>223</v>
      </c>
      <c r="H118" s="87">
        <f>H110+H109+H108</f>
        <v>223</v>
      </c>
      <c r="I118" s="87">
        <f>I110+I109+I108</f>
        <v>223</v>
      </c>
      <c r="J118" s="75" t="s">
        <v>23</v>
      </c>
      <c r="K118" s="75"/>
      <c r="L118" s="75">
        <v>12405.807000000001</v>
      </c>
      <c r="M118" s="75">
        <f t="shared" si="7"/>
        <v>12405.807000000001</v>
      </c>
      <c r="N118" s="75">
        <f>G118*J118</f>
        <v>0</v>
      </c>
      <c r="O118" s="75">
        <f t="shared" si="75"/>
        <v>0</v>
      </c>
      <c r="P118" s="75"/>
      <c r="Q118" s="75">
        <f>G118*L118+62755.64+0.58-0.4</f>
        <v>2829250.7810000004</v>
      </c>
      <c r="R118" s="75"/>
      <c r="S118" s="75"/>
      <c r="T118" s="75">
        <f>Q118</f>
        <v>2829250.7810000004</v>
      </c>
      <c r="U118" s="75">
        <f t="shared" si="79"/>
        <v>2829250.7810000004</v>
      </c>
      <c r="V118" s="75">
        <f t="shared" si="79"/>
        <v>2829250.7810000004</v>
      </c>
    </row>
    <row r="119" spans="1:25" x14ac:dyDescent="0.25">
      <c r="A119" s="86"/>
      <c r="B119" s="213" t="s">
        <v>28</v>
      </c>
      <c r="C119" s="127" t="s">
        <v>220</v>
      </c>
      <c r="D119" s="86"/>
      <c r="E119" s="87"/>
      <c r="F119" s="87"/>
      <c r="G119" s="87"/>
      <c r="H119" s="87"/>
      <c r="I119" s="87"/>
      <c r="J119" s="75"/>
      <c r="K119" s="75"/>
      <c r="L119" s="75">
        <v>12248.94</v>
      </c>
      <c r="M119" s="75"/>
      <c r="N119" s="75"/>
      <c r="O119" s="75"/>
      <c r="P119" s="75"/>
      <c r="Q119" s="75"/>
      <c r="R119" s="75"/>
      <c r="S119" s="75">
        <f>L119*G118</f>
        <v>2731513.62</v>
      </c>
      <c r="T119" s="75">
        <f>S119</f>
        <v>2731513.62</v>
      </c>
      <c r="U119" s="75">
        <f>S119</f>
        <v>2731513.62</v>
      </c>
      <c r="V119" s="75">
        <f>S119</f>
        <v>2731513.62</v>
      </c>
    </row>
    <row r="120" spans="1:25" x14ac:dyDescent="0.25">
      <c r="A120" s="195" t="s">
        <v>65</v>
      </c>
      <c r="B120" s="94"/>
      <c r="C120" s="94"/>
      <c r="D120" s="94"/>
      <c r="E120" s="92"/>
      <c r="F120" s="92"/>
      <c r="G120" s="92"/>
      <c r="H120" s="92"/>
      <c r="I120" s="92"/>
      <c r="J120" s="78"/>
      <c r="K120" s="78"/>
      <c r="L120" s="78"/>
      <c r="M120" s="78">
        <f t="shared" si="7"/>
        <v>0</v>
      </c>
      <c r="N120" s="161">
        <f>N121+N130</f>
        <v>6688566</v>
      </c>
      <c r="O120" s="78">
        <f>O121+O130</f>
        <v>3041162.0044152802</v>
      </c>
      <c r="P120" s="78">
        <f>P121</f>
        <v>482137</v>
      </c>
      <c r="Q120" s="78">
        <f>Q121+Q130-0.01</f>
        <v>4445327.8399980012</v>
      </c>
      <c r="R120" s="78">
        <f>R121</f>
        <v>2492208</v>
      </c>
      <c r="S120" s="78">
        <f>S131</f>
        <v>1714851.6</v>
      </c>
      <c r="T120" s="78">
        <f>T121+T130+T131</f>
        <v>18864252.454413284</v>
      </c>
      <c r="U120" s="78">
        <f t="shared" ref="U120:V120" si="80">U121+U130+U131</f>
        <v>18864252.454413284</v>
      </c>
      <c r="V120" s="78">
        <f t="shared" si="80"/>
        <v>18864252.454413284</v>
      </c>
      <c r="W120" s="80">
        <v>4445327.84</v>
      </c>
      <c r="X120" s="85">
        <f>W120-Q120</f>
        <v>1.9986182451248169E-6</v>
      </c>
      <c r="Y120" s="80">
        <f>X120/I130</f>
        <v>1.4275844608034407E-8</v>
      </c>
    </row>
    <row r="121" spans="1:25" ht="94.9" customHeight="1" x14ac:dyDescent="0.25">
      <c r="A121" s="201" t="s">
        <v>251</v>
      </c>
      <c r="B121" s="84" t="s">
        <v>76</v>
      </c>
      <c r="C121" s="128"/>
      <c r="D121" s="95"/>
      <c r="E121" s="68"/>
      <c r="F121" s="68"/>
      <c r="G121" s="68"/>
      <c r="H121" s="68"/>
      <c r="I121" s="68"/>
      <c r="J121" s="75"/>
      <c r="K121" s="75"/>
      <c r="L121" s="75"/>
      <c r="M121" s="75">
        <f t="shared" si="7"/>
        <v>0</v>
      </c>
      <c r="N121" s="75">
        <f>SUM(N122:N128)</f>
        <v>6688566</v>
      </c>
      <c r="O121" s="75">
        <f>SUM(O122:O129)</f>
        <v>3041162.0044152802</v>
      </c>
      <c r="P121" s="75">
        <f>P127</f>
        <v>482137</v>
      </c>
      <c r="Q121" s="75">
        <f t="shared" ref="Q121" si="81">SUM(Q122:Q125)</f>
        <v>2708514.8699980006</v>
      </c>
      <c r="R121" s="75">
        <f>R126</f>
        <v>2492208</v>
      </c>
      <c r="S121" s="75"/>
      <c r="T121" s="75">
        <f>SUM(T122:T129)</f>
        <v>15412587.874413282</v>
      </c>
      <c r="U121" s="75">
        <f t="shared" ref="U121:V121" si="82">SUM(U122:U129)</f>
        <v>15412587.874413282</v>
      </c>
      <c r="V121" s="75">
        <f t="shared" si="82"/>
        <v>15412587.874413282</v>
      </c>
    </row>
    <row r="122" spans="1:25" ht="105" x14ac:dyDescent="0.25">
      <c r="A122" s="83"/>
      <c r="B122" s="97" t="s">
        <v>19</v>
      </c>
      <c r="C122" s="93" t="s">
        <v>0</v>
      </c>
      <c r="D122" s="86" t="s">
        <v>20</v>
      </c>
      <c r="E122" s="87">
        <v>21</v>
      </c>
      <c r="F122" s="87">
        <v>21</v>
      </c>
      <c r="G122" s="87">
        <f t="shared" ref="G122:G130" si="83">(E122*8+F122*4)/12</f>
        <v>21</v>
      </c>
      <c r="H122" s="87">
        <v>21</v>
      </c>
      <c r="I122" s="87">
        <v>21</v>
      </c>
      <c r="J122" s="75">
        <v>43138.04</v>
      </c>
      <c r="K122" s="75">
        <v>21614.746317252</v>
      </c>
      <c r="L122" s="75">
        <f>18972.01+207.38+2510.357143-2510.357072+167.1447147</f>
        <v>19346.534785700002</v>
      </c>
      <c r="M122" s="75">
        <f t="shared" si="7"/>
        <v>84099.321102952003</v>
      </c>
      <c r="N122" s="75">
        <f>G122*J122+0.13+0.3</f>
        <v>905899.27</v>
      </c>
      <c r="O122" s="75">
        <f>G122*K122-0.48</f>
        <v>453909.19266229204</v>
      </c>
      <c r="P122" s="75"/>
      <c r="Q122" s="75">
        <f>G122*L122</f>
        <v>406277.23049970006</v>
      </c>
      <c r="R122" s="75"/>
      <c r="S122" s="75"/>
      <c r="T122" s="75">
        <f>N122+O122+P122+Q122+R122</f>
        <v>1766085.6931619924</v>
      </c>
      <c r="U122" s="75">
        <f>H122*M122-0.05</f>
        <v>1766085.6931619921</v>
      </c>
      <c r="V122" s="75">
        <f>U122</f>
        <v>1766085.6931619921</v>
      </c>
      <c r="W122" s="85">
        <f>U122-T122</f>
        <v>0</v>
      </c>
    </row>
    <row r="123" spans="1:25" x14ac:dyDescent="0.25">
      <c r="A123" s="88"/>
      <c r="B123" s="97" t="s">
        <v>24</v>
      </c>
      <c r="C123" s="97"/>
      <c r="D123" s="86" t="s">
        <v>20</v>
      </c>
      <c r="E123" s="87">
        <v>44</v>
      </c>
      <c r="F123" s="87">
        <v>44</v>
      </c>
      <c r="G123" s="87">
        <f t="shared" si="83"/>
        <v>44</v>
      </c>
      <c r="H123" s="87">
        <v>44</v>
      </c>
      <c r="I123" s="87">
        <v>44</v>
      </c>
      <c r="J123" s="75">
        <v>34198.17</v>
      </c>
      <c r="K123" s="75">
        <v>21614.746317252</v>
      </c>
      <c r="L123" s="75">
        <f t="shared" ref="L123:L125" si="84">18972.01+207.38+2510.357143-2510.357072+167.1447147</f>
        <v>19346.534785700002</v>
      </c>
      <c r="M123" s="75">
        <f t="shared" si="7"/>
        <v>75159.451102952007</v>
      </c>
      <c r="N123" s="75">
        <f t="shared" ref="N123:N130" si="85">G123*J123</f>
        <v>1504719.48</v>
      </c>
      <c r="O123" s="75">
        <f t="shared" ref="O123:O130" si="86">G123*K123</f>
        <v>951048.83795908804</v>
      </c>
      <c r="P123" s="75"/>
      <c r="Q123" s="75">
        <f t="shared" ref="Q123" si="87">G123*L123</f>
        <v>851247.53057080007</v>
      </c>
      <c r="R123" s="75"/>
      <c r="S123" s="75"/>
      <c r="T123" s="75">
        <f t="shared" ref="T123:T124" si="88">N123+O123+P123+Q123+R123</f>
        <v>3307015.8485298879</v>
      </c>
      <c r="U123" s="75">
        <f t="shared" si="16"/>
        <v>3307015.8485298883</v>
      </c>
      <c r="V123" s="75">
        <f t="shared" si="4"/>
        <v>3307015.8485298883</v>
      </c>
    </row>
    <row r="124" spans="1:25" x14ac:dyDescent="0.25">
      <c r="A124" s="88"/>
      <c r="B124" s="97"/>
      <c r="C124" s="97"/>
      <c r="D124" s="86"/>
      <c r="E124" s="87"/>
      <c r="F124" s="87"/>
      <c r="G124" s="87"/>
      <c r="H124" s="87"/>
      <c r="I124" s="87"/>
      <c r="J124" s="75"/>
      <c r="K124" s="75"/>
      <c r="L124" s="75">
        <f t="shared" si="84"/>
        <v>19346.534785700002</v>
      </c>
      <c r="M124" s="75"/>
      <c r="N124" s="75"/>
      <c r="O124" s="75"/>
      <c r="P124" s="75"/>
      <c r="Q124" s="75"/>
      <c r="R124" s="75"/>
      <c r="S124" s="75"/>
      <c r="T124" s="75">
        <f t="shared" si="88"/>
        <v>0</v>
      </c>
      <c r="U124" s="75"/>
      <c r="V124" s="75"/>
    </row>
    <row r="125" spans="1:25" ht="120" x14ac:dyDescent="0.25">
      <c r="A125" s="88"/>
      <c r="B125" s="97" t="s">
        <v>24</v>
      </c>
      <c r="C125" s="215" t="s">
        <v>162</v>
      </c>
      <c r="D125" s="213" t="s">
        <v>20</v>
      </c>
      <c r="E125" s="87">
        <v>75</v>
      </c>
      <c r="F125" s="87">
        <v>75</v>
      </c>
      <c r="G125" s="87">
        <f t="shared" si="83"/>
        <v>75</v>
      </c>
      <c r="H125" s="87">
        <v>75</v>
      </c>
      <c r="I125" s="87">
        <v>75</v>
      </c>
      <c r="J125" s="208">
        <v>50023.83</v>
      </c>
      <c r="K125" s="75">
        <v>21614.746317252</v>
      </c>
      <c r="L125" s="75">
        <f t="shared" si="84"/>
        <v>19346.534785700002</v>
      </c>
      <c r="M125" s="75">
        <f t="shared" si="7"/>
        <v>90985.111102952011</v>
      </c>
      <c r="N125" s="75">
        <f t="shared" si="85"/>
        <v>3751787.25</v>
      </c>
      <c r="O125" s="75">
        <f t="shared" si="86"/>
        <v>1621105.9737939001</v>
      </c>
      <c r="P125" s="75"/>
      <c r="Q125" s="75">
        <f>G125*L125</f>
        <v>1450990.1089275002</v>
      </c>
      <c r="R125" s="75"/>
      <c r="S125" s="75"/>
      <c r="T125" s="75">
        <f>N125+O125+P125+Q125+R125</f>
        <v>6823883.3327214001</v>
      </c>
      <c r="U125" s="75">
        <f t="shared" si="16"/>
        <v>6823883.332721401</v>
      </c>
      <c r="V125" s="75">
        <f t="shared" si="4"/>
        <v>6823883.332721401</v>
      </c>
    </row>
    <row r="126" spans="1:25" x14ac:dyDescent="0.25">
      <c r="A126" s="88"/>
      <c r="B126" s="89" t="s">
        <v>225</v>
      </c>
      <c r="C126" s="127" t="s">
        <v>219</v>
      </c>
      <c r="D126" s="213"/>
      <c r="E126" s="87"/>
      <c r="F126" s="87"/>
      <c r="G126" s="87">
        <v>13</v>
      </c>
      <c r="H126" s="87">
        <v>13</v>
      </c>
      <c r="I126" s="87">
        <v>13</v>
      </c>
      <c r="J126" s="75"/>
      <c r="K126" s="75"/>
      <c r="L126" s="75"/>
      <c r="M126" s="75"/>
      <c r="N126" s="75"/>
      <c r="O126" s="75"/>
      <c r="P126" s="75"/>
      <c r="Q126" s="75"/>
      <c r="R126" s="75">
        <v>2492208</v>
      </c>
      <c r="S126" s="75"/>
      <c r="T126" s="75">
        <f>R126</f>
        <v>2492208</v>
      </c>
      <c r="U126" s="75">
        <f>R126</f>
        <v>2492208</v>
      </c>
      <c r="V126" s="75">
        <f>R126</f>
        <v>2492208</v>
      </c>
    </row>
    <row r="127" spans="1:25" x14ac:dyDescent="0.25">
      <c r="A127" s="88"/>
      <c r="B127" s="89" t="s">
        <v>225</v>
      </c>
      <c r="C127" s="127" t="s">
        <v>226</v>
      </c>
      <c r="D127" s="213"/>
      <c r="E127" s="87"/>
      <c r="F127" s="87"/>
      <c r="G127" s="87">
        <v>7</v>
      </c>
      <c r="H127" s="87">
        <v>7</v>
      </c>
      <c r="I127" s="87">
        <v>7</v>
      </c>
      <c r="J127" s="75"/>
      <c r="K127" s="75"/>
      <c r="L127" s="75"/>
      <c r="M127" s="75"/>
      <c r="N127" s="75"/>
      <c r="O127" s="75"/>
      <c r="P127" s="75">
        <f>199806+189212+93119</f>
        <v>482137</v>
      </c>
      <c r="Q127" s="75"/>
      <c r="R127" s="75"/>
      <c r="S127" s="75"/>
      <c r="T127" s="75">
        <f>P127</f>
        <v>482137</v>
      </c>
      <c r="U127" s="75">
        <f>P127</f>
        <v>482137</v>
      </c>
      <c r="V127" s="75">
        <f>P127</f>
        <v>482137</v>
      </c>
    </row>
    <row r="128" spans="1:25" ht="57" x14ac:dyDescent="0.25">
      <c r="A128" s="88"/>
      <c r="B128" s="84" t="s">
        <v>263</v>
      </c>
      <c r="C128" s="127" t="s">
        <v>226</v>
      </c>
      <c r="D128" s="213"/>
      <c r="E128" s="87"/>
      <c r="F128" s="87"/>
      <c r="G128" s="87"/>
      <c r="H128" s="87"/>
      <c r="I128" s="87"/>
      <c r="J128" s="75"/>
      <c r="K128" s="75"/>
      <c r="L128" s="75"/>
      <c r="M128" s="75"/>
      <c r="N128" s="75">
        <v>526160</v>
      </c>
      <c r="O128" s="75"/>
      <c r="P128" s="75"/>
      <c r="Q128" s="75"/>
      <c r="R128" s="75"/>
      <c r="S128" s="75"/>
      <c r="T128" s="75">
        <f>N128</f>
        <v>526160</v>
      </c>
      <c r="U128" s="75">
        <f>T128</f>
        <v>526160</v>
      </c>
      <c r="V128" s="75">
        <f>U128</f>
        <v>526160</v>
      </c>
    </row>
    <row r="129" spans="1:25" x14ac:dyDescent="0.25">
      <c r="A129" s="88"/>
      <c r="B129" s="84" t="s">
        <v>281</v>
      </c>
      <c r="C129" s="127"/>
      <c r="D129" s="246"/>
      <c r="E129" s="87"/>
      <c r="F129" s="87"/>
      <c r="G129" s="87"/>
      <c r="H129" s="87"/>
      <c r="I129" s="87"/>
      <c r="J129" s="75"/>
      <c r="K129" s="75"/>
      <c r="L129" s="75"/>
      <c r="M129" s="75"/>
      <c r="N129" s="75"/>
      <c r="O129" s="75">
        <v>15098</v>
      </c>
      <c r="P129" s="75"/>
      <c r="Q129" s="75"/>
      <c r="R129" s="75"/>
      <c r="S129" s="75"/>
      <c r="T129" s="75">
        <f>O129</f>
        <v>15098</v>
      </c>
      <c r="U129" s="75">
        <f>T129</f>
        <v>15098</v>
      </c>
      <c r="V129" s="75">
        <f>U129</f>
        <v>15098</v>
      </c>
    </row>
    <row r="130" spans="1:25" ht="90" x14ac:dyDescent="0.25">
      <c r="A130" s="201" t="s">
        <v>252</v>
      </c>
      <c r="B130" s="213" t="s">
        <v>28</v>
      </c>
      <c r="C130" s="127" t="s">
        <v>219</v>
      </c>
      <c r="D130" s="86" t="s">
        <v>20</v>
      </c>
      <c r="E130" s="87">
        <f>E125+E123+E122</f>
        <v>140</v>
      </c>
      <c r="F130" s="87">
        <f>F125+F123+F122</f>
        <v>140</v>
      </c>
      <c r="G130" s="87">
        <f t="shared" si="83"/>
        <v>140</v>
      </c>
      <c r="H130" s="87">
        <f>H125+H123+H122</f>
        <v>140</v>
      </c>
      <c r="I130" s="87">
        <f>I125+I123+I122</f>
        <v>140</v>
      </c>
      <c r="J130" s="75" t="s">
        <v>23</v>
      </c>
      <c r="K130" s="75"/>
      <c r="L130" s="75">
        <v>12405.807000000001</v>
      </c>
      <c r="M130" s="75">
        <f t="shared" si="7"/>
        <v>12405.807000000001</v>
      </c>
      <c r="N130" s="75">
        <f t="shared" si="85"/>
        <v>0</v>
      </c>
      <c r="O130" s="75">
        <f t="shared" si="86"/>
        <v>0</v>
      </c>
      <c r="P130" s="75"/>
      <c r="Q130" s="75">
        <f>G130*L130</f>
        <v>1736812.98</v>
      </c>
      <c r="R130" s="75"/>
      <c r="S130" s="75"/>
      <c r="T130" s="75">
        <f t="shared" si="3"/>
        <v>1736812.98</v>
      </c>
      <c r="U130" s="75">
        <f t="shared" si="16"/>
        <v>1736812.98</v>
      </c>
      <c r="V130" s="75">
        <f t="shared" si="4"/>
        <v>1736812.98</v>
      </c>
    </row>
    <row r="131" spans="1:25" x14ac:dyDescent="0.25">
      <c r="A131" s="86"/>
      <c r="B131" s="213" t="s">
        <v>28</v>
      </c>
      <c r="C131" s="127" t="s">
        <v>220</v>
      </c>
      <c r="D131" s="86"/>
      <c r="E131" s="87"/>
      <c r="F131" s="87"/>
      <c r="G131" s="87"/>
      <c r="H131" s="87"/>
      <c r="I131" s="87"/>
      <c r="J131" s="75"/>
      <c r="K131" s="75"/>
      <c r="L131" s="75">
        <v>12248.94</v>
      </c>
      <c r="M131" s="75"/>
      <c r="N131" s="75"/>
      <c r="O131" s="75"/>
      <c r="P131" s="75"/>
      <c r="Q131" s="75"/>
      <c r="R131" s="75"/>
      <c r="S131" s="75">
        <f>L131*G130</f>
        <v>1714851.6</v>
      </c>
      <c r="T131" s="75">
        <f>S131</f>
        <v>1714851.6</v>
      </c>
      <c r="U131" s="75">
        <f>S131</f>
        <v>1714851.6</v>
      </c>
      <c r="V131" s="75">
        <f>S131</f>
        <v>1714851.6</v>
      </c>
    </row>
    <row r="132" spans="1:25" x14ac:dyDescent="0.25">
      <c r="A132" s="195" t="s">
        <v>68</v>
      </c>
      <c r="B132" s="94"/>
      <c r="C132" s="94"/>
      <c r="D132" s="94"/>
      <c r="E132" s="92"/>
      <c r="F132" s="92"/>
      <c r="G132" s="92"/>
      <c r="H132" s="92"/>
      <c r="I132" s="92"/>
      <c r="J132" s="78"/>
      <c r="K132" s="78"/>
      <c r="L132" s="78"/>
      <c r="M132" s="78">
        <f t="shared" si="7"/>
        <v>0</v>
      </c>
      <c r="N132" s="78">
        <f>N133+N142</f>
        <v>6651072</v>
      </c>
      <c r="O132" s="78">
        <f>O133+O142</f>
        <v>3128953.9996842882</v>
      </c>
      <c r="P132" s="78">
        <f>P133</f>
        <v>573372</v>
      </c>
      <c r="Q132" s="78">
        <f t="shared" ref="Q132" si="89">Q133+Q142</f>
        <v>4491945.6100479998</v>
      </c>
      <c r="R132" s="78">
        <f>R133</f>
        <v>2653458</v>
      </c>
      <c r="S132" s="78">
        <f>S143</f>
        <v>1763847.36</v>
      </c>
      <c r="T132" s="78">
        <f>T133+T142+T143</f>
        <v>19262648.969732288</v>
      </c>
      <c r="U132" s="78">
        <f t="shared" ref="U132:V132" si="90">U133+U142+U143</f>
        <v>19262648.969732288</v>
      </c>
      <c r="V132" s="78">
        <f t="shared" si="90"/>
        <v>19262648.969732288</v>
      </c>
      <c r="W132" s="80">
        <v>4491945.6100000003</v>
      </c>
      <c r="X132" s="85">
        <f>W132-Q132</f>
        <v>-4.7999434173107147E-5</v>
      </c>
      <c r="Y132" s="80">
        <f>X132/I142</f>
        <v>-3.3332940397991075E-7</v>
      </c>
    </row>
    <row r="133" spans="1:25" ht="94.9" customHeight="1" x14ac:dyDescent="0.25">
      <c r="A133" s="201" t="s">
        <v>251</v>
      </c>
      <c r="B133" s="84" t="s">
        <v>76</v>
      </c>
      <c r="C133" s="128"/>
      <c r="D133" s="95"/>
      <c r="E133" s="68"/>
      <c r="F133" s="68"/>
      <c r="G133" s="68"/>
      <c r="H133" s="68"/>
      <c r="I133" s="68"/>
      <c r="J133" s="75"/>
      <c r="K133" s="75"/>
      <c r="L133" s="75"/>
      <c r="M133" s="75">
        <f t="shared" si="7"/>
        <v>0</v>
      </c>
      <c r="N133" s="75">
        <f>SUM(N134:N140)</f>
        <v>6651072</v>
      </c>
      <c r="O133" s="75">
        <f>SUM(O134:O141)</f>
        <v>3128953.9996842882</v>
      </c>
      <c r="P133" s="75">
        <f>P139</f>
        <v>573372</v>
      </c>
      <c r="Q133" s="75">
        <f t="shared" ref="Q133" si="91">SUM(Q134:Q137)</f>
        <v>2768259.4320479995</v>
      </c>
      <c r="R133" s="75">
        <f>R138</f>
        <v>2653458</v>
      </c>
      <c r="S133" s="75"/>
      <c r="T133" s="75">
        <f>SUM(T134:T141)</f>
        <v>15775115.431732289</v>
      </c>
      <c r="U133" s="75">
        <f t="shared" ref="U133:V133" si="92">SUM(U134:U141)</f>
        <v>15775115.431732288</v>
      </c>
      <c r="V133" s="75">
        <f t="shared" si="92"/>
        <v>15775115.431732288</v>
      </c>
    </row>
    <row r="134" spans="1:25" ht="105" x14ac:dyDescent="0.25">
      <c r="A134" s="83"/>
      <c r="B134" s="97" t="s">
        <v>19</v>
      </c>
      <c r="C134" s="93" t="s">
        <v>0</v>
      </c>
      <c r="D134" s="213" t="s">
        <v>20</v>
      </c>
      <c r="E134" s="87">
        <v>14</v>
      </c>
      <c r="F134" s="87">
        <v>14</v>
      </c>
      <c r="G134" s="87">
        <f t="shared" ref="G134:G142" si="93">(E134*8+F134*4)/12</f>
        <v>14</v>
      </c>
      <c r="H134" s="87">
        <v>14</v>
      </c>
      <c r="I134" s="87">
        <v>14</v>
      </c>
      <c r="J134" s="75">
        <v>43138.04</v>
      </c>
      <c r="K134" s="75">
        <v>21614.746317252</v>
      </c>
      <c r="L134" s="75">
        <f>18972.01+207.38+2961.339458-2916.666666</f>
        <v>19224.062791999997</v>
      </c>
      <c r="M134" s="75">
        <f t="shared" si="7"/>
        <v>83976.849109251998</v>
      </c>
      <c r="N134" s="75">
        <f>G134*J134</f>
        <v>603932.56000000006</v>
      </c>
      <c r="O134" s="75">
        <f>G134*K134</f>
        <v>302606.44844152802</v>
      </c>
      <c r="P134" s="75"/>
      <c r="Q134" s="75">
        <f>G134*L134</f>
        <v>269136.87908799993</v>
      </c>
      <c r="R134" s="75"/>
      <c r="S134" s="75"/>
      <c r="T134" s="75">
        <f t="shared" si="3"/>
        <v>1175675.887529528</v>
      </c>
      <c r="U134" s="75">
        <f t="shared" si="16"/>
        <v>1175675.887529528</v>
      </c>
      <c r="V134" s="75">
        <f t="shared" si="4"/>
        <v>1175675.887529528</v>
      </c>
    </row>
    <row r="135" spans="1:25" x14ac:dyDescent="0.25">
      <c r="A135" s="88"/>
      <c r="B135" s="97" t="s">
        <v>24</v>
      </c>
      <c r="C135" s="97"/>
      <c r="D135" s="86" t="s">
        <v>20</v>
      </c>
      <c r="E135" s="87">
        <v>57</v>
      </c>
      <c r="F135" s="87">
        <v>57</v>
      </c>
      <c r="G135" s="87">
        <f t="shared" si="93"/>
        <v>57</v>
      </c>
      <c r="H135" s="87">
        <v>57</v>
      </c>
      <c r="I135" s="87">
        <v>57</v>
      </c>
      <c r="J135" s="75">
        <v>34198.17</v>
      </c>
      <c r="K135" s="75">
        <v>21614.746317252</v>
      </c>
      <c r="L135" s="75">
        <f>18972.01+207.38+2961.339458-2916.666666</f>
        <v>19224.062791999997</v>
      </c>
      <c r="M135" s="75">
        <f t="shared" si="7"/>
        <v>75036.979109251988</v>
      </c>
      <c r="N135" s="75">
        <f t="shared" ref="N135:N142" si="94">G135*J135</f>
        <v>1949295.69</v>
      </c>
      <c r="O135" s="75">
        <f>G135*K135</f>
        <v>1232040.5400833641</v>
      </c>
      <c r="P135" s="75"/>
      <c r="Q135" s="75">
        <f t="shared" ref="Q135" si="95">G135*L135</f>
        <v>1095771.5791439998</v>
      </c>
      <c r="R135" s="75"/>
      <c r="S135" s="75"/>
      <c r="T135" s="75">
        <f t="shared" si="3"/>
        <v>4277107.8092273641</v>
      </c>
      <c r="U135" s="75">
        <f t="shared" si="16"/>
        <v>4277107.8092273632</v>
      </c>
      <c r="V135" s="75">
        <f t="shared" si="4"/>
        <v>4277107.8092273632</v>
      </c>
    </row>
    <row r="136" spans="1:25" x14ac:dyDescent="0.25">
      <c r="A136" s="88"/>
      <c r="B136" s="97"/>
      <c r="C136" s="97"/>
      <c r="D136" s="86"/>
      <c r="E136" s="87"/>
      <c r="F136" s="87"/>
      <c r="G136" s="87"/>
      <c r="H136" s="87"/>
      <c r="I136" s="87"/>
      <c r="J136" s="75"/>
      <c r="K136" s="75"/>
      <c r="L136" s="75">
        <f>18972.01+207.38+2961.339458-2916.666666</f>
        <v>19224.062791999997</v>
      </c>
      <c r="M136" s="75"/>
      <c r="N136" s="75"/>
      <c r="O136" s="75"/>
      <c r="P136" s="75"/>
      <c r="Q136" s="75"/>
      <c r="R136" s="75"/>
      <c r="S136" s="75"/>
      <c r="T136" s="75"/>
      <c r="U136" s="75"/>
      <c r="V136" s="75"/>
    </row>
    <row r="137" spans="1:25" ht="120" x14ac:dyDescent="0.25">
      <c r="A137" s="88"/>
      <c r="B137" s="97" t="s">
        <v>24</v>
      </c>
      <c r="C137" s="93" t="s">
        <v>162</v>
      </c>
      <c r="D137" s="213" t="s">
        <v>20</v>
      </c>
      <c r="E137" s="87">
        <v>73</v>
      </c>
      <c r="F137" s="87">
        <v>73</v>
      </c>
      <c r="G137" s="87">
        <f t="shared" si="93"/>
        <v>73</v>
      </c>
      <c r="H137" s="87">
        <v>73</v>
      </c>
      <c r="I137" s="87">
        <v>73</v>
      </c>
      <c r="J137" s="209">
        <v>50023.83</v>
      </c>
      <c r="K137" s="75">
        <v>21614.746317252</v>
      </c>
      <c r="L137" s="75">
        <f>18972.01+207.38+2961.339458-2916.666666</f>
        <v>19224.062791999997</v>
      </c>
      <c r="M137" s="75">
        <f t="shared" si="7"/>
        <v>90862.639109252006</v>
      </c>
      <c r="N137" s="75">
        <f>G137*J137-0.17+0.33</f>
        <v>3651739.7500000005</v>
      </c>
      <c r="O137" s="75">
        <f>G137*K137-0.47</f>
        <v>1577876.011159396</v>
      </c>
      <c r="P137" s="75"/>
      <c r="Q137" s="75">
        <f>G137*L137-5.61</f>
        <v>1403350.9738159997</v>
      </c>
      <c r="R137" s="75"/>
      <c r="S137" s="75"/>
      <c r="T137" s="75">
        <f t="shared" si="3"/>
        <v>6632966.7349753967</v>
      </c>
      <c r="U137" s="75">
        <f>T137</f>
        <v>6632966.7349753967</v>
      </c>
      <c r="V137" s="75">
        <f>U137</f>
        <v>6632966.7349753967</v>
      </c>
    </row>
    <row r="138" spans="1:25" x14ac:dyDescent="0.25">
      <c r="A138" s="88"/>
      <c r="B138" s="89" t="s">
        <v>225</v>
      </c>
      <c r="C138" s="127" t="s">
        <v>219</v>
      </c>
      <c r="D138" s="213"/>
      <c r="E138" s="87"/>
      <c r="F138" s="87"/>
      <c r="G138" s="87">
        <v>15</v>
      </c>
      <c r="H138" s="87">
        <v>15</v>
      </c>
      <c r="I138" s="87">
        <v>15</v>
      </c>
      <c r="J138" s="75"/>
      <c r="K138" s="75"/>
      <c r="L138" s="75"/>
      <c r="M138" s="75"/>
      <c r="N138" s="75"/>
      <c r="O138" s="75"/>
      <c r="P138" s="75"/>
      <c r="Q138" s="75"/>
      <c r="R138" s="75">
        <f>2594417+59041</f>
        <v>2653458</v>
      </c>
      <c r="S138" s="75"/>
      <c r="T138" s="75">
        <f>R138</f>
        <v>2653458</v>
      </c>
      <c r="U138" s="75">
        <f>R138</f>
        <v>2653458</v>
      </c>
      <c r="V138" s="75">
        <f>R138</f>
        <v>2653458</v>
      </c>
    </row>
    <row r="139" spans="1:25" x14ac:dyDescent="0.25">
      <c r="A139" s="88"/>
      <c r="B139" s="89" t="s">
        <v>225</v>
      </c>
      <c r="C139" s="127" t="s">
        <v>226</v>
      </c>
      <c r="D139" s="213"/>
      <c r="E139" s="87"/>
      <c r="F139" s="87"/>
      <c r="G139" s="87">
        <v>8</v>
      </c>
      <c r="H139" s="87">
        <v>8</v>
      </c>
      <c r="I139" s="87">
        <v>8</v>
      </c>
      <c r="J139" s="75"/>
      <c r="K139" s="75"/>
      <c r="L139" s="75"/>
      <c r="M139" s="75"/>
      <c r="N139" s="75"/>
      <c r="O139" s="75"/>
      <c r="P139" s="75">
        <f>228350+244493+100529</f>
        <v>573372</v>
      </c>
      <c r="Q139" s="75"/>
      <c r="R139" s="75"/>
      <c r="S139" s="75"/>
      <c r="T139" s="75">
        <f>P139</f>
        <v>573372</v>
      </c>
      <c r="U139" s="75">
        <f t="shared" ref="U139:V142" si="96">T139</f>
        <v>573372</v>
      </c>
      <c r="V139" s="75">
        <f t="shared" si="96"/>
        <v>573372</v>
      </c>
    </row>
    <row r="140" spans="1:25" ht="57" x14ac:dyDescent="0.25">
      <c r="A140" s="88"/>
      <c r="B140" s="84" t="s">
        <v>263</v>
      </c>
      <c r="C140" s="127" t="s">
        <v>226</v>
      </c>
      <c r="D140" s="213"/>
      <c r="E140" s="87"/>
      <c r="F140" s="87"/>
      <c r="G140" s="87"/>
      <c r="H140" s="87"/>
      <c r="I140" s="87"/>
      <c r="J140" s="75"/>
      <c r="K140" s="75"/>
      <c r="L140" s="75"/>
      <c r="M140" s="75"/>
      <c r="N140" s="75">
        <v>446104</v>
      </c>
      <c r="O140" s="75"/>
      <c r="P140" s="75"/>
      <c r="Q140" s="75"/>
      <c r="R140" s="75"/>
      <c r="S140" s="75"/>
      <c r="T140" s="75">
        <f>N140</f>
        <v>446104</v>
      </c>
      <c r="U140" s="75">
        <f t="shared" si="96"/>
        <v>446104</v>
      </c>
      <c r="V140" s="75">
        <f t="shared" si="96"/>
        <v>446104</v>
      </c>
    </row>
    <row r="141" spans="1:25" x14ac:dyDescent="0.25">
      <c r="A141" s="88"/>
      <c r="B141" s="84" t="s">
        <v>281</v>
      </c>
      <c r="C141" s="127"/>
      <c r="D141" s="246"/>
      <c r="E141" s="87"/>
      <c r="F141" s="87"/>
      <c r="G141" s="87"/>
      <c r="H141" s="87"/>
      <c r="I141" s="87"/>
      <c r="J141" s="75"/>
      <c r="K141" s="75"/>
      <c r="L141" s="75"/>
      <c r="M141" s="75"/>
      <c r="N141" s="75"/>
      <c r="O141" s="75">
        <v>16431</v>
      </c>
      <c r="P141" s="75"/>
      <c r="Q141" s="75"/>
      <c r="R141" s="75"/>
      <c r="S141" s="75"/>
      <c r="T141" s="75">
        <f>O141</f>
        <v>16431</v>
      </c>
      <c r="U141" s="75">
        <f>T141</f>
        <v>16431</v>
      </c>
      <c r="V141" s="75">
        <f>U141</f>
        <v>16431</v>
      </c>
    </row>
    <row r="142" spans="1:25" ht="81" customHeight="1" x14ac:dyDescent="0.25">
      <c r="A142" s="201" t="s">
        <v>252</v>
      </c>
      <c r="B142" s="213" t="s">
        <v>28</v>
      </c>
      <c r="C142" s="127" t="s">
        <v>219</v>
      </c>
      <c r="D142" s="86" t="s">
        <v>20</v>
      </c>
      <c r="E142" s="87">
        <f>E137+E135+E134</f>
        <v>144</v>
      </c>
      <c r="F142" s="87">
        <f>F137+F135+F134</f>
        <v>144</v>
      </c>
      <c r="G142" s="87">
        <f t="shared" si="93"/>
        <v>144</v>
      </c>
      <c r="H142" s="87">
        <f>H137+H135+H134</f>
        <v>144</v>
      </c>
      <c r="I142" s="87">
        <f>I137+I135+I134</f>
        <v>144</v>
      </c>
      <c r="J142" s="75" t="s">
        <v>23</v>
      </c>
      <c r="K142" s="75"/>
      <c r="L142" s="75">
        <v>12405.807000000001</v>
      </c>
      <c r="M142" s="75">
        <f t="shared" si="7"/>
        <v>12405.807000000001</v>
      </c>
      <c r="N142" s="75">
        <f t="shared" si="94"/>
        <v>0</v>
      </c>
      <c r="O142" s="75">
        <f t="shared" ref="O142" si="97">G142*K142</f>
        <v>0</v>
      </c>
      <c r="P142" s="75"/>
      <c r="Q142" s="75">
        <f>G142*L142-4.79+10.4-62755.64</f>
        <v>1723686.1780000001</v>
      </c>
      <c r="R142" s="75"/>
      <c r="S142" s="75"/>
      <c r="T142" s="75">
        <f t="shared" si="3"/>
        <v>1723686.1780000001</v>
      </c>
      <c r="U142" s="75">
        <f t="shared" si="96"/>
        <v>1723686.1780000001</v>
      </c>
      <c r="V142" s="75">
        <f t="shared" si="96"/>
        <v>1723686.1780000001</v>
      </c>
    </row>
    <row r="143" spans="1:25" ht="27.6" customHeight="1" x14ac:dyDescent="0.25">
      <c r="A143" s="86"/>
      <c r="B143" s="213" t="s">
        <v>28</v>
      </c>
      <c r="C143" s="127" t="s">
        <v>220</v>
      </c>
      <c r="D143" s="86"/>
      <c r="E143" s="87"/>
      <c r="F143" s="87"/>
      <c r="G143" s="87"/>
      <c r="H143" s="87"/>
      <c r="I143" s="87"/>
      <c r="J143" s="75"/>
      <c r="K143" s="75"/>
      <c r="L143" s="75">
        <v>12248.94</v>
      </c>
      <c r="M143" s="75"/>
      <c r="N143" s="75"/>
      <c r="O143" s="75"/>
      <c r="P143" s="75"/>
      <c r="Q143" s="75"/>
      <c r="R143" s="75"/>
      <c r="S143" s="75">
        <f>L143*G142</f>
        <v>1763847.36</v>
      </c>
      <c r="T143" s="75">
        <f>S143</f>
        <v>1763847.36</v>
      </c>
      <c r="U143" s="75">
        <f>S143</f>
        <v>1763847.36</v>
      </c>
      <c r="V143" s="75">
        <f>S143</f>
        <v>1763847.36</v>
      </c>
    </row>
    <row r="144" spans="1:25" s="96" customFormat="1" ht="14.25" x14ac:dyDescent="0.2">
      <c r="A144" s="195" t="s">
        <v>71</v>
      </c>
      <c r="B144" s="94"/>
      <c r="C144" s="94"/>
      <c r="D144" s="94"/>
      <c r="E144" s="92"/>
      <c r="F144" s="92"/>
      <c r="G144" s="92"/>
      <c r="H144" s="92"/>
      <c r="I144" s="92"/>
      <c r="J144" s="78"/>
      <c r="K144" s="78"/>
      <c r="L144" s="78"/>
      <c r="M144" s="78">
        <f t="shared" si="7"/>
        <v>0</v>
      </c>
      <c r="N144" s="161">
        <f>N145+N153</f>
        <v>11997185</v>
      </c>
      <c r="O144" s="161">
        <f>O145+O153</f>
        <v>5312972.9977267403</v>
      </c>
      <c r="P144" s="161">
        <f>P145</f>
        <v>1114699</v>
      </c>
      <c r="Q144" s="78">
        <f t="shared" ref="Q144" si="98">Q145+Q153</f>
        <v>7810915.2300030002</v>
      </c>
      <c r="R144" s="78">
        <f>R145</f>
        <v>4341727</v>
      </c>
      <c r="S144" s="78">
        <f>S154</f>
        <v>2878524.6</v>
      </c>
      <c r="T144" s="78">
        <f>T145+T153+T154</f>
        <v>33456023.827729743</v>
      </c>
      <c r="U144" s="78">
        <f t="shared" ref="U144:V144" si="99">U145+U153+U154</f>
        <v>33456023.827729743</v>
      </c>
      <c r="V144" s="78">
        <f t="shared" si="99"/>
        <v>33456023.827729743</v>
      </c>
      <c r="W144" s="96">
        <v>7810915.2300000004</v>
      </c>
      <c r="X144" s="210">
        <f>W144-Q144</f>
        <v>-2.9997900128364563E-6</v>
      </c>
      <c r="Y144" s="96">
        <f>X144/I153</f>
        <v>-1.224404086872023E-8</v>
      </c>
    </row>
    <row r="145" spans="1:22" ht="106.9" customHeight="1" x14ac:dyDescent="0.25">
      <c r="A145" s="201" t="s">
        <v>251</v>
      </c>
      <c r="B145" s="84" t="s">
        <v>76</v>
      </c>
      <c r="C145" s="128"/>
      <c r="D145" s="95"/>
      <c r="E145" s="68"/>
      <c r="F145" s="68"/>
      <c r="G145" s="68"/>
      <c r="H145" s="68"/>
      <c r="I145" s="68"/>
      <c r="J145" s="75"/>
      <c r="K145" s="75"/>
      <c r="L145" s="75"/>
      <c r="M145" s="75">
        <f t="shared" ref="M145:M153" si="100">J145+K145+L145</f>
        <v>0</v>
      </c>
      <c r="N145" s="75">
        <f>SUM(N146:N151)</f>
        <v>11997185</v>
      </c>
      <c r="O145" s="75">
        <f>SUM(O146:O152)</f>
        <v>5312972.9977267403</v>
      </c>
      <c r="P145" s="75">
        <f>P150</f>
        <v>1114699</v>
      </c>
      <c r="Q145" s="75">
        <f t="shared" ref="Q145" si="101">SUM(Q146:Q148)</f>
        <v>4893957.4800030002</v>
      </c>
      <c r="R145" s="75">
        <f>R149</f>
        <v>4341727</v>
      </c>
      <c r="S145" s="75"/>
      <c r="T145" s="75">
        <f>SUM(T146:T152)</f>
        <v>27660541.477729741</v>
      </c>
      <c r="U145" s="75">
        <f t="shared" ref="U145:V145" si="102">SUM(U146:U152)</f>
        <v>27660541.477729741</v>
      </c>
      <c r="V145" s="75">
        <f t="shared" si="102"/>
        <v>27660541.477729741</v>
      </c>
    </row>
    <row r="146" spans="1:22" ht="105" x14ac:dyDescent="0.25">
      <c r="A146" s="83"/>
      <c r="B146" s="97" t="s">
        <v>19</v>
      </c>
      <c r="C146" s="93" t="s">
        <v>0</v>
      </c>
      <c r="D146" s="213" t="s">
        <v>20</v>
      </c>
      <c r="E146" s="87">
        <v>40</v>
      </c>
      <c r="F146" s="87">
        <v>40</v>
      </c>
      <c r="G146" s="87">
        <f t="shared" ref="G146:G153" si="103">(E146*8+F146*4)/12</f>
        <v>40</v>
      </c>
      <c r="H146" s="87">
        <v>40</v>
      </c>
      <c r="I146" s="87">
        <v>40</v>
      </c>
      <c r="J146" s="75">
        <v>43138.04</v>
      </c>
      <c r="K146" s="75">
        <v>21614.746317252</v>
      </c>
      <c r="L146" s="75">
        <f>18972.01+207.38+183.7025714+612.244898</f>
        <v>19975.337469400001</v>
      </c>
      <c r="M146" s="75">
        <f t="shared" si="100"/>
        <v>84728.123786651995</v>
      </c>
      <c r="N146" s="75">
        <f>G146*J146</f>
        <v>1725521.6</v>
      </c>
      <c r="O146" s="75">
        <f>G146*K146</f>
        <v>864589.85269007995</v>
      </c>
      <c r="P146" s="75"/>
      <c r="Q146" s="75">
        <f>G146*L146</f>
        <v>799013.49877599999</v>
      </c>
      <c r="R146" s="75"/>
      <c r="S146" s="75"/>
      <c r="T146" s="75">
        <f t="shared" ref="T146:T153" si="104">SUM(N146:Q146)</f>
        <v>3389124.9514660798</v>
      </c>
      <c r="U146" s="75">
        <f t="shared" ref="U146:U153" si="105">H146*M146</f>
        <v>3389124.9514660798</v>
      </c>
      <c r="V146" s="75">
        <f t="shared" ref="V146:V153" si="106">I146*M146</f>
        <v>3389124.9514660798</v>
      </c>
    </row>
    <row r="147" spans="1:22" x14ac:dyDescent="0.25">
      <c r="A147" s="88"/>
      <c r="B147" s="97" t="s">
        <v>24</v>
      </c>
      <c r="C147" s="97"/>
      <c r="D147" s="86" t="s">
        <v>20</v>
      </c>
      <c r="E147" s="87"/>
      <c r="F147" s="87"/>
      <c r="G147" s="87">
        <f t="shared" si="103"/>
        <v>0</v>
      </c>
      <c r="H147" s="87"/>
      <c r="I147" s="87"/>
      <c r="J147" s="75">
        <v>34198.17</v>
      </c>
      <c r="K147" s="75">
        <v>21614.746317252</v>
      </c>
      <c r="L147" s="75">
        <f t="shared" ref="L147:L148" si="107">18972.01+207.38+183.7025714+612.244898</f>
        <v>19975.337469400001</v>
      </c>
      <c r="M147" s="75">
        <f t="shared" si="100"/>
        <v>75788.253786652</v>
      </c>
      <c r="N147" s="75">
        <f t="shared" ref="N147:N153" si="108">G147*J147</f>
        <v>0</v>
      </c>
      <c r="O147" s="75">
        <f>G147*K147</f>
        <v>0</v>
      </c>
      <c r="P147" s="75"/>
      <c r="Q147" s="75">
        <f t="shared" ref="Q147" si="109">G147*L147</f>
        <v>0</v>
      </c>
      <c r="R147" s="75"/>
      <c r="S147" s="75"/>
      <c r="T147" s="75">
        <f t="shared" si="104"/>
        <v>0</v>
      </c>
      <c r="U147" s="75">
        <f t="shared" si="105"/>
        <v>0</v>
      </c>
      <c r="V147" s="75">
        <f t="shared" si="106"/>
        <v>0</v>
      </c>
    </row>
    <row r="148" spans="1:22" ht="120" x14ac:dyDescent="0.25">
      <c r="A148" s="88"/>
      <c r="B148" s="97" t="s">
        <v>24</v>
      </c>
      <c r="C148" s="93" t="s">
        <v>162</v>
      </c>
      <c r="D148" s="213" t="s">
        <v>20</v>
      </c>
      <c r="E148" s="87">
        <v>205</v>
      </c>
      <c r="F148" s="87">
        <v>205</v>
      </c>
      <c r="G148" s="87">
        <f t="shared" si="103"/>
        <v>205</v>
      </c>
      <c r="H148" s="87">
        <v>205</v>
      </c>
      <c r="I148" s="87">
        <v>205</v>
      </c>
      <c r="J148" s="208">
        <v>50023.83</v>
      </c>
      <c r="K148" s="75">
        <v>21614.746317252</v>
      </c>
      <c r="L148" s="75">
        <f t="shared" si="107"/>
        <v>19975.337469400001</v>
      </c>
      <c r="M148" s="75">
        <f t="shared" si="100"/>
        <v>91613.913786652003</v>
      </c>
      <c r="N148" s="75">
        <f>G148*J148+0.03+0.22</f>
        <v>10254885.4</v>
      </c>
      <c r="O148" s="75">
        <f>G148*K148+2.15</f>
        <v>4431025.1450366601</v>
      </c>
      <c r="P148" s="75"/>
      <c r="Q148" s="75">
        <f>G148*L148-0.2</f>
        <v>4094943.9812270002</v>
      </c>
      <c r="R148" s="75"/>
      <c r="S148" s="75"/>
      <c r="T148" s="75">
        <f t="shared" si="104"/>
        <v>18780854.526263662</v>
      </c>
      <c r="U148" s="75">
        <f>T148</f>
        <v>18780854.526263662</v>
      </c>
      <c r="V148" s="75">
        <f>U148</f>
        <v>18780854.526263662</v>
      </c>
    </row>
    <row r="149" spans="1:22" x14ac:dyDescent="0.25">
      <c r="A149" s="88"/>
      <c r="B149" s="89" t="s">
        <v>225</v>
      </c>
      <c r="C149" s="127" t="s">
        <v>219</v>
      </c>
      <c r="D149" s="213"/>
      <c r="E149" s="87"/>
      <c r="F149" s="87"/>
      <c r="G149" s="87">
        <v>27</v>
      </c>
      <c r="H149" s="87">
        <v>27</v>
      </c>
      <c r="I149" s="87">
        <v>27</v>
      </c>
      <c r="J149" s="75"/>
      <c r="K149" s="75"/>
      <c r="L149" s="75"/>
      <c r="M149" s="75"/>
      <c r="N149" s="75"/>
      <c r="O149" s="75"/>
      <c r="P149" s="75"/>
      <c r="Q149" s="75"/>
      <c r="R149" s="75">
        <f>4329914+11813</f>
        <v>4341727</v>
      </c>
      <c r="S149" s="75"/>
      <c r="T149" s="75">
        <f>R149</f>
        <v>4341727</v>
      </c>
      <c r="U149" s="75">
        <f>R149</f>
        <v>4341727</v>
      </c>
      <c r="V149" s="75">
        <f>R149</f>
        <v>4341727</v>
      </c>
    </row>
    <row r="150" spans="1:22" x14ac:dyDescent="0.25">
      <c r="A150" s="88"/>
      <c r="B150" s="89" t="s">
        <v>225</v>
      </c>
      <c r="C150" s="127" t="s">
        <v>226</v>
      </c>
      <c r="D150" s="213"/>
      <c r="E150" s="87"/>
      <c r="F150" s="87"/>
      <c r="G150" s="87">
        <v>14</v>
      </c>
      <c r="H150" s="87">
        <v>14</v>
      </c>
      <c r="I150" s="87">
        <v>14</v>
      </c>
      <c r="J150" s="75"/>
      <c r="K150" s="75"/>
      <c r="L150" s="75"/>
      <c r="M150" s="75"/>
      <c r="N150" s="75"/>
      <c r="O150" s="75"/>
      <c r="P150" s="75">
        <f>399612-2+603366+111723</f>
        <v>1114699</v>
      </c>
      <c r="Q150" s="75"/>
      <c r="R150" s="75"/>
      <c r="S150" s="75"/>
      <c r="T150" s="75">
        <f>P150</f>
        <v>1114699</v>
      </c>
      <c r="U150" s="75">
        <f>P150</f>
        <v>1114699</v>
      </c>
      <c r="V150" s="75">
        <f>P150</f>
        <v>1114699</v>
      </c>
    </row>
    <row r="151" spans="1:22" ht="60.6" customHeight="1" x14ac:dyDescent="0.25">
      <c r="A151" s="88"/>
      <c r="B151" s="84" t="s">
        <v>263</v>
      </c>
      <c r="C151" s="127" t="s">
        <v>226</v>
      </c>
      <c r="D151" s="213"/>
      <c r="E151" s="87"/>
      <c r="F151" s="87"/>
      <c r="G151" s="87"/>
      <c r="H151" s="87"/>
      <c r="I151" s="87"/>
      <c r="J151" s="75"/>
      <c r="K151" s="75"/>
      <c r="L151" s="75"/>
      <c r="M151" s="75"/>
      <c r="N151" s="75">
        <v>16778</v>
      </c>
      <c r="O151" s="75"/>
      <c r="P151" s="75"/>
      <c r="Q151" s="75"/>
      <c r="R151" s="75"/>
      <c r="S151" s="75"/>
      <c r="T151" s="75">
        <f>N151</f>
        <v>16778</v>
      </c>
      <c r="U151" s="75">
        <f>T151</f>
        <v>16778</v>
      </c>
      <c r="V151" s="75">
        <f>U151</f>
        <v>16778</v>
      </c>
    </row>
    <row r="152" spans="1:22" ht="60.6" customHeight="1" x14ac:dyDescent="0.25">
      <c r="A152" s="88"/>
      <c r="B152" s="84" t="s">
        <v>281</v>
      </c>
      <c r="C152" s="127"/>
      <c r="D152" s="246"/>
      <c r="E152" s="87"/>
      <c r="F152" s="87"/>
      <c r="G152" s="87"/>
      <c r="H152" s="87"/>
      <c r="I152" s="87"/>
      <c r="J152" s="75"/>
      <c r="K152" s="75"/>
      <c r="L152" s="75"/>
      <c r="M152" s="75"/>
      <c r="N152" s="75"/>
      <c r="O152" s="75">
        <v>17358</v>
      </c>
      <c r="P152" s="75"/>
      <c r="Q152" s="75"/>
      <c r="R152" s="75"/>
      <c r="S152" s="75"/>
      <c r="T152" s="75">
        <f>O152</f>
        <v>17358</v>
      </c>
      <c r="U152" s="75">
        <f>T152</f>
        <v>17358</v>
      </c>
      <c r="V152" s="75">
        <f>U152</f>
        <v>17358</v>
      </c>
    </row>
    <row r="153" spans="1:22" ht="90" x14ac:dyDescent="0.25">
      <c r="A153" s="201" t="s">
        <v>252</v>
      </c>
      <c r="B153" s="213" t="s">
        <v>28</v>
      </c>
      <c r="C153" s="127" t="s">
        <v>219</v>
      </c>
      <c r="D153" s="86" t="s">
        <v>20</v>
      </c>
      <c r="E153" s="87">
        <f>E148+E147+E146</f>
        <v>245</v>
      </c>
      <c r="F153" s="87">
        <f>F148+F147+F146</f>
        <v>245</v>
      </c>
      <c r="G153" s="87">
        <f t="shared" si="103"/>
        <v>245</v>
      </c>
      <c r="H153" s="87">
        <f>H148+H147+H146</f>
        <v>245</v>
      </c>
      <c r="I153" s="87">
        <f>I148+I147+I146</f>
        <v>245</v>
      </c>
      <c r="J153" s="75" t="s">
        <v>23</v>
      </c>
      <c r="K153" s="75"/>
      <c r="L153" s="75">
        <f>10350.76+2055.05-499.86</f>
        <v>11905.95</v>
      </c>
      <c r="M153" s="75">
        <f t="shared" si="100"/>
        <v>11905.95</v>
      </c>
      <c r="N153" s="75">
        <f t="shared" si="108"/>
        <v>0</v>
      </c>
      <c r="O153" s="75">
        <f t="shared" ref="O153" si="110">G153*K153</f>
        <v>0</v>
      </c>
      <c r="P153" s="75"/>
      <c r="Q153" s="75">
        <f>G153*L153</f>
        <v>2916957.75</v>
      </c>
      <c r="R153" s="75"/>
      <c r="S153" s="75"/>
      <c r="T153" s="75">
        <f t="shared" si="104"/>
        <v>2916957.75</v>
      </c>
      <c r="U153" s="75">
        <f t="shared" si="105"/>
        <v>2916957.75</v>
      </c>
      <c r="V153" s="75">
        <f t="shared" si="106"/>
        <v>2916957.75</v>
      </c>
    </row>
    <row r="154" spans="1:22" x14ac:dyDescent="0.25">
      <c r="A154" s="86"/>
      <c r="B154" s="213" t="s">
        <v>28</v>
      </c>
      <c r="C154" s="127" t="s">
        <v>220</v>
      </c>
      <c r="D154" s="86"/>
      <c r="E154" s="87"/>
      <c r="F154" s="87"/>
      <c r="G154" s="87"/>
      <c r="H154" s="87"/>
      <c r="I154" s="87"/>
      <c r="J154" s="75"/>
      <c r="K154" s="75"/>
      <c r="L154" s="75">
        <f>12248.94-499.86</f>
        <v>11749.08</v>
      </c>
      <c r="M154" s="75"/>
      <c r="N154" s="75"/>
      <c r="O154" s="75"/>
      <c r="P154" s="75"/>
      <c r="Q154" s="75"/>
      <c r="R154" s="75"/>
      <c r="S154" s="75">
        <f>L154*G153</f>
        <v>2878524.6</v>
      </c>
      <c r="T154" s="75">
        <f>S154</f>
        <v>2878524.6</v>
      </c>
      <c r="U154" s="75">
        <f>S154</f>
        <v>2878524.6</v>
      </c>
      <c r="V154" s="75">
        <f>S154</f>
        <v>2878524.6</v>
      </c>
    </row>
    <row r="155" spans="1:22" x14ac:dyDescent="0.25">
      <c r="A155" s="296" t="s">
        <v>234</v>
      </c>
      <c r="B155" s="297"/>
      <c r="C155" s="297"/>
      <c r="D155" s="297"/>
      <c r="E155" s="297"/>
      <c r="F155" s="297"/>
      <c r="G155" s="297"/>
      <c r="H155" s="297"/>
      <c r="I155" s="297"/>
      <c r="J155" s="297"/>
      <c r="K155" s="297"/>
      <c r="L155" s="297"/>
      <c r="M155" s="298"/>
      <c r="N155" s="186">
        <f t="shared" ref="N155:V155" si="111">N14+N25+N34+N46+N57+N69+N81+N92+N106+N120+N132+N144</f>
        <v>91171900</v>
      </c>
      <c r="O155" s="186">
        <f t="shared" si="111"/>
        <v>37744500.001749478</v>
      </c>
      <c r="P155" s="186">
        <f t="shared" si="111"/>
        <v>7621150</v>
      </c>
      <c r="Q155" s="186">
        <f t="shared" si="111"/>
        <v>58915981.960045904</v>
      </c>
      <c r="R155" s="186">
        <f t="shared" si="111"/>
        <v>33594400</v>
      </c>
      <c r="S155" s="186">
        <f t="shared" si="111"/>
        <v>21141694.140000004</v>
      </c>
      <c r="T155" s="186">
        <f>T14+T25+T34+T46+T57+T69+T81+T92+T106+T120+T132+T144</f>
        <v>250189626.11179537</v>
      </c>
      <c r="U155" s="186">
        <f t="shared" si="111"/>
        <v>250189626.11179537</v>
      </c>
      <c r="V155" s="186">
        <f t="shared" si="111"/>
        <v>250189626.11179537</v>
      </c>
    </row>
    <row r="156" spans="1:22" x14ac:dyDescent="0.25">
      <c r="A156" s="80" t="s">
        <v>260</v>
      </c>
      <c r="C156" s="191"/>
      <c r="D156" s="191"/>
      <c r="E156" s="191"/>
      <c r="F156" s="191"/>
      <c r="G156" s="191"/>
      <c r="H156" s="191"/>
      <c r="I156" s="191"/>
      <c r="J156" s="191"/>
      <c r="K156" s="191"/>
      <c r="L156" s="191"/>
      <c r="M156" s="191"/>
      <c r="N156" s="192"/>
      <c r="O156" s="192"/>
      <c r="P156" s="192"/>
      <c r="Q156" s="192"/>
      <c r="R156" s="192"/>
      <c r="S156" s="191"/>
      <c r="T156" s="191"/>
      <c r="U156" s="191"/>
      <c r="V156" s="191"/>
    </row>
    <row r="157" spans="1:22" x14ac:dyDescent="0.25">
      <c r="A157" s="80" t="s">
        <v>178</v>
      </c>
      <c r="P157" s="85"/>
    </row>
    <row r="158" spans="1:22" x14ac:dyDescent="0.25">
      <c r="T158" s="217"/>
    </row>
    <row r="161" spans="17:20" x14ac:dyDescent="0.25">
      <c r="T161" s="85"/>
    </row>
    <row r="162" spans="17:20" x14ac:dyDescent="0.25">
      <c r="Q162" s="85"/>
    </row>
    <row r="163" spans="17:20" x14ac:dyDescent="0.25">
      <c r="Q163" s="85"/>
    </row>
  </sheetData>
  <mergeCells count="9">
    <mergeCell ref="A155:M155"/>
    <mergeCell ref="C97:C98"/>
    <mergeCell ref="D97:D98"/>
    <mergeCell ref="A7:V7"/>
    <mergeCell ref="J10:M10"/>
    <mergeCell ref="N10:V10"/>
    <mergeCell ref="E11:G11"/>
    <mergeCell ref="N11:T11"/>
    <mergeCell ref="N12:T12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workbookViewId="0">
      <selection sqref="A1:XFD1048576"/>
    </sheetView>
  </sheetViews>
  <sheetFormatPr defaultColWidth="8.85546875" defaultRowHeight="12.75" x14ac:dyDescent="0.2"/>
  <cols>
    <col min="1" max="1" width="13.85546875" style="237" customWidth="1"/>
    <col min="2" max="2" width="18.140625" style="237" customWidth="1"/>
    <col min="3" max="3" width="18.7109375" style="237" customWidth="1"/>
    <col min="4" max="4" width="21.42578125" style="237" customWidth="1"/>
    <col min="5" max="5" width="19.42578125" style="237" customWidth="1"/>
    <col min="6" max="6" width="18.42578125" style="237" customWidth="1"/>
    <col min="7" max="7" width="18.5703125" style="237" customWidth="1"/>
    <col min="8" max="8" width="10.140625" style="237" bestFit="1" customWidth="1"/>
    <col min="9" max="16384" width="8.85546875" style="237"/>
  </cols>
  <sheetData>
    <row r="2" spans="1:8" ht="72" x14ac:dyDescent="0.25">
      <c r="A2" s="234" t="s">
        <v>266</v>
      </c>
      <c r="B2" s="234" t="s">
        <v>267</v>
      </c>
      <c r="C2" s="234" t="s">
        <v>268</v>
      </c>
      <c r="D2" s="235" t="s">
        <v>269</v>
      </c>
      <c r="E2" s="236" t="s">
        <v>270</v>
      </c>
      <c r="F2" s="234"/>
      <c r="G2" s="235" t="s">
        <v>271</v>
      </c>
    </row>
    <row r="3" spans="1:8" ht="18" x14ac:dyDescent="0.25">
      <c r="A3" s="234" t="s">
        <v>272</v>
      </c>
      <c r="B3" s="238">
        <f>548+28</f>
        <v>576</v>
      </c>
      <c r="C3" s="238">
        <f>D3/B3</f>
        <v>10183.770468750001</v>
      </c>
      <c r="D3" s="238">
        <v>5865851.79</v>
      </c>
      <c r="E3" s="239">
        <v>8189.45</v>
      </c>
      <c r="F3" s="239">
        <f>B3*E3</f>
        <v>4717123.2</v>
      </c>
      <c r="G3" s="238">
        <f>F3-D3</f>
        <v>-1148728.5899999999</v>
      </c>
    </row>
    <row r="4" spans="1:8" ht="18" x14ac:dyDescent="0.25">
      <c r="A4" s="234" t="s">
        <v>273</v>
      </c>
      <c r="B4" s="238">
        <v>526</v>
      </c>
      <c r="C4" s="238">
        <v>9014.3700000000008</v>
      </c>
      <c r="D4" s="238">
        <v>4741559.2</v>
      </c>
      <c r="E4" s="240">
        <v>8189.45</v>
      </c>
      <c r="F4" s="239">
        <f t="shared" ref="F4:F9" si="0">B4*E4</f>
        <v>4307650.7</v>
      </c>
      <c r="G4" s="238">
        <f t="shared" ref="G4:G9" si="1">F4-D4</f>
        <v>-433908.5</v>
      </c>
      <c r="H4" s="241"/>
    </row>
    <row r="5" spans="1:8" ht="18" x14ac:dyDescent="0.25">
      <c r="A5" s="234" t="s">
        <v>274</v>
      </c>
      <c r="B5" s="238">
        <v>506</v>
      </c>
      <c r="C5" s="238">
        <v>8189.45</v>
      </c>
      <c r="D5" s="238">
        <v>4143862.33</v>
      </c>
      <c r="E5" s="239">
        <v>8189.45</v>
      </c>
      <c r="F5" s="239">
        <f t="shared" si="0"/>
        <v>4143861.6999999997</v>
      </c>
      <c r="G5" s="238">
        <f t="shared" si="1"/>
        <v>-0.63000000035390258</v>
      </c>
    </row>
    <row r="6" spans="1:8" ht="18" x14ac:dyDescent="0.25">
      <c r="A6" s="234" t="s">
        <v>275</v>
      </c>
      <c r="B6" s="238">
        <v>217</v>
      </c>
      <c r="C6" s="238">
        <v>12011.78</v>
      </c>
      <c r="D6" s="238">
        <v>2606554.91</v>
      </c>
      <c r="E6" s="239">
        <v>8189.45</v>
      </c>
      <c r="F6" s="239">
        <f t="shared" si="0"/>
        <v>1777110.65</v>
      </c>
      <c r="G6" s="238">
        <f t="shared" si="1"/>
        <v>-829444.26000000024</v>
      </c>
    </row>
    <row r="7" spans="1:8" ht="18" x14ac:dyDescent="0.25">
      <c r="A7" s="234" t="s">
        <v>276</v>
      </c>
      <c r="B7" s="238">
        <v>473</v>
      </c>
      <c r="C7" s="238">
        <v>8180.69</v>
      </c>
      <c r="D7" s="238">
        <v>3869464.23</v>
      </c>
      <c r="E7" s="239">
        <v>8189.45</v>
      </c>
      <c r="F7" s="239">
        <f t="shared" si="0"/>
        <v>3873609.85</v>
      </c>
      <c r="G7" s="238">
        <f t="shared" si="1"/>
        <v>4145.6200000001118</v>
      </c>
    </row>
    <row r="8" spans="1:8" ht="18" x14ac:dyDescent="0.25">
      <c r="A8" s="234" t="s">
        <v>277</v>
      </c>
      <c r="B8" s="238">
        <v>826</v>
      </c>
      <c r="C8" s="238">
        <v>11299.31</v>
      </c>
      <c r="D8" s="238">
        <v>9333231.4000000004</v>
      </c>
      <c r="E8" s="239">
        <v>8189.45</v>
      </c>
      <c r="F8" s="239">
        <f t="shared" si="0"/>
        <v>6764485.7000000002</v>
      </c>
      <c r="G8" s="238">
        <f t="shared" si="1"/>
        <v>-2568745.7000000002</v>
      </c>
    </row>
    <row r="9" spans="1:8" ht="18" x14ac:dyDescent="0.25">
      <c r="A9" s="234"/>
      <c r="B9" s="238">
        <f>SUM(B3:B8)</f>
        <v>3124</v>
      </c>
      <c r="C9" s="238">
        <f t="shared" ref="C9:D9" si="2">SUM(C3:C8)</f>
        <v>58879.370468750007</v>
      </c>
      <c r="D9" s="238">
        <f t="shared" si="2"/>
        <v>30560523.859999999</v>
      </c>
      <c r="E9" s="239">
        <v>8189.45</v>
      </c>
      <c r="F9" s="239">
        <f t="shared" si="0"/>
        <v>25583841.800000001</v>
      </c>
      <c r="G9" s="238">
        <f t="shared" si="1"/>
        <v>-4976682.0599999987</v>
      </c>
    </row>
    <row r="10" spans="1:8" ht="18" x14ac:dyDescent="0.25">
      <c r="A10" s="242"/>
      <c r="B10" s="242"/>
      <c r="C10" s="242"/>
      <c r="D10" s="242"/>
      <c r="E10" s="242"/>
      <c r="F10" s="242"/>
      <c r="G10" s="242"/>
    </row>
    <row r="11" spans="1:8" ht="18" x14ac:dyDescent="0.25">
      <c r="A11" s="243"/>
      <c r="B11" s="243"/>
      <c r="C11" s="243"/>
      <c r="D11" s="243"/>
      <c r="E11" s="243"/>
      <c r="F11" s="243"/>
      <c r="G11" s="243"/>
    </row>
    <row r="12" spans="1:8" ht="18" x14ac:dyDescent="0.25">
      <c r="A12" s="243"/>
      <c r="B12" s="243"/>
      <c r="C12" s="243"/>
      <c r="D12" s="243"/>
      <c r="E12" s="243"/>
      <c r="F12" s="243"/>
      <c r="G12" s="243"/>
    </row>
    <row r="13" spans="1:8" ht="18" x14ac:dyDescent="0.25">
      <c r="A13" s="243"/>
      <c r="B13" s="243"/>
      <c r="C13" s="243"/>
      <c r="D13" s="243"/>
      <c r="E13" s="243"/>
      <c r="F13" s="243"/>
      <c r="G13" s="243"/>
    </row>
    <row r="14" spans="1:8" ht="18" x14ac:dyDescent="0.25">
      <c r="A14" s="243"/>
      <c r="B14" s="243"/>
      <c r="C14" s="243"/>
      <c r="D14" s="243"/>
      <c r="E14" s="243"/>
      <c r="F14" s="243"/>
      <c r="G14" s="243"/>
    </row>
    <row r="15" spans="1:8" ht="18" x14ac:dyDescent="0.25">
      <c r="A15" s="243" t="s">
        <v>273</v>
      </c>
      <c r="B15" s="244">
        <f>C4</f>
        <v>9014.3700000000008</v>
      </c>
      <c r="C15" s="243"/>
      <c r="D15" s="243"/>
      <c r="E15" s="243"/>
      <c r="F15" s="243"/>
      <c r="G15" s="243"/>
    </row>
    <row r="16" spans="1:8" ht="18" x14ac:dyDescent="0.25">
      <c r="A16" s="243" t="s">
        <v>276</v>
      </c>
      <c r="B16" s="244">
        <f>C7</f>
        <v>8180.69</v>
      </c>
      <c r="C16" s="243"/>
      <c r="D16" s="243"/>
      <c r="E16" s="243"/>
      <c r="F16" s="243"/>
      <c r="G16" s="243"/>
    </row>
    <row r="17" spans="1:7" ht="18" x14ac:dyDescent="0.25">
      <c r="A17" s="243"/>
      <c r="B17" s="244">
        <f>B15-B16</f>
        <v>833.6800000000012</v>
      </c>
      <c r="C17" s="243" t="s">
        <v>278</v>
      </c>
      <c r="D17" s="245">
        <f>B17*B4</f>
        <v>438515.68000000063</v>
      </c>
      <c r="E17" s="243" t="s">
        <v>279</v>
      </c>
      <c r="F17" s="243"/>
      <c r="G17" s="243"/>
    </row>
    <row r="18" spans="1:7" ht="18" x14ac:dyDescent="0.25">
      <c r="A18" s="243"/>
      <c r="B18" s="243"/>
      <c r="C18" s="243"/>
      <c r="D18" s="243"/>
      <c r="E18" s="243"/>
      <c r="F18" s="243"/>
      <c r="G18" s="24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01.01.2016</vt:lpstr>
      <vt:lpstr>ОБЩИЙ</vt:lpstr>
      <vt:lpstr>ШКОЛЫ</vt:lpstr>
      <vt:lpstr>ДОП</vt:lpstr>
      <vt:lpstr>САДЫ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Отдел</cp:lastModifiedBy>
  <cp:lastPrinted>2019-11-15T02:16:11Z</cp:lastPrinted>
  <dcterms:created xsi:type="dcterms:W3CDTF">2018-11-21T04:22:49Z</dcterms:created>
  <dcterms:modified xsi:type="dcterms:W3CDTF">2019-12-09T02:39:59Z</dcterms:modified>
</cp:coreProperties>
</file>