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5450" windowHeight="9690" tabRatio="598" firstSheet="2" activeTab="3"/>
  </bookViews>
  <sheets>
    <sheet name="01.01.2016" sheetId="1" state="hidden" r:id="rId1"/>
    <sheet name="ОБЩИЙ" sheetId="3" state="hidden" r:id="rId2"/>
    <sheet name="ШКОЛЫ" sheetId="4" r:id="rId3"/>
    <sheet name="ДОП" sheetId="5" r:id="rId4"/>
    <sheet name="САДЫ" sheetId="6" r:id="rId5"/>
  </sheets>
  <calcPr calcId="145621"/>
</workbook>
</file>

<file path=xl/calcChain.xml><?xml version="1.0" encoding="utf-8"?>
<calcChain xmlns="http://schemas.openxmlformats.org/spreadsheetml/2006/main">
  <c r="T118" i="6" l="1"/>
  <c r="V118" i="6" s="1"/>
  <c r="N150" i="4"/>
  <c r="N119" i="4"/>
  <c r="N174" i="4"/>
  <c r="N89" i="4"/>
  <c r="U118" i="6" l="1"/>
  <c r="N62" i="4"/>
  <c r="N36" i="4"/>
  <c r="G24" i="6"/>
  <c r="G25" i="6"/>
  <c r="I10" i="5" l="1"/>
  <c r="I16" i="5"/>
  <c r="I14" i="5"/>
  <c r="I13" i="5"/>
  <c r="I12" i="5"/>
  <c r="I11" i="5"/>
  <c r="J17" i="5"/>
  <c r="J22" i="5" l="1"/>
  <c r="I15" i="5" l="1"/>
  <c r="I18" i="5"/>
  <c r="O153" i="4"/>
  <c r="K122" i="4"/>
  <c r="K92" i="4"/>
  <c r="K65" i="4"/>
  <c r="K39" i="4"/>
  <c r="K10" i="4"/>
  <c r="K164" i="4"/>
  <c r="K165" i="4"/>
  <c r="O167" i="4"/>
  <c r="O160" i="4"/>
  <c r="O159" i="4"/>
  <c r="O154" i="4"/>
  <c r="K146" i="4"/>
  <c r="K143" i="4"/>
  <c r="K142" i="4"/>
  <c r="K139" i="4"/>
  <c r="K134" i="4"/>
  <c r="K133" i="4"/>
  <c r="K130" i="4"/>
  <c r="K115" i="4"/>
  <c r="K112" i="4"/>
  <c r="K110" i="4"/>
  <c r="K103" i="4"/>
  <c r="K101" i="4"/>
  <c r="K85" i="4"/>
  <c r="K81" i="4"/>
  <c r="K79" i="4"/>
  <c r="K74" i="4"/>
  <c r="K72" i="4"/>
  <c r="J60" i="4"/>
  <c r="K58" i="4"/>
  <c r="K55" i="4"/>
  <c r="K53" i="4"/>
  <c r="K48" i="4"/>
  <c r="K46" i="4"/>
  <c r="K22" i="4" l="1"/>
  <c r="K27" i="4"/>
  <c r="K29" i="4"/>
  <c r="K20" i="4"/>
  <c r="M18" i="6"/>
  <c r="M17" i="6" l="1"/>
  <c r="P127" i="6"/>
  <c r="G14" i="6"/>
  <c r="O14" i="6" s="1"/>
  <c r="G50" i="6"/>
  <c r="N50" i="6" s="1"/>
  <c r="G51" i="6"/>
  <c r="O50" i="6" l="1"/>
  <c r="G41" i="6"/>
  <c r="G15" i="6"/>
  <c r="Q15" i="6" s="1"/>
  <c r="N14" i="6"/>
  <c r="G17" i="6"/>
  <c r="G16" i="6"/>
  <c r="O24" i="6"/>
  <c r="N24" i="6"/>
  <c r="E18" i="5" l="1"/>
  <c r="F18" i="5"/>
  <c r="G18" i="5"/>
  <c r="H18" i="5"/>
  <c r="D18" i="5"/>
  <c r="E15" i="5"/>
  <c r="F15" i="5"/>
  <c r="G15" i="5"/>
  <c r="H15" i="5"/>
  <c r="D15" i="5"/>
  <c r="L128" i="6" l="1"/>
  <c r="L123" i="6"/>
  <c r="L124" i="6"/>
  <c r="L125" i="6"/>
  <c r="L129" i="6"/>
  <c r="Q14" i="6"/>
  <c r="L25" i="6"/>
  <c r="Q25" i="6" s="1"/>
  <c r="L24" i="6"/>
  <c r="Q24" i="6" s="1"/>
  <c r="Q23" i="6" s="1"/>
  <c r="J16" i="5" l="1"/>
  <c r="J14" i="5"/>
  <c r="K14" i="5" s="1"/>
  <c r="L14" i="5" s="1"/>
  <c r="J13" i="5"/>
  <c r="K13" i="5" s="1"/>
  <c r="L13" i="5" s="1"/>
  <c r="J12" i="5"/>
  <c r="K12" i="5" s="1"/>
  <c r="L12" i="5" s="1"/>
  <c r="J11" i="5"/>
  <c r="K11" i="5" s="1"/>
  <c r="L11" i="5" s="1"/>
  <c r="J10" i="5"/>
  <c r="J18" i="5" l="1"/>
  <c r="J15" i="5"/>
  <c r="K16" i="5"/>
  <c r="J21" i="5" l="1"/>
  <c r="L16" i="5"/>
  <c r="K17" i="5"/>
  <c r="L17" i="5" s="1"/>
  <c r="K18" i="5" l="1"/>
  <c r="L18" i="5"/>
  <c r="V86" i="6"/>
  <c r="U86" i="6"/>
  <c r="V85" i="6"/>
  <c r="U85" i="6"/>
  <c r="R13" i="6"/>
  <c r="P13" i="6" l="1"/>
  <c r="V127" i="6"/>
  <c r="U127" i="6"/>
  <c r="T127" i="6"/>
  <c r="V126" i="6"/>
  <c r="U126" i="6"/>
  <c r="V117" i="6"/>
  <c r="U117" i="6"/>
  <c r="V108" i="6"/>
  <c r="U108" i="6"/>
  <c r="V107" i="6"/>
  <c r="U107" i="6"/>
  <c r="V98" i="6"/>
  <c r="U98" i="6"/>
  <c r="V97" i="6"/>
  <c r="U97" i="6"/>
  <c r="T97" i="6"/>
  <c r="V74" i="6"/>
  <c r="U74" i="6"/>
  <c r="V73" i="6"/>
  <c r="U73" i="6"/>
  <c r="V65" i="6"/>
  <c r="U65" i="6"/>
  <c r="V64" i="6"/>
  <c r="U64" i="6"/>
  <c r="U55" i="6"/>
  <c r="V55" i="6"/>
  <c r="V54" i="6"/>
  <c r="U54" i="6"/>
  <c r="T54" i="6"/>
  <c r="V36" i="6"/>
  <c r="U36" i="6"/>
  <c r="T36" i="6"/>
  <c r="V45" i="6"/>
  <c r="U45" i="6"/>
  <c r="V44" i="6"/>
  <c r="U44" i="6"/>
  <c r="T44" i="6"/>
  <c r="T45" i="6"/>
  <c r="V35" i="6"/>
  <c r="U35" i="6"/>
  <c r="T35" i="6"/>
  <c r="V28" i="6"/>
  <c r="U28" i="6"/>
  <c r="T28" i="6"/>
  <c r="V27" i="6"/>
  <c r="U27" i="6"/>
  <c r="T27" i="6"/>
  <c r="V21" i="6"/>
  <c r="V20" i="6"/>
  <c r="U21" i="6"/>
  <c r="U20" i="6"/>
  <c r="T21" i="6"/>
  <c r="T20" i="6"/>
  <c r="Q63" i="4" l="1"/>
  <c r="N63" i="4" s="1"/>
  <c r="Q90" i="4"/>
  <c r="N90" i="4" s="1"/>
  <c r="T175" i="4"/>
  <c r="U175" i="4" s="1"/>
  <c r="T174" i="4"/>
  <c r="U174" i="4" s="1"/>
  <c r="Q176" i="4"/>
  <c r="P167" i="4"/>
  <c r="P160" i="4"/>
  <c r="P159" i="4"/>
  <c r="P154" i="4"/>
  <c r="P153" i="4" l="1"/>
  <c r="T151" i="4" l="1"/>
  <c r="U151" i="4" s="1"/>
  <c r="T150" i="4"/>
  <c r="U150" i="4" s="1"/>
  <c r="Q152" i="4"/>
  <c r="T120" i="4"/>
  <c r="U120" i="4" s="1"/>
  <c r="T119" i="4"/>
  <c r="U119" i="4" s="1"/>
  <c r="Q121" i="4"/>
  <c r="T90" i="4"/>
  <c r="U90" i="4" s="1"/>
  <c r="T89" i="4"/>
  <c r="U89" i="4" s="1"/>
  <c r="Q91" i="4"/>
  <c r="T37" i="4" l="1"/>
  <c r="U37" i="4" s="1"/>
  <c r="T36" i="4"/>
  <c r="U36" i="4" s="1"/>
  <c r="Q38" i="4"/>
  <c r="T63" i="4"/>
  <c r="U63" i="4" s="1"/>
  <c r="T62" i="4"/>
  <c r="U62" i="4" s="1"/>
  <c r="Q64" i="4"/>
  <c r="Q177" i="4" s="1"/>
  <c r="L146" i="4"/>
  <c r="L143" i="4"/>
  <c r="L142" i="4"/>
  <c r="L139" i="4"/>
  <c r="L134" i="4"/>
  <c r="L133" i="4"/>
  <c r="L130" i="4"/>
  <c r="L122" i="4"/>
  <c r="L115" i="4"/>
  <c r="L112" i="4"/>
  <c r="L110" i="4"/>
  <c r="L103" i="4"/>
  <c r="L101" i="4"/>
  <c r="L92" i="4"/>
  <c r="L85" i="4"/>
  <c r="L81" i="4"/>
  <c r="L79" i="4"/>
  <c r="L74" i="4"/>
  <c r="L72" i="4"/>
  <c r="L65" i="4"/>
  <c r="L58" i="4"/>
  <c r="L55" i="4"/>
  <c r="L53" i="4"/>
  <c r="L48" i="4"/>
  <c r="L46" i="4"/>
  <c r="L39" i="4"/>
  <c r="L29" i="4"/>
  <c r="L27" i="4"/>
  <c r="L22" i="4"/>
  <c r="L20" i="4"/>
  <c r="L10" i="4"/>
  <c r="R167" i="4"/>
  <c r="R159" i="4"/>
  <c r="R160" i="4"/>
  <c r="R154" i="4"/>
  <c r="R153" i="4"/>
  <c r="P112" i="6"/>
  <c r="P122" i="6"/>
  <c r="P121" i="6" s="1"/>
  <c r="P102" i="6"/>
  <c r="P101" i="6"/>
  <c r="P90" i="6"/>
  <c r="P89" i="6" s="1"/>
  <c r="P78" i="6"/>
  <c r="P77" i="6" s="1"/>
  <c r="P69" i="6"/>
  <c r="P68" i="6" s="1"/>
  <c r="P59" i="6"/>
  <c r="P58" i="6" s="1"/>
  <c r="P49" i="6"/>
  <c r="P48" i="6" s="1"/>
  <c r="P40" i="6"/>
  <c r="P39" i="6" s="1"/>
  <c r="P30" i="6"/>
  <c r="P29" i="6" s="1"/>
  <c r="P23" i="6"/>
  <c r="P22" i="6" s="1"/>
  <c r="P12" i="6"/>
  <c r="W153" i="4" l="1"/>
  <c r="W154" i="4"/>
  <c r="W159" i="4"/>
  <c r="W160" i="4"/>
  <c r="W167" i="4"/>
  <c r="S176" i="4"/>
  <c r="S177" i="4" s="1"/>
  <c r="S152" i="4"/>
  <c r="S121" i="4"/>
  <c r="S91" i="4"/>
  <c r="S64" i="4"/>
  <c r="G65" i="4"/>
  <c r="O65" i="4" s="1"/>
  <c r="J65" i="4"/>
  <c r="P65" i="4"/>
  <c r="S38" i="4"/>
  <c r="J24" i="5"/>
  <c r="J25" i="5" s="1"/>
  <c r="I22" i="5"/>
  <c r="K22" i="5" s="1"/>
  <c r="R122" i="6"/>
  <c r="R121" i="6" s="1"/>
  <c r="T126" i="6"/>
  <c r="T117" i="6"/>
  <c r="P111" i="6"/>
  <c r="R112" i="6"/>
  <c r="R111" i="6" s="1"/>
  <c r="R78" i="6"/>
  <c r="R77" i="6" s="1"/>
  <c r="R90" i="6"/>
  <c r="R89" i="6" s="1"/>
  <c r="T108" i="6"/>
  <c r="T107" i="6"/>
  <c r="R102" i="6"/>
  <c r="R101" i="6" s="1"/>
  <c r="T98" i="6"/>
  <c r="T86" i="6"/>
  <c r="T85" i="6"/>
  <c r="T74" i="6"/>
  <c r="T73" i="6"/>
  <c r="R69" i="6"/>
  <c r="R68" i="6" s="1"/>
  <c r="T65" i="6"/>
  <c r="T64" i="6"/>
  <c r="R59" i="6"/>
  <c r="R58" i="6" s="1"/>
  <c r="T55" i="6"/>
  <c r="R49" i="6"/>
  <c r="R48" i="6" s="1"/>
  <c r="R40" i="6"/>
  <c r="R39" i="6" s="1"/>
  <c r="R30" i="6"/>
  <c r="R29" i="6" s="1"/>
  <c r="S26" i="6"/>
  <c r="Q22" i="6"/>
  <c r="R12" i="6"/>
  <c r="S22" i="6"/>
  <c r="R23" i="6"/>
  <c r="R22" i="6" s="1"/>
  <c r="M22" i="6"/>
  <c r="M128" i="6"/>
  <c r="I128" i="6"/>
  <c r="H128" i="6"/>
  <c r="U128" i="6" s="1"/>
  <c r="F128" i="6"/>
  <c r="E128" i="6"/>
  <c r="M125" i="6"/>
  <c r="G125" i="6"/>
  <c r="O125" i="6" s="1"/>
  <c r="M124" i="6"/>
  <c r="V124" i="6" s="1"/>
  <c r="G124" i="6"/>
  <c r="M123" i="6"/>
  <c r="V123" i="6" s="1"/>
  <c r="G123" i="6"/>
  <c r="M122" i="6"/>
  <c r="M121" i="6"/>
  <c r="M119" i="6"/>
  <c r="I119" i="6"/>
  <c r="H119" i="6"/>
  <c r="F119" i="6"/>
  <c r="E119" i="6"/>
  <c r="M116" i="6"/>
  <c r="G116" i="6"/>
  <c r="M114" i="6"/>
  <c r="V114" i="6" s="1"/>
  <c r="G114" i="6"/>
  <c r="Q114" i="6" s="1"/>
  <c r="M113" i="6"/>
  <c r="V113" i="6" s="1"/>
  <c r="G113" i="6"/>
  <c r="Q113" i="6" s="1"/>
  <c r="M112" i="6"/>
  <c r="M111" i="6"/>
  <c r="M109" i="6"/>
  <c r="I109" i="6"/>
  <c r="H109" i="6"/>
  <c r="U109" i="6" s="1"/>
  <c r="F109" i="6"/>
  <c r="E109" i="6"/>
  <c r="M106" i="6"/>
  <c r="V106" i="6" s="1"/>
  <c r="G106" i="6"/>
  <c r="Q106" i="6" s="1"/>
  <c r="M104" i="6"/>
  <c r="V104" i="6" s="1"/>
  <c r="G104" i="6"/>
  <c r="Q104" i="6" s="1"/>
  <c r="M103" i="6"/>
  <c r="G103" i="6"/>
  <c r="M102" i="6"/>
  <c r="M101" i="6"/>
  <c r="M99" i="6"/>
  <c r="I99" i="6"/>
  <c r="H99" i="6"/>
  <c r="F99" i="6"/>
  <c r="E99" i="6"/>
  <c r="M96" i="6"/>
  <c r="V96" i="6" s="1"/>
  <c r="G96" i="6"/>
  <c r="Q96" i="6" s="1"/>
  <c r="M95" i="6"/>
  <c r="V95" i="6" s="1"/>
  <c r="G95" i="6"/>
  <c r="Q95" i="6" s="1"/>
  <c r="M94" i="6"/>
  <c r="V94" i="6" s="1"/>
  <c r="G94" i="6"/>
  <c r="Q94" i="6" s="1"/>
  <c r="M93" i="6"/>
  <c r="V93" i="6" s="1"/>
  <c r="G93" i="6"/>
  <c r="Q93" i="6" s="1"/>
  <c r="M92" i="6"/>
  <c r="V92" i="6" s="1"/>
  <c r="G92" i="6"/>
  <c r="Q92" i="6" s="1"/>
  <c r="M91" i="6"/>
  <c r="G91" i="6"/>
  <c r="M90" i="6"/>
  <c r="M89" i="6"/>
  <c r="M87" i="6"/>
  <c r="I87" i="6"/>
  <c r="H87" i="6"/>
  <c r="F87" i="6"/>
  <c r="E87" i="6"/>
  <c r="M84" i="6"/>
  <c r="G84" i="6"/>
  <c r="Q84" i="6" s="1"/>
  <c r="M83" i="6"/>
  <c r="V83" i="6" s="1"/>
  <c r="G83" i="6"/>
  <c r="Q83" i="6" s="1"/>
  <c r="M82" i="6"/>
  <c r="V82" i="6" s="1"/>
  <c r="G82" i="6"/>
  <c r="Q82" i="6" s="1"/>
  <c r="M81" i="6"/>
  <c r="V81" i="6" s="1"/>
  <c r="G81" i="6"/>
  <c r="Q81" i="6" s="1"/>
  <c r="M80" i="6"/>
  <c r="V80" i="6" s="1"/>
  <c r="G80" i="6"/>
  <c r="Q80" i="6" s="1"/>
  <c r="M79" i="6"/>
  <c r="G79" i="6"/>
  <c r="M78" i="6"/>
  <c r="M77" i="6"/>
  <c r="M75" i="6"/>
  <c r="I75" i="6"/>
  <c r="H75" i="6"/>
  <c r="F75" i="6"/>
  <c r="E75" i="6"/>
  <c r="N75" i="6" s="1"/>
  <c r="M72" i="6"/>
  <c r="G72" i="6"/>
  <c r="M71" i="6"/>
  <c r="V71" i="6" s="1"/>
  <c r="G71" i="6"/>
  <c r="M70" i="6"/>
  <c r="V70" i="6" s="1"/>
  <c r="G70" i="6"/>
  <c r="M69" i="6"/>
  <c r="M68" i="6"/>
  <c r="M66" i="6"/>
  <c r="I66" i="6"/>
  <c r="H66" i="6"/>
  <c r="F66" i="6"/>
  <c r="E66" i="6"/>
  <c r="M63" i="6"/>
  <c r="V63" i="6" s="1"/>
  <c r="G63" i="6"/>
  <c r="Q63" i="6" s="1"/>
  <c r="M62" i="6"/>
  <c r="V62" i="6" s="1"/>
  <c r="G62" i="6"/>
  <c r="Q62" i="6" s="1"/>
  <c r="M61" i="6"/>
  <c r="V61" i="6" s="1"/>
  <c r="G61" i="6"/>
  <c r="M60" i="6"/>
  <c r="G60" i="6"/>
  <c r="M59" i="6"/>
  <c r="M58" i="6"/>
  <c r="M56" i="6"/>
  <c r="I56" i="6"/>
  <c r="H56" i="6"/>
  <c r="U56" i="6" s="1"/>
  <c r="F56" i="6"/>
  <c r="E56" i="6"/>
  <c r="M53" i="6"/>
  <c r="G53" i="6"/>
  <c r="Q53" i="6" s="1"/>
  <c r="M52" i="6"/>
  <c r="V52" i="6" s="1"/>
  <c r="G52" i="6"/>
  <c r="Q52" i="6" s="1"/>
  <c r="M51" i="6"/>
  <c r="V51" i="6" s="1"/>
  <c r="Q51" i="6"/>
  <c r="M50" i="6"/>
  <c r="Q50" i="6"/>
  <c r="M49" i="6"/>
  <c r="M48" i="6"/>
  <c r="M46" i="6"/>
  <c r="I46" i="6"/>
  <c r="H46" i="6"/>
  <c r="F46" i="6"/>
  <c r="E46" i="6"/>
  <c r="Q46" i="6" s="1"/>
  <c r="M43" i="6"/>
  <c r="U43" i="6" s="1"/>
  <c r="G43" i="6"/>
  <c r="M42" i="6"/>
  <c r="V42" i="6" s="1"/>
  <c r="G42" i="6"/>
  <c r="Q42" i="6" s="1"/>
  <c r="M41" i="6"/>
  <c r="U41" i="6" s="1"/>
  <c r="Q41" i="6"/>
  <c r="M40" i="6"/>
  <c r="M39" i="6"/>
  <c r="M37" i="6"/>
  <c r="I37" i="6"/>
  <c r="H37" i="6"/>
  <c r="F37" i="6"/>
  <c r="E37" i="6"/>
  <c r="M34" i="6"/>
  <c r="V34" i="6" s="1"/>
  <c r="G34" i="6"/>
  <c r="O34" i="6" s="1"/>
  <c r="M33" i="6"/>
  <c r="G33" i="6"/>
  <c r="M32" i="6"/>
  <c r="V32" i="6" s="1"/>
  <c r="G32" i="6"/>
  <c r="O32" i="6" s="1"/>
  <c r="M31" i="6"/>
  <c r="V31" i="6" s="1"/>
  <c r="G31" i="6"/>
  <c r="O31" i="6" s="1"/>
  <c r="M30" i="6"/>
  <c r="M29" i="6"/>
  <c r="O25" i="6"/>
  <c r="N25" i="6"/>
  <c r="M25" i="6"/>
  <c r="T24" i="6"/>
  <c r="T23" i="6" s="1"/>
  <c r="M24" i="6"/>
  <c r="O23" i="6"/>
  <c r="M23" i="6"/>
  <c r="I18" i="6"/>
  <c r="H18" i="6"/>
  <c r="F18" i="6"/>
  <c r="E18" i="6"/>
  <c r="N18" i="6" s="1"/>
  <c r="U17" i="6"/>
  <c r="Q17" i="6"/>
  <c r="M16" i="6"/>
  <c r="M15" i="6"/>
  <c r="U15" i="6" s="1"/>
  <c r="M14" i="6"/>
  <c r="L22" i="5"/>
  <c r="L24" i="5" s="1"/>
  <c r="K10" i="5"/>
  <c r="R173" i="4"/>
  <c r="P173" i="4"/>
  <c r="M173" i="4"/>
  <c r="I173" i="4"/>
  <c r="H173" i="4"/>
  <c r="F173" i="4"/>
  <c r="E173" i="4"/>
  <c r="J172" i="4"/>
  <c r="T172" i="4" s="1"/>
  <c r="U172" i="4" s="1"/>
  <c r="G172" i="4"/>
  <c r="I171" i="4"/>
  <c r="H171" i="4"/>
  <c r="G171" i="4"/>
  <c r="F171" i="4"/>
  <c r="E171" i="4"/>
  <c r="J170" i="4"/>
  <c r="G170" i="4"/>
  <c r="T170" i="4" s="1"/>
  <c r="U170" i="4" s="1"/>
  <c r="J169" i="4"/>
  <c r="G169" i="4"/>
  <c r="T169" i="4" s="1"/>
  <c r="U169" i="4" s="1"/>
  <c r="R171" i="4"/>
  <c r="P171" i="4"/>
  <c r="U165" i="4"/>
  <c r="T165" i="4"/>
  <c r="J165" i="4"/>
  <c r="G165" i="4"/>
  <c r="O165" i="4" s="1"/>
  <c r="N165" i="4" s="1"/>
  <c r="J164" i="4"/>
  <c r="G164" i="4"/>
  <c r="U163" i="4"/>
  <c r="T163" i="4"/>
  <c r="J163" i="4"/>
  <c r="G163" i="4"/>
  <c r="O163" i="4" s="1"/>
  <c r="N163" i="4" s="1"/>
  <c r="U162" i="4"/>
  <c r="T162" i="4"/>
  <c r="J162" i="4"/>
  <c r="G162" i="4"/>
  <c r="O162" i="4" s="1"/>
  <c r="N162" i="4" s="1"/>
  <c r="N160" i="4"/>
  <c r="T160" i="4" s="1"/>
  <c r="U160" i="4" s="1"/>
  <c r="U157" i="4"/>
  <c r="T157" i="4"/>
  <c r="J157" i="4"/>
  <c r="G157" i="4"/>
  <c r="O157" i="4" s="1"/>
  <c r="N157" i="4" s="1"/>
  <c r="J156" i="4"/>
  <c r="G156" i="4"/>
  <c r="O156" i="4" s="1"/>
  <c r="R149" i="4"/>
  <c r="P149" i="4"/>
  <c r="M149" i="4"/>
  <c r="I149" i="4"/>
  <c r="H149" i="4"/>
  <c r="F149" i="4"/>
  <c r="E149" i="4"/>
  <c r="J148" i="4"/>
  <c r="G148" i="4"/>
  <c r="I147" i="4"/>
  <c r="H147" i="4"/>
  <c r="F147" i="4"/>
  <c r="E147" i="4"/>
  <c r="J146" i="4"/>
  <c r="T146" i="4" s="1"/>
  <c r="G146" i="4"/>
  <c r="U145" i="4"/>
  <c r="T145" i="4"/>
  <c r="J145" i="4"/>
  <c r="G145" i="4"/>
  <c r="O145" i="4" s="1"/>
  <c r="N145" i="4" s="1"/>
  <c r="J143" i="4"/>
  <c r="G143" i="4"/>
  <c r="P143" i="4" s="1"/>
  <c r="J142" i="4"/>
  <c r="T142" i="4" s="1"/>
  <c r="G142" i="4"/>
  <c r="G147" i="4" s="1"/>
  <c r="I141" i="4"/>
  <c r="H141" i="4"/>
  <c r="F141" i="4"/>
  <c r="E141" i="4"/>
  <c r="J140" i="4"/>
  <c r="U140" i="4" s="1"/>
  <c r="G140" i="4"/>
  <c r="O140" i="4" s="1"/>
  <c r="N140" i="4" s="1"/>
  <c r="R139" i="4"/>
  <c r="J139" i="4"/>
  <c r="T139" i="4" s="1"/>
  <c r="G139" i="4"/>
  <c r="U138" i="4"/>
  <c r="T138" i="4"/>
  <c r="J138" i="4"/>
  <c r="G138" i="4"/>
  <c r="O138" i="4" s="1"/>
  <c r="N138" i="4" s="1"/>
  <c r="U137" i="4"/>
  <c r="T137" i="4"/>
  <c r="J137" i="4"/>
  <c r="G137" i="4"/>
  <c r="O137" i="4" s="1"/>
  <c r="N137" i="4" s="1"/>
  <c r="U136" i="4"/>
  <c r="T136" i="4"/>
  <c r="J136" i="4"/>
  <c r="G136" i="4"/>
  <c r="O136" i="4" s="1"/>
  <c r="N136" i="4" s="1"/>
  <c r="J134" i="4"/>
  <c r="G134" i="4"/>
  <c r="R134" i="4" s="1"/>
  <c r="J133" i="4"/>
  <c r="T133" i="4" s="1"/>
  <c r="G133" i="4"/>
  <c r="P133" i="4" s="1"/>
  <c r="I132" i="4"/>
  <c r="H132" i="4"/>
  <c r="F132" i="4"/>
  <c r="E132" i="4"/>
  <c r="J131" i="4"/>
  <c r="U131" i="4" s="1"/>
  <c r="G131" i="4"/>
  <c r="O131" i="4" s="1"/>
  <c r="N131" i="4" s="1"/>
  <c r="J130" i="4"/>
  <c r="T130" i="4" s="1"/>
  <c r="G130" i="4"/>
  <c r="R130" i="4" s="1"/>
  <c r="U129" i="4"/>
  <c r="T129" i="4"/>
  <c r="J129" i="4"/>
  <c r="G129" i="4"/>
  <c r="O129" i="4" s="1"/>
  <c r="N129" i="4" s="1"/>
  <c r="U128" i="4"/>
  <c r="T128" i="4"/>
  <c r="J128" i="4"/>
  <c r="G128" i="4"/>
  <c r="O128" i="4" s="1"/>
  <c r="N128" i="4" s="1"/>
  <c r="U127" i="4"/>
  <c r="T127" i="4"/>
  <c r="J127" i="4"/>
  <c r="G127" i="4"/>
  <c r="O127" i="4" s="1"/>
  <c r="N127" i="4" s="1"/>
  <c r="U126" i="4"/>
  <c r="T126" i="4"/>
  <c r="J126" i="4"/>
  <c r="G126" i="4"/>
  <c r="O126" i="4" s="1"/>
  <c r="N126" i="4" s="1"/>
  <c r="U125" i="4"/>
  <c r="T125" i="4"/>
  <c r="J125" i="4"/>
  <c r="G125" i="4"/>
  <c r="O125" i="4" s="1"/>
  <c r="N125" i="4" s="1"/>
  <c r="U124" i="4"/>
  <c r="T124" i="4"/>
  <c r="J124" i="4"/>
  <c r="G124" i="4"/>
  <c r="O124" i="4" s="1"/>
  <c r="N124" i="4" s="1"/>
  <c r="J122" i="4"/>
  <c r="G122" i="4"/>
  <c r="R118" i="4"/>
  <c r="P118" i="4"/>
  <c r="M118" i="4"/>
  <c r="I118" i="4"/>
  <c r="H118" i="4"/>
  <c r="F118" i="4"/>
  <c r="E118" i="4"/>
  <c r="J117" i="4"/>
  <c r="G117" i="4"/>
  <c r="I116" i="4"/>
  <c r="H116" i="4"/>
  <c r="F116" i="4"/>
  <c r="E116" i="4"/>
  <c r="G115" i="4"/>
  <c r="P115" i="4" s="1"/>
  <c r="U114" i="4"/>
  <c r="T114" i="4"/>
  <c r="J114" i="4"/>
  <c r="G114" i="4"/>
  <c r="O114" i="4" s="1"/>
  <c r="N114" i="4" s="1"/>
  <c r="J112" i="4"/>
  <c r="G112" i="4"/>
  <c r="I111" i="4"/>
  <c r="H111" i="4"/>
  <c r="F111" i="4"/>
  <c r="E111" i="4"/>
  <c r="J110" i="4"/>
  <c r="T110" i="4" s="1"/>
  <c r="G110" i="4"/>
  <c r="R110" i="4" s="1"/>
  <c r="U109" i="4"/>
  <c r="T109" i="4"/>
  <c r="J109" i="4"/>
  <c r="G109" i="4"/>
  <c r="O109" i="4" s="1"/>
  <c r="N109" i="4" s="1"/>
  <c r="U108" i="4"/>
  <c r="T108" i="4"/>
  <c r="J108" i="4"/>
  <c r="G108" i="4"/>
  <c r="O108" i="4" s="1"/>
  <c r="N108" i="4" s="1"/>
  <c r="U107" i="4"/>
  <c r="T107" i="4"/>
  <c r="J107" i="4"/>
  <c r="G107" i="4"/>
  <c r="O107" i="4" s="1"/>
  <c r="N107" i="4" s="1"/>
  <c r="U106" i="4"/>
  <c r="T106" i="4"/>
  <c r="J106" i="4"/>
  <c r="G106" i="4"/>
  <c r="O106" i="4" s="1"/>
  <c r="N106" i="4" s="1"/>
  <c r="U105" i="4"/>
  <c r="T105" i="4"/>
  <c r="J105" i="4"/>
  <c r="G105" i="4"/>
  <c r="O105" i="4" s="1"/>
  <c r="N105" i="4" s="1"/>
  <c r="J103" i="4"/>
  <c r="G103" i="4"/>
  <c r="I102" i="4"/>
  <c r="H102" i="4"/>
  <c r="F102" i="4"/>
  <c r="E102" i="4"/>
  <c r="J101" i="4"/>
  <c r="G101" i="4"/>
  <c r="R101" i="4" s="1"/>
  <c r="U100" i="4"/>
  <c r="T100" i="4"/>
  <c r="J100" i="4"/>
  <c r="G100" i="4"/>
  <c r="O100" i="4" s="1"/>
  <c r="N100" i="4" s="1"/>
  <c r="U99" i="4"/>
  <c r="T99" i="4"/>
  <c r="J99" i="4"/>
  <c r="G99" i="4"/>
  <c r="O99" i="4" s="1"/>
  <c r="N99" i="4" s="1"/>
  <c r="U98" i="4"/>
  <c r="T98" i="4"/>
  <c r="J98" i="4"/>
  <c r="G98" i="4"/>
  <c r="O98" i="4" s="1"/>
  <c r="N98" i="4" s="1"/>
  <c r="U97" i="4"/>
  <c r="T97" i="4"/>
  <c r="J97" i="4"/>
  <c r="G97" i="4"/>
  <c r="O97" i="4" s="1"/>
  <c r="N97" i="4" s="1"/>
  <c r="U96" i="4"/>
  <c r="T96" i="4"/>
  <c r="J96" i="4"/>
  <c r="G96" i="4"/>
  <c r="O96" i="4" s="1"/>
  <c r="N96" i="4" s="1"/>
  <c r="U95" i="4"/>
  <c r="T95" i="4"/>
  <c r="J95" i="4"/>
  <c r="G95" i="4"/>
  <c r="O95" i="4" s="1"/>
  <c r="N95" i="4" s="1"/>
  <c r="U94" i="4"/>
  <c r="T94" i="4"/>
  <c r="J94" i="4"/>
  <c r="G94" i="4"/>
  <c r="O94" i="4" s="1"/>
  <c r="N94" i="4" s="1"/>
  <c r="J92" i="4"/>
  <c r="T92" i="4" s="1"/>
  <c r="G92" i="4"/>
  <c r="R88" i="4"/>
  <c r="P88" i="4"/>
  <c r="M88" i="4"/>
  <c r="I88" i="4"/>
  <c r="H88" i="4"/>
  <c r="F88" i="4"/>
  <c r="E88" i="4"/>
  <c r="J87" i="4"/>
  <c r="G87" i="4"/>
  <c r="I86" i="4"/>
  <c r="H86" i="4"/>
  <c r="F86" i="4"/>
  <c r="E86" i="4"/>
  <c r="J85" i="4"/>
  <c r="G85" i="4"/>
  <c r="U84" i="4"/>
  <c r="T84" i="4"/>
  <c r="J84" i="4"/>
  <c r="G84" i="4"/>
  <c r="O84" i="4" s="1"/>
  <c r="N84" i="4" s="1"/>
  <c r="U83" i="4"/>
  <c r="T83" i="4"/>
  <c r="J83" i="4"/>
  <c r="G83" i="4"/>
  <c r="O83" i="4" s="1"/>
  <c r="N83" i="4" s="1"/>
  <c r="J81" i="4"/>
  <c r="G81" i="4"/>
  <c r="I80" i="4"/>
  <c r="H80" i="4"/>
  <c r="F80" i="4"/>
  <c r="E80" i="4"/>
  <c r="J79" i="4"/>
  <c r="T79" i="4" s="1"/>
  <c r="G79" i="4"/>
  <c r="R79" i="4" s="1"/>
  <c r="U78" i="4"/>
  <c r="T78" i="4"/>
  <c r="J78" i="4"/>
  <c r="G78" i="4"/>
  <c r="O78" i="4" s="1"/>
  <c r="N78" i="4" s="1"/>
  <c r="U77" i="4"/>
  <c r="T77" i="4"/>
  <c r="J77" i="4"/>
  <c r="G77" i="4"/>
  <c r="O77" i="4" s="1"/>
  <c r="N77" i="4" s="1"/>
  <c r="U76" i="4"/>
  <c r="T76" i="4"/>
  <c r="J76" i="4"/>
  <c r="G76" i="4"/>
  <c r="O76" i="4" s="1"/>
  <c r="N76" i="4" s="1"/>
  <c r="J74" i="4"/>
  <c r="G74" i="4"/>
  <c r="G80" i="4" s="1"/>
  <c r="I73" i="4"/>
  <c r="H73" i="4"/>
  <c r="F73" i="4"/>
  <c r="E73" i="4"/>
  <c r="J72" i="4"/>
  <c r="G72" i="4"/>
  <c r="R72" i="4" s="1"/>
  <c r="U71" i="4"/>
  <c r="T71" i="4"/>
  <c r="J71" i="4"/>
  <c r="G71" i="4"/>
  <c r="O71" i="4" s="1"/>
  <c r="N71" i="4" s="1"/>
  <c r="U70" i="4"/>
  <c r="T70" i="4"/>
  <c r="J70" i="4"/>
  <c r="G70" i="4"/>
  <c r="O70" i="4" s="1"/>
  <c r="N70" i="4" s="1"/>
  <c r="U69" i="4"/>
  <c r="T69" i="4"/>
  <c r="J69" i="4"/>
  <c r="G69" i="4"/>
  <c r="O69" i="4" s="1"/>
  <c r="N69" i="4" s="1"/>
  <c r="U68" i="4"/>
  <c r="T68" i="4"/>
  <c r="J68" i="4"/>
  <c r="G68" i="4"/>
  <c r="O68" i="4" s="1"/>
  <c r="N68" i="4" s="1"/>
  <c r="U67" i="4"/>
  <c r="T67" i="4"/>
  <c r="J67" i="4"/>
  <c r="G67" i="4"/>
  <c r="O67" i="4" s="1"/>
  <c r="N67" i="4" s="1"/>
  <c r="R61" i="4"/>
  <c r="P61" i="4"/>
  <c r="M61" i="4"/>
  <c r="I61" i="4"/>
  <c r="H61" i="4"/>
  <c r="F61" i="4"/>
  <c r="E61" i="4"/>
  <c r="G60" i="4"/>
  <c r="I59" i="4"/>
  <c r="H59" i="4"/>
  <c r="F59" i="4"/>
  <c r="E59" i="4"/>
  <c r="R58" i="4"/>
  <c r="P58" i="4"/>
  <c r="U58" i="4"/>
  <c r="U57" i="4"/>
  <c r="T57" i="4"/>
  <c r="J57" i="4"/>
  <c r="G57" i="4"/>
  <c r="O57" i="4" s="1"/>
  <c r="N57" i="4" s="1"/>
  <c r="J55" i="4"/>
  <c r="G55" i="4"/>
  <c r="I54" i="4"/>
  <c r="H54" i="4"/>
  <c r="F54" i="4"/>
  <c r="E54" i="4"/>
  <c r="J53" i="4"/>
  <c r="T53" i="4" s="1"/>
  <c r="G53" i="4"/>
  <c r="R53" i="4" s="1"/>
  <c r="U52" i="4"/>
  <c r="T52" i="4"/>
  <c r="J52" i="4"/>
  <c r="G52" i="4"/>
  <c r="O52" i="4" s="1"/>
  <c r="N52" i="4" s="1"/>
  <c r="U51" i="4"/>
  <c r="T51" i="4"/>
  <c r="J51" i="4"/>
  <c r="G51" i="4"/>
  <c r="O51" i="4" s="1"/>
  <c r="N51" i="4" s="1"/>
  <c r="U50" i="4"/>
  <c r="T50" i="4"/>
  <c r="J50" i="4"/>
  <c r="G50" i="4"/>
  <c r="O50" i="4" s="1"/>
  <c r="N50" i="4" s="1"/>
  <c r="J48" i="4"/>
  <c r="G48" i="4"/>
  <c r="I47" i="4"/>
  <c r="H47" i="4"/>
  <c r="F47" i="4"/>
  <c r="E47" i="4"/>
  <c r="R46" i="4"/>
  <c r="P46" i="4"/>
  <c r="J46" i="4"/>
  <c r="U45" i="4"/>
  <c r="T45" i="4"/>
  <c r="J45" i="4"/>
  <c r="G45" i="4"/>
  <c r="O45" i="4" s="1"/>
  <c r="N45" i="4" s="1"/>
  <c r="U44" i="4"/>
  <c r="T44" i="4"/>
  <c r="J44" i="4"/>
  <c r="G44" i="4"/>
  <c r="O44" i="4" s="1"/>
  <c r="N44" i="4" s="1"/>
  <c r="U43" i="4"/>
  <c r="T43" i="4"/>
  <c r="J43" i="4"/>
  <c r="G43" i="4"/>
  <c r="O43" i="4" s="1"/>
  <c r="N43" i="4" s="1"/>
  <c r="U42" i="4"/>
  <c r="T42" i="4"/>
  <c r="J42" i="4"/>
  <c r="G42" i="4"/>
  <c r="O42" i="4" s="1"/>
  <c r="N42" i="4" s="1"/>
  <c r="U41" i="4"/>
  <c r="T41" i="4"/>
  <c r="J41" i="4"/>
  <c r="G41" i="4"/>
  <c r="O41" i="4" s="1"/>
  <c r="N41" i="4" s="1"/>
  <c r="J39" i="4"/>
  <c r="G39" i="4"/>
  <c r="R35" i="4"/>
  <c r="P35" i="4"/>
  <c r="M35" i="4"/>
  <c r="I35" i="4"/>
  <c r="H35" i="4"/>
  <c r="F35" i="4"/>
  <c r="E35" i="4"/>
  <c r="J34" i="4"/>
  <c r="G34" i="4"/>
  <c r="G35" i="4" s="1"/>
  <c r="I33" i="4"/>
  <c r="H33" i="4"/>
  <c r="F33" i="4"/>
  <c r="E33" i="4"/>
  <c r="U32" i="4"/>
  <c r="T32" i="4"/>
  <c r="U31" i="4"/>
  <c r="T31" i="4"/>
  <c r="J31" i="4"/>
  <c r="G31" i="4"/>
  <c r="O31" i="4" s="1"/>
  <c r="N31" i="4" s="1"/>
  <c r="J29" i="4"/>
  <c r="G29" i="4"/>
  <c r="I28" i="4"/>
  <c r="H28" i="4"/>
  <c r="F28" i="4"/>
  <c r="E28" i="4"/>
  <c r="J27" i="4"/>
  <c r="G27" i="4"/>
  <c r="R27" i="4" s="1"/>
  <c r="U26" i="4"/>
  <c r="T26" i="4"/>
  <c r="J26" i="4"/>
  <c r="G26" i="4"/>
  <c r="O26" i="4" s="1"/>
  <c r="N26" i="4" s="1"/>
  <c r="U25" i="4"/>
  <c r="T25" i="4"/>
  <c r="J25" i="4"/>
  <c r="G25" i="4"/>
  <c r="O25" i="4" s="1"/>
  <c r="N25" i="4" s="1"/>
  <c r="U24" i="4"/>
  <c r="T24" i="4"/>
  <c r="J24" i="4"/>
  <c r="G24" i="4"/>
  <c r="O24" i="4" s="1"/>
  <c r="N24" i="4" s="1"/>
  <c r="J22" i="4"/>
  <c r="G22" i="4"/>
  <c r="I21" i="4"/>
  <c r="H21" i="4"/>
  <c r="F21" i="4"/>
  <c r="E21" i="4"/>
  <c r="J20" i="4"/>
  <c r="T20" i="4" s="1"/>
  <c r="G20" i="4"/>
  <c r="U19" i="4"/>
  <c r="T19" i="4"/>
  <c r="J19" i="4"/>
  <c r="G19" i="4"/>
  <c r="O19" i="4" s="1"/>
  <c r="N19" i="4" s="1"/>
  <c r="U18" i="4"/>
  <c r="T18" i="4"/>
  <c r="J18" i="4"/>
  <c r="G18" i="4"/>
  <c r="O18" i="4" s="1"/>
  <c r="N18" i="4" s="1"/>
  <c r="U17" i="4"/>
  <c r="T17" i="4"/>
  <c r="J17" i="4"/>
  <c r="G17" i="4"/>
  <c r="O17" i="4" s="1"/>
  <c r="N17" i="4" s="1"/>
  <c r="U16" i="4"/>
  <c r="T16" i="4"/>
  <c r="J16" i="4"/>
  <c r="G16" i="4"/>
  <c r="O16" i="4" s="1"/>
  <c r="N16" i="4" s="1"/>
  <c r="U15" i="4"/>
  <c r="T15" i="4"/>
  <c r="J15" i="4"/>
  <c r="G15" i="4"/>
  <c r="O15" i="4" s="1"/>
  <c r="N15" i="4" s="1"/>
  <c r="U14" i="4"/>
  <c r="T14" i="4"/>
  <c r="J14" i="4"/>
  <c r="G14" i="4"/>
  <c r="O14" i="4" s="1"/>
  <c r="N14" i="4" s="1"/>
  <c r="U13" i="4"/>
  <c r="T13" i="4"/>
  <c r="J13" i="4"/>
  <c r="G13" i="4"/>
  <c r="O13" i="4" s="1"/>
  <c r="N13" i="4" s="1"/>
  <c r="U12" i="4"/>
  <c r="T12" i="4"/>
  <c r="J12" i="4"/>
  <c r="G12" i="4"/>
  <c r="O12" i="4" s="1"/>
  <c r="N12" i="4" s="1"/>
  <c r="J10" i="4"/>
  <c r="G10" i="4"/>
  <c r="Q22" i="3"/>
  <c r="G21" i="4" l="1"/>
  <c r="O10" i="4"/>
  <c r="O34" i="4"/>
  <c r="R39" i="4"/>
  <c r="O39" i="4"/>
  <c r="G61" i="4"/>
  <c r="O60" i="4"/>
  <c r="R81" i="4"/>
  <c r="R86" i="4" s="1"/>
  <c r="P81" i="4"/>
  <c r="G88" i="4"/>
  <c r="O87" i="4"/>
  <c r="G118" i="4"/>
  <c r="O117" i="4"/>
  <c r="G149" i="4"/>
  <c r="O148" i="4"/>
  <c r="P164" i="4"/>
  <c r="R164" i="4"/>
  <c r="R143" i="4"/>
  <c r="R20" i="4"/>
  <c r="O20" i="4"/>
  <c r="P33" i="4"/>
  <c r="P29" i="4"/>
  <c r="R55" i="4"/>
  <c r="P55" i="4"/>
  <c r="G102" i="4"/>
  <c r="O92" i="4"/>
  <c r="G116" i="4"/>
  <c r="P112" i="4"/>
  <c r="R112" i="4"/>
  <c r="G132" i="4"/>
  <c r="O122" i="4"/>
  <c r="G173" i="4"/>
  <c r="O172" i="4"/>
  <c r="Q124" i="6"/>
  <c r="O124" i="6"/>
  <c r="K15" i="5"/>
  <c r="K21" i="5" s="1"/>
  <c r="N33" i="6"/>
  <c r="O33" i="6"/>
  <c r="Q70" i="6"/>
  <c r="O70" i="6"/>
  <c r="Q71" i="6"/>
  <c r="O71" i="6"/>
  <c r="N72" i="6"/>
  <c r="O72" i="6"/>
  <c r="O69" i="6" s="1"/>
  <c r="Q91" i="6"/>
  <c r="N91" i="6"/>
  <c r="O91" i="6"/>
  <c r="N116" i="6"/>
  <c r="O116" i="6"/>
  <c r="O43" i="6"/>
  <c r="N43" i="6"/>
  <c r="N60" i="6"/>
  <c r="O60" i="6"/>
  <c r="Q79" i="6"/>
  <c r="N79" i="6"/>
  <c r="O79" i="6"/>
  <c r="Q103" i="6"/>
  <c r="N103" i="6"/>
  <c r="O103" i="6"/>
  <c r="N125" i="6"/>
  <c r="V128" i="6"/>
  <c r="G128" i="6"/>
  <c r="S129" i="6" s="1"/>
  <c r="G87" i="6"/>
  <c r="Q87" i="6" s="1"/>
  <c r="K24" i="5"/>
  <c r="L10" i="5"/>
  <c r="R130" i="6"/>
  <c r="Q43" i="6"/>
  <c r="T43" i="6" s="1"/>
  <c r="Q60" i="6"/>
  <c r="Q61" i="6"/>
  <c r="N61" i="6"/>
  <c r="Q123" i="6"/>
  <c r="O123" i="6"/>
  <c r="V26" i="6"/>
  <c r="T26" i="6"/>
  <c r="U26" i="6"/>
  <c r="N15" i="6"/>
  <c r="Q16" i="6"/>
  <c r="N16" i="6"/>
  <c r="O16" i="6"/>
  <c r="Q72" i="6"/>
  <c r="U84" i="6"/>
  <c r="V84" i="6"/>
  <c r="Q116" i="6"/>
  <c r="O22" i="6"/>
  <c r="T25" i="6"/>
  <c r="G99" i="6"/>
  <c r="Q99" i="6" s="1"/>
  <c r="V109" i="6"/>
  <c r="G119" i="6"/>
  <c r="Q119" i="6" s="1"/>
  <c r="Q125" i="6"/>
  <c r="V16" i="6"/>
  <c r="U16" i="6"/>
  <c r="P130" i="6"/>
  <c r="U32" i="6"/>
  <c r="G73" i="4"/>
  <c r="R65" i="4"/>
  <c r="N65" i="4" s="1"/>
  <c r="T65" i="4" s="1"/>
  <c r="U65" i="4" s="1"/>
  <c r="U34" i="6"/>
  <c r="O46" i="4"/>
  <c r="N46" i="4" s="1"/>
  <c r="P79" i="4"/>
  <c r="P86" i="4"/>
  <c r="T131" i="4"/>
  <c r="O158" i="4"/>
  <c r="R158" i="4"/>
  <c r="P10" i="4"/>
  <c r="R47" i="4"/>
  <c r="R59" i="4"/>
  <c r="J58" i="4"/>
  <c r="T58" i="4"/>
  <c r="P92" i="4"/>
  <c r="O139" i="4"/>
  <c r="N159" i="4"/>
  <c r="T159" i="4" s="1"/>
  <c r="R166" i="4"/>
  <c r="O15" i="6"/>
  <c r="O13" i="6" s="1"/>
  <c r="O17" i="6"/>
  <c r="O30" i="6"/>
  <c r="U31" i="6"/>
  <c r="G37" i="6"/>
  <c r="O42" i="6"/>
  <c r="Q49" i="6"/>
  <c r="O52" i="6"/>
  <c r="G56" i="6"/>
  <c r="Q56" i="6" s="1"/>
  <c r="V56" i="6"/>
  <c r="Q59" i="6"/>
  <c r="T60" i="6"/>
  <c r="U60" i="6" s="1"/>
  <c r="V60" i="6" s="1"/>
  <c r="V59" i="6" s="1"/>
  <c r="O62" i="6"/>
  <c r="G66" i="6"/>
  <c r="Q69" i="6"/>
  <c r="O80" i="6"/>
  <c r="O82" i="6"/>
  <c r="O84" i="6"/>
  <c r="O92" i="6"/>
  <c r="O94" i="6"/>
  <c r="O96" i="6"/>
  <c r="O104" i="6"/>
  <c r="G109" i="6"/>
  <c r="S110" i="6" s="1"/>
  <c r="Q112" i="6"/>
  <c r="O113" i="6"/>
  <c r="O41" i="6"/>
  <c r="O40" i="6" s="1"/>
  <c r="O51" i="6"/>
  <c r="O53" i="6"/>
  <c r="O61" i="6"/>
  <c r="O63" i="6"/>
  <c r="O81" i="6"/>
  <c r="O83" i="6"/>
  <c r="O93" i="6"/>
  <c r="O95" i="6"/>
  <c r="O106" i="6"/>
  <c r="O114" i="6"/>
  <c r="S57" i="6"/>
  <c r="O66" i="6"/>
  <c r="U24" i="6"/>
  <c r="U23" i="6" s="1"/>
  <c r="O87" i="6"/>
  <c r="S88" i="6"/>
  <c r="N87" i="6"/>
  <c r="O99" i="6"/>
  <c r="S100" i="6"/>
  <c r="N99" i="6"/>
  <c r="O119" i="6"/>
  <c r="S120" i="6"/>
  <c r="N119" i="6"/>
  <c r="Q40" i="6"/>
  <c r="Q39" i="6" s="1"/>
  <c r="Q78" i="6"/>
  <c r="Q90" i="6"/>
  <c r="Q102" i="6"/>
  <c r="Q122" i="6"/>
  <c r="O128" i="6"/>
  <c r="N128" i="6"/>
  <c r="V15" i="6"/>
  <c r="V17" i="6"/>
  <c r="N31" i="6"/>
  <c r="Q31" i="6"/>
  <c r="N32" i="6"/>
  <c r="Q32" i="6"/>
  <c r="Q33" i="6"/>
  <c r="N34" i="6"/>
  <c r="Q34" i="6"/>
  <c r="N37" i="6"/>
  <c r="V41" i="6"/>
  <c r="V43" i="6"/>
  <c r="N17" i="6"/>
  <c r="T17" i="6" s="1"/>
  <c r="G18" i="6"/>
  <c r="N23" i="6"/>
  <c r="N22" i="6" s="1"/>
  <c r="O37" i="6"/>
  <c r="N41" i="6"/>
  <c r="N42" i="6"/>
  <c r="T42" i="6" s="1"/>
  <c r="U42" i="6"/>
  <c r="G46" i="6"/>
  <c r="N51" i="6"/>
  <c r="T51" i="6" s="1"/>
  <c r="U51" i="6"/>
  <c r="N52" i="6"/>
  <c r="T52" i="6" s="1"/>
  <c r="U52" i="6"/>
  <c r="N53" i="6"/>
  <c r="T53" i="6" s="1"/>
  <c r="U53" i="6" s="1"/>
  <c r="V53" i="6" s="1"/>
  <c r="T61" i="6"/>
  <c r="U61" i="6"/>
  <c r="N62" i="6"/>
  <c r="T62" i="6" s="1"/>
  <c r="U62" i="6"/>
  <c r="N63" i="6"/>
  <c r="U63" i="6"/>
  <c r="U59" i="6" s="1"/>
  <c r="N70" i="6"/>
  <c r="U70" i="6"/>
  <c r="N71" i="6"/>
  <c r="T71" i="6" s="1"/>
  <c r="U71" i="6"/>
  <c r="T72" i="6"/>
  <c r="U72" i="6" s="1"/>
  <c r="V72" i="6" s="1"/>
  <c r="V69" i="6" s="1"/>
  <c r="U69" i="6"/>
  <c r="G75" i="6"/>
  <c r="Q75" i="6" s="1"/>
  <c r="N80" i="6"/>
  <c r="T80" i="6" s="1"/>
  <c r="U80" i="6"/>
  <c r="N81" i="6"/>
  <c r="U81" i="6"/>
  <c r="N82" i="6"/>
  <c r="T82" i="6" s="1"/>
  <c r="U82" i="6"/>
  <c r="N83" i="6"/>
  <c r="T83" i="6" s="1"/>
  <c r="U83" i="6"/>
  <c r="N84" i="6"/>
  <c r="T84" i="6" s="1"/>
  <c r="T91" i="6"/>
  <c r="U91" i="6" s="1"/>
  <c r="V91" i="6" s="1"/>
  <c r="V90" i="6" s="1"/>
  <c r="N92" i="6"/>
  <c r="T92" i="6" s="1"/>
  <c r="U92" i="6"/>
  <c r="N93" i="6"/>
  <c r="T93" i="6" s="1"/>
  <c r="U93" i="6"/>
  <c r="N94" i="6"/>
  <c r="T94" i="6" s="1"/>
  <c r="U94" i="6"/>
  <c r="N95" i="6"/>
  <c r="T95" i="6" s="1"/>
  <c r="U95" i="6"/>
  <c r="N96" i="6"/>
  <c r="T96" i="6" s="1"/>
  <c r="U96" i="6"/>
  <c r="N104" i="6"/>
  <c r="T104" i="6" s="1"/>
  <c r="U104" i="6"/>
  <c r="N106" i="6"/>
  <c r="T106" i="6" s="1"/>
  <c r="U106" i="6"/>
  <c r="N113" i="6"/>
  <c r="U113" i="6"/>
  <c r="N114" i="6"/>
  <c r="T114" i="6" s="1"/>
  <c r="U114" i="6"/>
  <c r="T116" i="6"/>
  <c r="U116" i="6" s="1"/>
  <c r="V116" i="6" s="1"/>
  <c r="V112" i="6" s="1"/>
  <c r="N123" i="6"/>
  <c r="U123" i="6"/>
  <c r="N124" i="6"/>
  <c r="T124" i="6" s="1"/>
  <c r="U124" i="6"/>
  <c r="G28" i="4"/>
  <c r="P27" i="4"/>
  <c r="G54" i="4"/>
  <c r="P53" i="4"/>
  <c r="P59" i="4"/>
  <c r="G59" i="4"/>
  <c r="G86" i="4"/>
  <c r="O88" i="4"/>
  <c r="G111" i="4"/>
  <c r="P110" i="4"/>
  <c r="O115" i="4"/>
  <c r="P130" i="4"/>
  <c r="G141" i="4"/>
  <c r="P139" i="4"/>
  <c r="T140" i="4"/>
  <c r="P142" i="4"/>
  <c r="P158" i="4"/>
  <c r="N154" i="4"/>
  <c r="T154" i="4" s="1"/>
  <c r="U154" i="4" s="1"/>
  <c r="O169" i="4"/>
  <c r="N169" i="4" s="1"/>
  <c r="R29" i="4"/>
  <c r="R33" i="4" s="1"/>
  <c r="O61" i="4"/>
  <c r="N139" i="4"/>
  <c r="O149" i="4"/>
  <c r="T156" i="4"/>
  <c r="U156" i="4" s="1"/>
  <c r="O170" i="4"/>
  <c r="N170" i="4" s="1"/>
  <c r="U20" i="4"/>
  <c r="U22" i="4"/>
  <c r="T22" i="4"/>
  <c r="G47" i="4"/>
  <c r="P39" i="4"/>
  <c r="P47" i="4" s="1"/>
  <c r="U46" i="4"/>
  <c r="T46" i="4"/>
  <c r="U72" i="4"/>
  <c r="T72" i="4"/>
  <c r="U74" i="4"/>
  <c r="T74" i="4"/>
  <c r="T80" i="4" s="1"/>
  <c r="R10" i="4"/>
  <c r="R21" i="4" s="1"/>
  <c r="P20" i="4"/>
  <c r="P21" i="4" s="1"/>
  <c r="P22" i="4"/>
  <c r="P28" i="4" s="1"/>
  <c r="O27" i="4"/>
  <c r="O29" i="4"/>
  <c r="G33" i="4"/>
  <c r="P116" i="4"/>
  <c r="U48" i="4"/>
  <c r="T48" i="4"/>
  <c r="T54" i="4" s="1"/>
  <c r="T85" i="4"/>
  <c r="U85" i="4"/>
  <c r="U101" i="4"/>
  <c r="T101" i="4"/>
  <c r="U103" i="4"/>
  <c r="T103" i="4"/>
  <c r="T111" i="4" s="1"/>
  <c r="U134" i="4"/>
  <c r="T134" i="4"/>
  <c r="O22" i="4"/>
  <c r="R22" i="4"/>
  <c r="R28" i="4" s="1"/>
  <c r="P48" i="4"/>
  <c r="O53" i="4"/>
  <c r="N53" i="4" s="1"/>
  <c r="U53" i="4"/>
  <c r="O55" i="4"/>
  <c r="O58" i="4"/>
  <c r="N58" i="4" s="1"/>
  <c r="R73" i="4"/>
  <c r="P72" i="4"/>
  <c r="P73" i="4" s="1"/>
  <c r="P74" i="4"/>
  <c r="P80" i="4" s="1"/>
  <c r="O79" i="4"/>
  <c r="N79" i="4" s="1"/>
  <c r="U79" i="4"/>
  <c r="O81" i="4"/>
  <c r="O85" i="4"/>
  <c r="N87" i="4"/>
  <c r="R92" i="4"/>
  <c r="R102" i="4" s="1"/>
  <c r="U92" i="4"/>
  <c r="P101" i="4"/>
  <c r="P103" i="4"/>
  <c r="P111" i="4" s="1"/>
  <c r="O110" i="4"/>
  <c r="N110" i="4" s="1"/>
  <c r="U110" i="4"/>
  <c r="O112" i="4"/>
  <c r="R116" i="4"/>
  <c r="J115" i="4"/>
  <c r="P122" i="4"/>
  <c r="P132" i="4" s="1"/>
  <c r="O130" i="4"/>
  <c r="U130" i="4"/>
  <c r="O133" i="4"/>
  <c r="R133" i="4"/>
  <c r="R141" i="4" s="1"/>
  <c r="U133" i="4"/>
  <c r="P134" i="4"/>
  <c r="P141" i="4" s="1"/>
  <c r="U139" i="4"/>
  <c r="O142" i="4"/>
  <c r="R142" i="4"/>
  <c r="R147" i="4" s="1"/>
  <c r="U142" i="4"/>
  <c r="U146" i="4"/>
  <c r="N148" i="4"/>
  <c r="N153" i="4"/>
  <c r="T153" i="4" s="1"/>
  <c r="U153" i="4" s="1"/>
  <c r="U159" i="4"/>
  <c r="P166" i="4"/>
  <c r="P176" i="4" s="1"/>
  <c r="N167" i="4"/>
  <c r="O48" i="4"/>
  <c r="R48" i="4"/>
  <c r="R54" i="4" s="1"/>
  <c r="O72" i="4"/>
  <c r="O74" i="4"/>
  <c r="R74" i="4"/>
  <c r="R80" i="4" s="1"/>
  <c r="O101" i="4"/>
  <c r="O103" i="4"/>
  <c r="R103" i="4"/>
  <c r="R111" i="4" s="1"/>
  <c r="R122" i="4"/>
  <c r="R132" i="4" s="1"/>
  <c r="O134" i="4"/>
  <c r="N134" i="4" s="1"/>
  <c r="O143" i="4"/>
  <c r="N143" i="4" s="1"/>
  <c r="T143" i="4" s="1"/>
  <c r="U143" i="4" s="1"/>
  <c r="O164" i="4"/>
  <c r="U241" i="3"/>
  <c r="T241" i="3"/>
  <c r="N101" i="4" l="1"/>
  <c r="N88" i="4"/>
  <c r="T88" i="4" s="1"/>
  <c r="T87" i="4"/>
  <c r="U87" i="4" s="1"/>
  <c r="U88" i="4" s="1"/>
  <c r="U112" i="6"/>
  <c r="S19" i="6"/>
  <c r="Q18" i="6"/>
  <c r="S67" i="6"/>
  <c r="Q66" i="6"/>
  <c r="T22" i="6"/>
  <c r="U25" i="6"/>
  <c r="V25" i="6" s="1"/>
  <c r="N10" i="4"/>
  <c r="T10" i="4" s="1"/>
  <c r="U10" i="4" s="1"/>
  <c r="Q121" i="6"/>
  <c r="U22" i="6"/>
  <c r="S38" i="6"/>
  <c r="T38" i="6" s="1"/>
  <c r="Q37" i="6"/>
  <c r="K25" i="5"/>
  <c r="L15" i="5"/>
  <c r="Q13" i="6"/>
  <c r="N122" i="6"/>
  <c r="N121" i="6" s="1"/>
  <c r="T15" i="6"/>
  <c r="Q128" i="6"/>
  <c r="T125" i="6"/>
  <c r="U125" i="6" s="1"/>
  <c r="V125" i="6" s="1"/>
  <c r="V122" i="6" s="1"/>
  <c r="Q109" i="6"/>
  <c r="N109" i="6"/>
  <c r="O109" i="6"/>
  <c r="N56" i="6"/>
  <c r="O56" i="6"/>
  <c r="T56" i="6" s="1"/>
  <c r="O122" i="6"/>
  <c r="O121" i="6" s="1"/>
  <c r="U67" i="6"/>
  <c r="V67" i="6"/>
  <c r="S58" i="6"/>
  <c r="T67" i="6"/>
  <c r="V38" i="6"/>
  <c r="U38" i="6"/>
  <c r="V19" i="6"/>
  <c r="T19" i="6"/>
  <c r="U19" i="6"/>
  <c r="S13" i="6"/>
  <c r="S12" i="6" s="1"/>
  <c r="V129" i="6"/>
  <c r="V121" i="6" s="1"/>
  <c r="U129" i="6"/>
  <c r="T129" i="6"/>
  <c r="S121" i="6"/>
  <c r="V120" i="6"/>
  <c r="U120" i="6"/>
  <c r="S111" i="6"/>
  <c r="T120" i="6"/>
  <c r="V100" i="6"/>
  <c r="U100" i="6"/>
  <c r="S89" i="6"/>
  <c r="T100" i="6"/>
  <c r="U88" i="6"/>
  <c r="V88" i="6"/>
  <c r="S77" i="6"/>
  <c r="T88" i="6"/>
  <c r="V110" i="6"/>
  <c r="U110" i="6"/>
  <c r="T110" i="6"/>
  <c r="S101" i="6"/>
  <c r="T90" i="6"/>
  <c r="T37" i="6"/>
  <c r="U37" i="6" s="1"/>
  <c r="V37" i="6" s="1"/>
  <c r="U90" i="6"/>
  <c r="T81" i="6"/>
  <c r="U58" i="6"/>
  <c r="N66" i="6"/>
  <c r="T66" i="6" s="1"/>
  <c r="U66" i="6" s="1"/>
  <c r="V66" i="6" s="1"/>
  <c r="T50" i="6"/>
  <c r="O29" i="6"/>
  <c r="U30" i="6"/>
  <c r="U29" i="6" s="1"/>
  <c r="V57" i="6"/>
  <c r="U57" i="6"/>
  <c r="T57" i="6"/>
  <c r="S48" i="6"/>
  <c r="N13" i="6"/>
  <c r="N12" i="6" s="1"/>
  <c r="T63" i="6"/>
  <c r="T59" i="6" s="1"/>
  <c r="N59" i="6"/>
  <c r="N149" i="4"/>
  <c r="T149" i="4" s="1"/>
  <c r="T148" i="4"/>
  <c r="U148" i="4" s="1"/>
  <c r="U149" i="4" s="1"/>
  <c r="N171" i="4"/>
  <c r="U167" i="4"/>
  <c r="U171" i="4" s="1"/>
  <c r="T167" i="4"/>
  <c r="T171" i="4" s="1"/>
  <c r="R176" i="4"/>
  <c r="U158" i="4"/>
  <c r="T16" i="6"/>
  <c r="T14" i="6"/>
  <c r="T147" i="4"/>
  <c r="Q89" i="6"/>
  <c r="R64" i="4"/>
  <c r="P147" i="4"/>
  <c r="N130" i="4"/>
  <c r="P102" i="4"/>
  <c r="P54" i="4"/>
  <c r="P64" i="4" s="1"/>
  <c r="N158" i="4"/>
  <c r="N27" i="4"/>
  <c r="T27" i="4" s="1"/>
  <c r="U27" i="4" s="1"/>
  <c r="U28" i="4" s="1"/>
  <c r="Q111" i="6"/>
  <c r="Q58" i="6"/>
  <c r="Q48" i="6"/>
  <c r="N60" i="4"/>
  <c r="T141" i="4"/>
  <c r="P91" i="4"/>
  <c r="P38" i="4"/>
  <c r="O171" i="4"/>
  <c r="T34" i="6"/>
  <c r="T33" i="6"/>
  <c r="U33" i="6" s="1"/>
  <c r="V33" i="6" s="1"/>
  <c r="V30" i="6" s="1"/>
  <c r="T32" i="6"/>
  <c r="Q101" i="6"/>
  <c r="Q77" i="6"/>
  <c r="T119" i="6"/>
  <c r="U119" i="6" s="1"/>
  <c r="V119" i="6" s="1"/>
  <c r="T99" i="6"/>
  <c r="U99" i="6" s="1"/>
  <c r="V99" i="6" s="1"/>
  <c r="T87" i="6"/>
  <c r="U87" i="6" s="1"/>
  <c r="V87" i="6" s="1"/>
  <c r="O102" i="6"/>
  <c r="O78" i="6"/>
  <c r="O77" i="6" s="1"/>
  <c r="O112" i="6"/>
  <c r="O111" i="6" s="1"/>
  <c r="O49" i="6"/>
  <c r="O90" i="6"/>
  <c r="O89" i="6" s="1"/>
  <c r="O59" i="6"/>
  <c r="O58" i="6" s="1"/>
  <c r="O75" i="6"/>
  <c r="O68" i="6" s="1"/>
  <c r="S76" i="6"/>
  <c r="Q68" i="6"/>
  <c r="T123" i="6"/>
  <c r="T113" i="6"/>
  <c r="T112" i="6" s="1"/>
  <c r="N112" i="6"/>
  <c r="N111" i="6" s="1"/>
  <c r="T103" i="6"/>
  <c r="N102" i="6"/>
  <c r="N90" i="6"/>
  <c r="N89" i="6" s="1"/>
  <c r="T79" i="6"/>
  <c r="U79" i="6" s="1"/>
  <c r="V79" i="6" s="1"/>
  <c r="V78" i="6" s="1"/>
  <c r="V77" i="6" s="1"/>
  <c r="N78" i="6"/>
  <c r="N77" i="6" s="1"/>
  <c r="N49" i="6"/>
  <c r="N48" i="6" s="1"/>
  <c r="O18" i="6"/>
  <c r="O12" i="6" s="1"/>
  <c r="Q12" i="6"/>
  <c r="V24" i="6"/>
  <c r="V23" i="6" s="1"/>
  <c r="V22" i="6" s="1"/>
  <c r="Q30" i="6"/>
  <c r="Q29" i="6" s="1"/>
  <c r="T128" i="6"/>
  <c r="T70" i="6"/>
  <c r="T69" i="6" s="1"/>
  <c r="N69" i="6"/>
  <c r="N68" i="6" s="1"/>
  <c r="O46" i="6"/>
  <c r="O39" i="6" s="1"/>
  <c r="S47" i="6"/>
  <c r="N46" i="6"/>
  <c r="T46" i="6" s="1"/>
  <c r="U46" i="6" s="1"/>
  <c r="V46" i="6" s="1"/>
  <c r="N40" i="6"/>
  <c r="T41" i="6"/>
  <c r="T40" i="6" s="1"/>
  <c r="T31" i="6"/>
  <c r="N30" i="6"/>
  <c r="N29" i="6" s="1"/>
  <c r="R38" i="4"/>
  <c r="N164" i="4"/>
  <c r="T164" i="4" s="1"/>
  <c r="U164" i="4" s="1"/>
  <c r="N72" i="4"/>
  <c r="N73" i="4" s="1"/>
  <c r="T73" i="4" s="1"/>
  <c r="U73" i="4" s="1"/>
  <c r="T158" i="4"/>
  <c r="O111" i="4"/>
  <c r="N103" i="4"/>
  <c r="N111" i="4" s="1"/>
  <c r="O147" i="4"/>
  <c r="N142" i="4"/>
  <c r="N147" i="4" s="1"/>
  <c r="N92" i="4"/>
  <c r="N102" i="4" s="1"/>
  <c r="T102" i="4" s="1"/>
  <c r="U102" i="4" s="1"/>
  <c r="O102" i="4"/>
  <c r="O73" i="4"/>
  <c r="O80" i="4"/>
  <c r="N74" i="4"/>
  <c r="N80" i="4" s="1"/>
  <c r="N172" i="4"/>
  <c r="N173" i="4" s="1"/>
  <c r="T173" i="4" s="1"/>
  <c r="U173" i="4" s="1"/>
  <c r="O173" i="4"/>
  <c r="O141" i="4"/>
  <c r="N133" i="4"/>
  <c r="N141" i="4" s="1"/>
  <c r="N117" i="4"/>
  <c r="O118" i="4"/>
  <c r="N112" i="4"/>
  <c r="O116" i="4"/>
  <c r="O86" i="4"/>
  <c r="N81" i="4"/>
  <c r="O59" i="4"/>
  <c r="N55" i="4"/>
  <c r="O35" i="4"/>
  <c r="N34" i="4"/>
  <c r="O33" i="4"/>
  <c r="N29" i="4"/>
  <c r="O21" i="4"/>
  <c r="U147" i="4"/>
  <c r="P152" i="4"/>
  <c r="P177" i="4" s="1"/>
  <c r="O166" i="4"/>
  <c r="R152" i="4"/>
  <c r="U141" i="4"/>
  <c r="R121" i="4"/>
  <c r="R91" i="4"/>
  <c r="N20" i="4"/>
  <c r="U111" i="4"/>
  <c r="U54" i="4"/>
  <c r="O132" i="4"/>
  <c r="N122" i="4"/>
  <c r="O54" i="4"/>
  <c r="N48" i="4"/>
  <c r="N54" i="4" s="1"/>
  <c r="U115" i="4"/>
  <c r="T115" i="4"/>
  <c r="O28" i="4"/>
  <c r="N22" i="4"/>
  <c r="O47" i="4"/>
  <c r="N39" i="4"/>
  <c r="P121" i="4"/>
  <c r="U80" i="4"/>
  <c r="N22" i="3"/>
  <c r="N47" i="4" l="1"/>
  <c r="T47" i="4" s="1"/>
  <c r="U47" i="4" s="1"/>
  <c r="T39" i="4"/>
  <c r="U39" i="4" s="1"/>
  <c r="N132" i="4"/>
  <c r="T132" i="4" s="1"/>
  <c r="U132" i="4" s="1"/>
  <c r="T122" i="4"/>
  <c r="U122" i="4" s="1"/>
  <c r="N118" i="4"/>
  <c r="T117" i="4"/>
  <c r="U40" i="6"/>
  <c r="V40" i="6"/>
  <c r="Q130" i="6"/>
  <c r="N61" i="4"/>
  <c r="T61" i="4" s="1"/>
  <c r="U61" i="4" s="1"/>
  <c r="T60" i="4"/>
  <c r="U60" i="4" s="1"/>
  <c r="U111" i="6"/>
  <c r="S29" i="6"/>
  <c r="V58" i="6"/>
  <c r="U122" i="6"/>
  <c r="T102" i="6"/>
  <c r="U103" i="6"/>
  <c r="T13" i="6"/>
  <c r="U14" i="6"/>
  <c r="T49" i="6"/>
  <c r="T48" i="6" s="1"/>
  <c r="U50" i="6"/>
  <c r="V89" i="6"/>
  <c r="V111" i="6"/>
  <c r="V29" i="6"/>
  <c r="U78" i="6"/>
  <c r="L21" i="5"/>
  <c r="L25" i="5" s="1"/>
  <c r="U152" i="4"/>
  <c r="N86" i="4"/>
  <c r="T81" i="4"/>
  <c r="N59" i="4"/>
  <c r="T55" i="4"/>
  <c r="N33" i="4"/>
  <c r="T29" i="4"/>
  <c r="N21" i="4"/>
  <c r="T21" i="4" s="1"/>
  <c r="U21" i="4" s="1"/>
  <c r="N35" i="4"/>
  <c r="T34" i="4"/>
  <c r="U77" i="6"/>
  <c r="N101" i="6"/>
  <c r="O48" i="6"/>
  <c r="O130" i="6" s="1"/>
  <c r="T122" i="6"/>
  <c r="O101" i="6"/>
  <c r="T109" i="6"/>
  <c r="T101" i="6" s="1"/>
  <c r="T89" i="6"/>
  <c r="N58" i="6"/>
  <c r="U121" i="6"/>
  <c r="T121" i="6"/>
  <c r="W49" i="6"/>
  <c r="U47" i="6"/>
  <c r="U39" i="6" s="1"/>
  <c r="V47" i="6"/>
  <c r="V39" i="6" s="1"/>
  <c r="T47" i="6"/>
  <c r="T39" i="6" s="1"/>
  <c r="S39" i="6"/>
  <c r="U76" i="6"/>
  <c r="V76" i="6"/>
  <c r="T76" i="6"/>
  <c r="S68" i="6"/>
  <c r="T111" i="6"/>
  <c r="T18" i="6"/>
  <c r="U18" i="6" s="1"/>
  <c r="V18" i="6" s="1"/>
  <c r="T30" i="6"/>
  <c r="T29" i="6" s="1"/>
  <c r="T58" i="6"/>
  <c r="U89" i="6"/>
  <c r="T78" i="6"/>
  <c r="T77" i="6" s="1"/>
  <c r="T28" i="4"/>
  <c r="N28" i="4"/>
  <c r="R177" i="4"/>
  <c r="N116" i="4"/>
  <c r="T112" i="4"/>
  <c r="U112" i="4" s="1"/>
  <c r="U116" i="4" s="1"/>
  <c r="O64" i="4"/>
  <c r="N64" i="4" s="1"/>
  <c r="O152" i="4"/>
  <c r="N152" i="4" s="1"/>
  <c r="O38" i="4"/>
  <c r="N38" i="4" s="1"/>
  <c r="N39" i="6"/>
  <c r="T75" i="6"/>
  <c r="N166" i="4"/>
  <c r="O176" i="4"/>
  <c r="O91" i="4"/>
  <c r="N91" i="4" s="1"/>
  <c r="O121" i="4"/>
  <c r="N121" i="4" s="1"/>
  <c r="U255" i="3"/>
  <c r="T255" i="3"/>
  <c r="T259" i="3" s="1"/>
  <c r="Q255" i="3"/>
  <c r="Q259" i="3" s="1"/>
  <c r="U248" i="3"/>
  <c r="T248" i="3"/>
  <c r="Q248" i="3"/>
  <c r="U247" i="3"/>
  <c r="T247" i="3"/>
  <c r="Q247" i="3"/>
  <c r="T68" i="6" l="1"/>
  <c r="U75" i="6"/>
  <c r="V75" i="6" s="1"/>
  <c r="U121" i="4"/>
  <c r="U68" i="6"/>
  <c r="T152" i="4"/>
  <c r="V50" i="6"/>
  <c r="V49" i="6" s="1"/>
  <c r="V48" i="6" s="1"/>
  <c r="U49" i="6"/>
  <c r="U48" i="6" s="1"/>
  <c r="U130" i="6" s="1"/>
  <c r="U117" i="4"/>
  <c r="U118" i="4" s="1"/>
  <c r="T118" i="4"/>
  <c r="V68" i="6"/>
  <c r="V14" i="6"/>
  <c r="V13" i="6" s="1"/>
  <c r="V12" i="6" s="1"/>
  <c r="U13" i="6"/>
  <c r="U12" i="6" s="1"/>
  <c r="V103" i="6"/>
  <c r="V102" i="6" s="1"/>
  <c r="V101" i="6" s="1"/>
  <c r="U102" i="6"/>
  <c r="U101" i="6" s="1"/>
  <c r="U81" i="4"/>
  <c r="U86" i="4" s="1"/>
  <c r="U91" i="4" s="1"/>
  <c r="T86" i="4"/>
  <c r="T91" i="4" s="1"/>
  <c r="U55" i="4"/>
  <c r="U59" i="4" s="1"/>
  <c r="U64" i="4" s="1"/>
  <c r="T59" i="4"/>
  <c r="T64" i="4" s="1"/>
  <c r="U29" i="4"/>
  <c r="U33" i="4" s="1"/>
  <c r="T33" i="4"/>
  <c r="U34" i="4"/>
  <c r="U35" i="4" s="1"/>
  <c r="U38" i="4" s="1"/>
  <c r="T35" i="4"/>
  <c r="T38" i="4" s="1"/>
  <c r="N130" i="6"/>
  <c r="S130" i="6"/>
  <c r="V130" i="6"/>
  <c r="T12" i="6"/>
  <c r="T130" i="6" s="1"/>
  <c r="O177" i="4"/>
  <c r="N176" i="4"/>
  <c r="N177" i="4" s="1"/>
  <c r="T166" i="4"/>
  <c r="T176" i="4" s="1"/>
  <c r="T116" i="4"/>
  <c r="T121" i="4" s="1"/>
  <c r="U242" i="3"/>
  <c r="T242" i="3"/>
  <c r="Q242" i="3"/>
  <c r="V241" i="3"/>
  <c r="Q241" i="3"/>
  <c r="V214" i="3"/>
  <c r="U214" i="3"/>
  <c r="V199" i="3"/>
  <c r="V200" i="3"/>
  <c r="U199" i="3"/>
  <c r="U200" i="3"/>
  <c r="V190" i="3"/>
  <c r="V188" i="3"/>
  <c r="U190" i="3"/>
  <c r="U188" i="3"/>
  <c r="V140" i="3"/>
  <c r="U140" i="3"/>
  <c r="V137" i="3"/>
  <c r="U137" i="3"/>
  <c r="O255" i="3"/>
  <c r="O248" i="3"/>
  <c r="O247" i="3"/>
  <c r="O242" i="3"/>
  <c r="O241" i="3"/>
  <c r="G14" i="3"/>
  <c r="U166" i="4" l="1"/>
  <c r="T177" i="4"/>
  <c r="Q14" i="3"/>
  <c r="N14" i="3"/>
  <c r="G257" i="3"/>
  <c r="U257" i="3" s="1"/>
  <c r="J268" i="3"/>
  <c r="J267" i="3"/>
  <c r="U176" i="4" l="1"/>
  <c r="U177" i="4" s="1"/>
  <c r="V257" i="3"/>
  <c r="N241" i="3"/>
  <c r="F133" i="3"/>
  <c r="T154" i="3"/>
  <c r="T142" i="3"/>
  <c r="Q142" i="3"/>
  <c r="G260" i="3"/>
  <c r="O260" i="3" s="1"/>
  <c r="G132" i="3"/>
  <c r="G133" i="3" s="1"/>
  <c r="G129" i="3"/>
  <c r="O257" i="3"/>
  <c r="G258" i="3"/>
  <c r="J258" i="3"/>
  <c r="J257" i="3"/>
  <c r="O252" i="3"/>
  <c r="G252" i="3"/>
  <c r="T252" i="3" s="1"/>
  <c r="G253" i="3"/>
  <c r="O253" i="3" s="1"/>
  <c r="K252" i="3"/>
  <c r="G251" i="3"/>
  <c r="O251" i="3" s="1"/>
  <c r="G250" i="3"/>
  <c r="O250" i="3" s="1"/>
  <c r="G245" i="3"/>
  <c r="O245" i="3" s="1"/>
  <c r="G244" i="3"/>
  <c r="J244" i="3"/>
  <c r="K236" i="3"/>
  <c r="K233" i="3"/>
  <c r="K232" i="3"/>
  <c r="G238" i="3"/>
  <c r="O238" i="3" s="1"/>
  <c r="G236" i="3"/>
  <c r="G235" i="3"/>
  <c r="O235" i="3" s="1"/>
  <c r="G233" i="3"/>
  <c r="G232" i="3"/>
  <c r="T232" i="3" s="1"/>
  <c r="K229" i="3"/>
  <c r="K224" i="3"/>
  <c r="K223" i="3"/>
  <c r="G227" i="3"/>
  <c r="O227" i="3" s="1"/>
  <c r="G228" i="3"/>
  <c r="O228" i="3" s="1"/>
  <c r="G229" i="3"/>
  <c r="Q229" i="3" s="1"/>
  <c r="G230" i="3"/>
  <c r="G226" i="3"/>
  <c r="O226" i="3" s="1"/>
  <c r="G224" i="3"/>
  <c r="Q224" i="3" s="1"/>
  <c r="G223" i="3"/>
  <c r="T223" i="3" s="1"/>
  <c r="K220" i="3"/>
  <c r="J214" i="3"/>
  <c r="G214" i="3"/>
  <c r="O214" i="3" s="1"/>
  <c r="N214" i="3" s="1"/>
  <c r="K212" i="3"/>
  <c r="G216" i="3"/>
  <c r="O216" i="3" s="1"/>
  <c r="G217" i="3"/>
  <c r="O217" i="3" s="1"/>
  <c r="G218" i="3"/>
  <c r="O218" i="3" s="1"/>
  <c r="G219" i="3"/>
  <c r="O219" i="3" s="1"/>
  <c r="G220" i="3"/>
  <c r="T220" i="3" s="1"/>
  <c r="G221" i="3"/>
  <c r="O221" i="3" s="1"/>
  <c r="G215" i="3"/>
  <c r="O215" i="3" s="1"/>
  <c r="G212" i="3"/>
  <c r="T212" i="3" s="1"/>
  <c r="G209" i="3"/>
  <c r="O209" i="3" s="1"/>
  <c r="K207" i="3"/>
  <c r="K204" i="3"/>
  <c r="J204" i="3" s="1"/>
  <c r="G206" i="3"/>
  <c r="O206" i="3" s="1"/>
  <c r="G204" i="3"/>
  <c r="Q204" i="3" s="1"/>
  <c r="J200" i="3"/>
  <c r="G200" i="3"/>
  <c r="O200" i="3" s="1"/>
  <c r="N200" i="3" s="1"/>
  <c r="J199" i="3"/>
  <c r="G199" i="3"/>
  <c r="O199" i="3" s="1"/>
  <c r="N199" i="3" s="1"/>
  <c r="K202" i="3"/>
  <c r="K195" i="3"/>
  <c r="G198" i="3"/>
  <c r="O198" i="3" s="1"/>
  <c r="G201" i="3"/>
  <c r="O201" i="3" s="1"/>
  <c r="G202" i="3"/>
  <c r="T202" i="3" s="1"/>
  <c r="G197" i="3"/>
  <c r="O197" i="3" s="1"/>
  <c r="G195" i="3"/>
  <c r="O195" i="3" s="1"/>
  <c r="J190" i="3"/>
  <c r="G190" i="3"/>
  <c r="O190" i="3" s="1"/>
  <c r="N190" i="3" s="1"/>
  <c r="G188" i="3"/>
  <c r="O188" i="3" s="1"/>
  <c r="N188" i="3" s="1"/>
  <c r="J188" i="3"/>
  <c r="K193" i="3"/>
  <c r="G193" i="3"/>
  <c r="T193" i="3" s="1"/>
  <c r="G187" i="3"/>
  <c r="O187" i="3" s="1"/>
  <c r="G189" i="3"/>
  <c r="O189" i="3" s="1"/>
  <c r="G191" i="3"/>
  <c r="O191" i="3" s="1"/>
  <c r="G192" i="3"/>
  <c r="O192" i="3" s="1"/>
  <c r="G186" i="3"/>
  <c r="O186" i="3" s="1"/>
  <c r="K184" i="3"/>
  <c r="G184" i="3"/>
  <c r="K179" i="3"/>
  <c r="K175" i="3"/>
  <c r="G181" i="3"/>
  <c r="O181" i="3" s="1"/>
  <c r="G179" i="3"/>
  <c r="G178" i="3"/>
  <c r="O178" i="3" s="1"/>
  <c r="G177" i="3"/>
  <c r="O177" i="3" s="1"/>
  <c r="G175" i="3"/>
  <c r="O175" i="3" s="1"/>
  <c r="K173" i="3"/>
  <c r="G171" i="3"/>
  <c r="O171" i="3" s="1"/>
  <c r="G172" i="3"/>
  <c r="O172" i="3" s="1"/>
  <c r="G173" i="3"/>
  <c r="O173" i="3" s="1"/>
  <c r="G170" i="3"/>
  <c r="O170" i="3" s="1"/>
  <c r="K168" i="3"/>
  <c r="G168" i="3"/>
  <c r="K166" i="3"/>
  <c r="G166" i="3"/>
  <c r="G162" i="3"/>
  <c r="O162" i="3" s="1"/>
  <c r="G163" i="3"/>
  <c r="O163" i="3" s="1"/>
  <c r="G164" i="3"/>
  <c r="O164" i="3" s="1"/>
  <c r="G165" i="3"/>
  <c r="O165" i="3" s="1"/>
  <c r="G161" i="3"/>
  <c r="O161" i="3" s="1"/>
  <c r="K159" i="3"/>
  <c r="G159" i="3"/>
  <c r="O159" i="3" s="1"/>
  <c r="G156" i="3"/>
  <c r="O156" i="3" s="1"/>
  <c r="K154" i="3"/>
  <c r="O154" i="3" s="1"/>
  <c r="K151" i="3"/>
  <c r="G153" i="3"/>
  <c r="O153" i="3" s="1"/>
  <c r="G151" i="3"/>
  <c r="O151" i="3" s="1"/>
  <c r="K149" i="3"/>
  <c r="K144" i="3"/>
  <c r="G149" i="3"/>
  <c r="O149" i="3" s="1"/>
  <c r="G147" i="3"/>
  <c r="O147" i="3" s="1"/>
  <c r="G148" i="3"/>
  <c r="O148" i="3" s="1"/>
  <c r="G146" i="3"/>
  <c r="O146" i="3" s="1"/>
  <c r="G144" i="3"/>
  <c r="O144" i="3" s="1"/>
  <c r="G138" i="3"/>
  <c r="O138" i="3" s="1"/>
  <c r="G139" i="3"/>
  <c r="O139" i="3" s="1"/>
  <c r="G140" i="3"/>
  <c r="O140" i="3" s="1"/>
  <c r="N140" i="3" s="1"/>
  <c r="G141" i="3"/>
  <c r="O141" i="3" s="1"/>
  <c r="G137" i="3"/>
  <c r="O137" i="3" s="1"/>
  <c r="N137" i="3" s="1"/>
  <c r="G135" i="3"/>
  <c r="O135" i="3" s="1"/>
  <c r="K135" i="3"/>
  <c r="K142" i="3"/>
  <c r="O142" i="3" s="1"/>
  <c r="J140" i="3"/>
  <c r="J137" i="3"/>
  <c r="K125" i="3"/>
  <c r="K127" i="3"/>
  <c r="K120" i="3"/>
  <c r="K118" i="3"/>
  <c r="K108" i="3"/>
  <c r="J108" i="3" s="1"/>
  <c r="I131" i="3"/>
  <c r="H131" i="3"/>
  <c r="F131" i="3"/>
  <c r="E131" i="3"/>
  <c r="O129" i="3"/>
  <c r="G127" i="3"/>
  <c r="G125" i="3"/>
  <c r="O125" i="3" s="1"/>
  <c r="G123" i="3"/>
  <c r="O123" i="3" s="1"/>
  <c r="G124" i="3"/>
  <c r="O124" i="3" s="1"/>
  <c r="G122" i="3"/>
  <c r="O122" i="3" s="1"/>
  <c r="G120" i="3"/>
  <c r="O120" i="3" s="1"/>
  <c r="G118" i="3"/>
  <c r="G111" i="3"/>
  <c r="O111" i="3" s="1"/>
  <c r="G112" i="3"/>
  <c r="O112" i="3" s="1"/>
  <c r="G113" i="3"/>
  <c r="O113" i="3" s="1"/>
  <c r="G114" i="3"/>
  <c r="O114" i="3" s="1"/>
  <c r="G115" i="3"/>
  <c r="O115" i="3" s="1"/>
  <c r="N115" i="3" s="1"/>
  <c r="G116" i="3"/>
  <c r="O116" i="3" s="1"/>
  <c r="G117" i="3"/>
  <c r="O117" i="3" s="1"/>
  <c r="G110" i="3"/>
  <c r="O110" i="3" s="1"/>
  <c r="V115" i="3"/>
  <c r="U115" i="3"/>
  <c r="J115" i="3"/>
  <c r="G108" i="3"/>
  <c r="T108" i="3" s="1"/>
  <c r="O244" i="3" l="1"/>
  <c r="U244" i="3"/>
  <c r="V244" i="3" s="1"/>
  <c r="O258" i="3"/>
  <c r="N258" i="3" s="1"/>
  <c r="U258" i="3"/>
  <c r="O118" i="3"/>
  <c r="O127" i="3"/>
  <c r="O166" i="3"/>
  <c r="O168" i="3"/>
  <c r="O179" i="3"/>
  <c r="O184" i="3"/>
  <c r="O233" i="3"/>
  <c r="O220" i="3"/>
  <c r="Q166" i="3"/>
  <c r="Q195" i="3"/>
  <c r="Q220" i="3"/>
  <c r="T173" i="3"/>
  <c r="N257" i="3"/>
  <c r="Q149" i="3"/>
  <c r="Q173" i="3"/>
  <c r="Q252" i="3"/>
  <c r="T149" i="3"/>
  <c r="T166" i="3"/>
  <c r="T195" i="3"/>
  <c r="Q233" i="3"/>
  <c r="T233" i="3"/>
  <c r="Q232" i="3"/>
  <c r="O232" i="3"/>
  <c r="O229" i="3"/>
  <c r="O224" i="3"/>
  <c r="T224" i="3"/>
  <c r="O223" i="3"/>
  <c r="Q223" i="3"/>
  <c r="O212" i="3"/>
  <c r="Q212" i="3"/>
  <c r="T204" i="3"/>
  <c r="O204" i="3"/>
  <c r="O202" i="3"/>
  <c r="Q202" i="3"/>
  <c r="Q193" i="3"/>
  <c r="O193" i="3"/>
  <c r="Q184" i="3"/>
  <c r="T184" i="3"/>
  <c r="Q175" i="3"/>
  <c r="T175" i="3"/>
  <c r="Q168" i="3"/>
  <c r="T168" i="3"/>
  <c r="Q159" i="3"/>
  <c r="T159" i="3"/>
  <c r="Q151" i="3"/>
  <c r="T151" i="3"/>
  <c r="Q144" i="3"/>
  <c r="T144" i="3"/>
  <c r="Q135" i="3"/>
  <c r="T135" i="3"/>
  <c r="Q127" i="3"/>
  <c r="T127" i="3"/>
  <c r="T125" i="3"/>
  <c r="Q125" i="3"/>
  <c r="Q120" i="3"/>
  <c r="T120" i="3"/>
  <c r="G119" i="3"/>
  <c r="T118" i="3"/>
  <c r="Q118" i="3"/>
  <c r="Q108" i="3"/>
  <c r="O14" i="3"/>
  <c r="O108" i="3"/>
  <c r="G126" i="3"/>
  <c r="V258" i="3" l="1"/>
  <c r="U259" i="3"/>
  <c r="O259" i="3"/>
  <c r="O22" i="3"/>
  <c r="K267" i="3"/>
  <c r="M22" i="3"/>
  <c r="M14" i="3"/>
  <c r="U14" i="3" s="1"/>
  <c r="I81" i="3"/>
  <c r="H81" i="3"/>
  <c r="F81" i="3"/>
  <c r="E81" i="3"/>
  <c r="G15" i="3"/>
  <c r="J177" i="3" l="1"/>
  <c r="J178" i="3"/>
  <c r="H38" i="3"/>
  <c r="U38" i="3" s="1"/>
  <c r="I102" i="3" l="1"/>
  <c r="I95" i="3"/>
  <c r="I88" i="3"/>
  <c r="I71" i="3"/>
  <c r="I61" i="3"/>
  <c r="I54" i="3"/>
  <c r="I46" i="3"/>
  <c r="I38" i="3"/>
  <c r="I31" i="3"/>
  <c r="I18" i="3"/>
  <c r="H102" i="3"/>
  <c r="H95" i="3"/>
  <c r="H88" i="3"/>
  <c r="H71" i="3"/>
  <c r="H61" i="3"/>
  <c r="H54" i="3"/>
  <c r="H46" i="3"/>
  <c r="H31" i="3"/>
  <c r="H18" i="3"/>
  <c r="M15" i="3"/>
  <c r="O21" i="3"/>
  <c r="M16" i="3"/>
  <c r="U16" i="3" s="1"/>
  <c r="M18" i="3"/>
  <c r="G23" i="3"/>
  <c r="E102" i="3"/>
  <c r="E95" i="3"/>
  <c r="E88" i="3"/>
  <c r="E71" i="3"/>
  <c r="E61" i="3"/>
  <c r="E54" i="3"/>
  <c r="E46" i="3"/>
  <c r="E38" i="3"/>
  <c r="E31" i="3"/>
  <c r="E18" i="3"/>
  <c r="F18" i="3"/>
  <c r="G16" i="3"/>
  <c r="O16" i="3" s="1"/>
  <c r="Q23" i="3" l="1"/>
  <c r="S24" i="3"/>
  <c r="S25" i="3" s="1"/>
  <c r="Q38" i="3"/>
  <c r="T22" i="3"/>
  <c r="U22" i="3" s="1"/>
  <c r="V248" i="3"/>
  <c r="V247" i="3"/>
  <c r="V255" i="3"/>
  <c r="V259" i="3" s="1"/>
  <c r="N260" i="3"/>
  <c r="Q154" i="3"/>
  <c r="G167" i="3"/>
  <c r="G150" i="3"/>
  <c r="N108" i="3"/>
  <c r="U21" i="3" l="1"/>
  <c r="V22" i="3"/>
  <c r="N125" i="3"/>
  <c r="U125" i="3" s="1"/>
  <c r="V125" i="3" s="1"/>
  <c r="J125" i="3"/>
  <c r="F102" i="3" l="1"/>
  <c r="F95" i="3"/>
  <c r="F88" i="3"/>
  <c r="M76" i="3"/>
  <c r="G80" i="3" l="1"/>
  <c r="O80" i="3" s="1"/>
  <c r="G79" i="3"/>
  <c r="O79" i="3" s="1"/>
  <c r="M79" i="3"/>
  <c r="U79" i="3" s="1"/>
  <c r="N79" i="3"/>
  <c r="V79" i="3"/>
  <c r="M80" i="3"/>
  <c r="U80" i="3" s="1"/>
  <c r="M74" i="3"/>
  <c r="F71" i="3"/>
  <c r="G70" i="3"/>
  <c r="Q70" i="3" s="1"/>
  <c r="M70" i="3"/>
  <c r="U70" i="3" s="1"/>
  <c r="M68" i="3"/>
  <c r="V68" i="3" s="1"/>
  <c r="G68" i="3"/>
  <c r="Q68" i="3" s="1"/>
  <c r="M69" i="3"/>
  <c r="V69" i="3" s="1"/>
  <c r="G69" i="3"/>
  <c r="F61" i="3"/>
  <c r="F54" i="3"/>
  <c r="G52" i="3"/>
  <c r="Q52" i="3" s="1"/>
  <c r="G51" i="3"/>
  <c r="O51" i="3" s="1"/>
  <c r="M52" i="3"/>
  <c r="U52" i="3" s="1"/>
  <c r="F46" i="3"/>
  <c r="F38" i="3"/>
  <c r="G38" i="3" s="1"/>
  <c r="S39" i="3" s="1"/>
  <c r="S40" i="3" s="1"/>
  <c r="F31" i="3"/>
  <c r="G31" i="3" s="1"/>
  <c r="G17" i="3"/>
  <c r="M17" i="3"/>
  <c r="V16" i="3"/>
  <c r="V15" i="3"/>
  <c r="Q31" i="3" l="1"/>
  <c r="S32" i="3"/>
  <c r="S33" i="3" s="1"/>
  <c r="Q69" i="3"/>
  <c r="N69" i="3"/>
  <c r="N80" i="3"/>
  <c r="Q80" i="3"/>
  <c r="Q79" i="3"/>
  <c r="T79" i="3" s="1"/>
  <c r="N70" i="3"/>
  <c r="N16" i="3"/>
  <c r="Q15" i="3"/>
  <c r="O15" i="3"/>
  <c r="N15" i="3"/>
  <c r="N17" i="3"/>
  <c r="O17" i="3"/>
  <c r="G18" i="3"/>
  <c r="N51" i="3"/>
  <c r="O70" i="3"/>
  <c r="G71" i="3"/>
  <c r="V80" i="3"/>
  <c r="G54" i="3"/>
  <c r="S55" i="3" s="1"/>
  <c r="S56" i="3" s="1"/>
  <c r="Q16" i="3"/>
  <c r="O68" i="3"/>
  <c r="Q51" i="3"/>
  <c r="V52" i="3"/>
  <c r="N68" i="3"/>
  <c r="U68" i="3"/>
  <c r="V70" i="3"/>
  <c r="U69" i="3"/>
  <c r="U15" i="3"/>
  <c r="N52" i="3"/>
  <c r="O52" i="3"/>
  <c r="O69" i="3"/>
  <c r="U18" i="3"/>
  <c r="K268" i="3"/>
  <c r="I259" i="3"/>
  <c r="H259" i="3"/>
  <c r="N71" i="3" l="1"/>
  <c r="S72" i="3"/>
  <c r="S73" i="3" s="1"/>
  <c r="Q18" i="3"/>
  <c r="S19" i="3"/>
  <c r="S20" i="3" s="1"/>
  <c r="T69" i="3"/>
  <c r="O13" i="3"/>
  <c r="T80" i="3"/>
  <c r="T15" i="3"/>
  <c r="T51" i="3"/>
  <c r="T16" i="3"/>
  <c r="N13" i="3"/>
  <c r="T70" i="3"/>
  <c r="T52" i="3"/>
  <c r="T68" i="3"/>
  <c r="V18" i="3"/>
  <c r="T14" i="3"/>
  <c r="G259" i="3"/>
  <c r="F259" i="3"/>
  <c r="E259" i="3"/>
  <c r="V218" i="3"/>
  <c r="U218" i="3"/>
  <c r="J218" i="3"/>
  <c r="N218" i="3"/>
  <c r="V217" i="3"/>
  <c r="U217" i="3"/>
  <c r="J217" i="3"/>
  <c r="N217" i="3"/>
  <c r="V186" i="3"/>
  <c r="V187" i="3"/>
  <c r="U186" i="3"/>
  <c r="U187" i="3"/>
  <c r="J186" i="3"/>
  <c r="N186" i="3"/>
  <c r="J187" i="3"/>
  <c r="N187" i="3"/>
  <c r="V162" i="3"/>
  <c r="U162" i="3"/>
  <c r="J162" i="3"/>
  <c r="N162" i="3"/>
  <c r="E155" i="3"/>
  <c r="J144" i="3"/>
  <c r="J142" i="3"/>
  <c r="V129" i="3"/>
  <c r="U129" i="3"/>
  <c r="J129" i="3"/>
  <c r="N129" i="3"/>
  <c r="V116" i="3"/>
  <c r="U116" i="3"/>
  <c r="J116" i="3"/>
  <c r="N116" i="3"/>
  <c r="V111" i="3"/>
  <c r="U111" i="3"/>
  <c r="J111" i="3"/>
  <c r="N111" i="3"/>
  <c r="G81" i="3"/>
  <c r="G30" i="3"/>
  <c r="N255" i="3"/>
  <c r="N259" i="3" s="1"/>
  <c r="V227" i="3"/>
  <c r="U227" i="3"/>
  <c r="J227" i="3"/>
  <c r="N227" i="3"/>
  <c r="E133" i="3"/>
  <c r="G78" i="3"/>
  <c r="G76" i="3"/>
  <c r="N76" i="3" s="1"/>
  <c r="G77" i="3"/>
  <c r="G53" i="3"/>
  <c r="Q53" i="3" s="1"/>
  <c r="N81" i="3" l="1"/>
  <c r="S82" i="3"/>
  <c r="S83" i="3" s="1"/>
  <c r="V253" i="3"/>
  <c r="U253" i="3"/>
  <c r="J253" i="3"/>
  <c r="N253" i="3"/>
  <c r="V245" i="3"/>
  <c r="U245" i="3"/>
  <c r="N245" i="3"/>
  <c r="J245" i="3"/>
  <c r="V215" i="3" l="1"/>
  <c r="U215" i="3"/>
  <c r="U216" i="3"/>
  <c r="U219" i="3"/>
  <c r="J215" i="3"/>
  <c r="N215" i="3"/>
  <c r="G100" i="3"/>
  <c r="G101" i="3"/>
  <c r="Q101" i="3" s="1"/>
  <c r="G102" i="3"/>
  <c r="G99" i="3"/>
  <c r="G93" i="3"/>
  <c r="G94" i="3"/>
  <c r="G95" i="3"/>
  <c r="G92" i="3"/>
  <c r="M87" i="3"/>
  <c r="U87" i="3" s="1"/>
  <c r="G87" i="3"/>
  <c r="Q87" i="3" s="1"/>
  <c r="G86" i="3"/>
  <c r="Q86" i="3" s="1"/>
  <c r="G88" i="3"/>
  <c r="G85" i="3"/>
  <c r="O85" i="3" s="1"/>
  <c r="Q76" i="3"/>
  <c r="Q78" i="3"/>
  <c r="N78" i="3"/>
  <c r="O76" i="3"/>
  <c r="Q77" i="3"/>
  <c r="O78" i="3"/>
  <c r="G75" i="3"/>
  <c r="Q75" i="3" s="1"/>
  <c r="G67" i="3"/>
  <c r="M67" i="3"/>
  <c r="U67" i="3" s="1"/>
  <c r="G66" i="3"/>
  <c r="Q71" i="3"/>
  <c r="G65" i="3"/>
  <c r="G60" i="3"/>
  <c r="Q60" i="3" s="1"/>
  <c r="G59" i="3"/>
  <c r="N59" i="3" s="1"/>
  <c r="G58" i="3"/>
  <c r="N58" i="3" s="1"/>
  <c r="N53" i="3"/>
  <c r="O53" i="3"/>
  <c r="G50" i="3"/>
  <c r="G45" i="3"/>
  <c r="O45" i="3" s="1"/>
  <c r="G44" i="3"/>
  <c r="Q44" i="3" s="1"/>
  <c r="G43" i="3"/>
  <c r="O43" i="3" s="1"/>
  <c r="G42" i="3"/>
  <c r="O42" i="3" s="1"/>
  <c r="G37" i="3"/>
  <c r="O37" i="3" s="1"/>
  <c r="G36" i="3"/>
  <c r="Q36" i="3" s="1"/>
  <c r="G35" i="3"/>
  <c r="Q35" i="3" s="1"/>
  <c r="Q30" i="3"/>
  <c r="G29" i="3"/>
  <c r="Q29" i="3" s="1"/>
  <c r="G28" i="3"/>
  <c r="Q28" i="3" s="1"/>
  <c r="G27" i="3"/>
  <c r="Q27" i="3" s="1"/>
  <c r="N18" i="3"/>
  <c r="N12" i="3" s="1"/>
  <c r="Q81" i="3"/>
  <c r="G61" i="3"/>
  <c r="Q54" i="3"/>
  <c r="G46" i="3"/>
  <c r="Q46" i="3" l="1"/>
  <c r="S47" i="3"/>
  <c r="S48" i="3" s="1"/>
  <c r="Q88" i="3"/>
  <c r="S89" i="3"/>
  <c r="S90" i="3" s="1"/>
  <c r="Q61" i="3"/>
  <c r="S62" i="3"/>
  <c r="S63" i="3" s="1"/>
  <c r="Q95" i="3"/>
  <c r="S96" i="3"/>
  <c r="S97" i="3" s="1"/>
  <c r="S103" i="3"/>
  <c r="Q102" i="3"/>
  <c r="O99" i="3"/>
  <c r="Q99" i="3"/>
  <c r="N99" i="3"/>
  <c r="Q93" i="3"/>
  <c r="O93" i="3"/>
  <c r="Q92" i="3"/>
  <c r="O92" i="3"/>
  <c r="Q94" i="3"/>
  <c r="O94" i="3"/>
  <c r="Q100" i="3"/>
  <c r="Q98" i="3" s="1"/>
  <c r="N100" i="3"/>
  <c r="O75" i="3"/>
  <c r="N75" i="3"/>
  <c r="O67" i="3"/>
  <c r="N67" i="3"/>
  <c r="O66" i="3"/>
  <c r="N66" i="3"/>
  <c r="O65" i="3"/>
  <c r="O64" i="3" s="1"/>
  <c r="N65" i="3"/>
  <c r="N64" i="3" s="1"/>
  <c r="N63" i="3" s="1"/>
  <c r="Q26" i="3"/>
  <c r="Q25" i="3" s="1"/>
  <c r="O27" i="3"/>
  <c r="M53" i="3"/>
  <c r="V53" i="3" s="1"/>
  <c r="N35" i="3"/>
  <c r="O35" i="3"/>
  <c r="N45" i="3"/>
  <c r="Q45" i="3"/>
  <c r="O58" i="3"/>
  <c r="O71" i="3"/>
  <c r="Q66" i="3"/>
  <c r="N85" i="3"/>
  <c r="Q85" i="3"/>
  <c r="Q84" i="3" s="1"/>
  <c r="Q83" i="3" s="1"/>
  <c r="O50" i="3"/>
  <c r="O49" i="3" s="1"/>
  <c r="Q50" i="3"/>
  <c r="Q49" i="3" s="1"/>
  <c r="Q48" i="3" s="1"/>
  <c r="U53" i="3"/>
  <c r="N38" i="3"/>
  <c r="T38" i="3" s="1"/>
  <c r="O38" i="3"/>
  <c r="Q37" i="3"/>
  <c r="Q34" i="3" s="1"/>
  <c r="N43" i="3"/>
  <c r="Q43" i="3"/>
  <c r="O60" i="3"/>
  <c r="Q67" i="3"/>
  <c r="T53" i="3"/>
  <c r="N54" i="3"/>
  <c r="O54" i="3"/>
  <c r="O81" i="3"/>
  <c r="O77" i="3"/>
  <c r="Q74" i="3"/>
  <c r="N87" i="3"/>
  <c r="O87" i="3"/>
  <c r="N95" i="3"/>
  <c r="N93" i="3"/>
  <c r="O95" i="3"/>
  <c r="N102" i="3"/>
  <c r="O102" i="3"/>
  <c r="O100" i="3"/>
  <c r="N29" i="3"/>
  <c r="N42" i="3"/>
  <c r="O46" i="3"/>
  <c r="O44" i="3"/>
  <c r="O41" i="3" s="1"/>
  <c r="Q42" i="3"/>
  <c r="N50" i="3"/>
  <c r="N49" i="3" s="1"/>
  <c r="V67" i="3"/>
  <c r="Q65" i="3"/>
  <c r="Q64" i="3" s="1"/>
  <c r="O29" i="3"/>
  <c r="N27" i="3"/>
  <c r="N36" i="3"/>
  <c r="N37" i="3"/>
  <c r="O36" i="3"/>
  <c r="N46" i="3"/>
  <c r="N44" i="3"/>
  <c r="O61" i="3"/>
  <c r="N77" i="3"/>
  <c r="N88" i="3"/>
  <c r="N86" i="3"/>
  <c r="O88" i="3"/>
  <c r="O86" i="3"/>
  <c r="N92" i="3"/>
  <c r="N94" i="3"/>
  <c r="N101" i="3"/>
  <c r="O101" i="3"/>
  <c r="V87" i="3"/>
  <c r="Q58" i="3"/>
  <c r="N60" i="3"/>
  <c r="N57" i="3" s="1"/>
  <c r="O59" i="3"/>
  <c r="Q59" i="3"/>
  <c r="O28" i="3"/>
  <c r="O30" i="3"/>
  <c r="N28" i="3"/>
  <c r="N30" i="3"/>
  <c r="Q91" i="3" l="1"/>
  <c r="Q90" i="3" s="1"/>
  <c r="N98" i="3"/>
  <c r="O91" i="3"/>
  <c r="O90" i="3" s="1"/>
  <c r="O74" i="3"/>
  <c r="N74" i="3"/>
  <c r="N73" i="3" s="1"/>
  <c r="N97" i="3"/>
  <c r="O63" i="3"/>
  <c r="N48" i="3"/>
  <c r="T66" i="3"/>
  <c r="Q41" i="3"/>
  <c r="T67" i="3"/>
  <c r="T71" i="3"/>
  <c r="O84" i="3"/>
  <c r="O83" i="3" s="1"/>
  <c r="Q63" i="3"/>
  <c r="O98" i="3"/>
  <c r="O26" i="3"/>
  <c r="N84" i="3"/>
  <c r="N83" i="3" s="1"/>
  <c r="O34" i="3"/>
  <c r="Q57" i="3"/>
  <c r="T87" i="3"/>
  <c r="O57" i="3"/>
  <c r="O48" i="3"/>
  <c r="U17" i="3"/>
  <c r="U13" i="3" s="1"/>
  <c r="U12" i="3" s="1"/>
  <c r="V17" i="3"/>
  <c r="Q17" i="3"/>
  <c r="Q13" i="3" s="1"/>
  <c r="Q12" i="3" s="1"/>
  <c r="O18" i="3"/>
  <c r="O12" i="3" s="1"/>
  <c r="V198" i="3"/>
  <c r="V201" i="3"/>
  <c r="U198" i="3"/>
  <c r="U201" i="3"/>
  <c r="U197" i="3"/>
  <c r="U189" i="3"/>
  <c r="T18" i="3" l="1"/>
  <c r="T17" i="3"/>
  <c r="T13" i="3" s="1"/>
  <c r="V251" i="3"/>
  <c r="V250" i="3"/>
  <c r="U251" i="3"/>
  <c r="U250" i="3"/>
  <c r="N251" i="3"/>
  <c r="J251" i="3"/>
  <c r="J250" i="3"/>
  <c r="F261" i="3"/>
  <c r="H261" i="3"/>
  <c r="I261" i="3"/>
  <c r="N261" i="3"/>
  <c r="F222" i="3"/>
  <c r="H222" i="3"/>
  <c r="I222" i="3"/>
  <c r="J233" i="3"/>
  <c r="U233" i="3" s="1"/>
  <c r="F239" i="3"/>
  <c r="H239" i="3"/>
  <c r="I239" i="3"/>
  <c r="F231" i="3"/>
  <c r="H231" i="3"/>
  <c r="I231" i="3"/>
  <c r="F237" i="3"/>
  <c r="H237" i="3"/>
  <c r="I237" i="3"/>
  <c r="V235" i="3"/>
  <c r="U235" i="3"/>
  <c r="N235" i="3"/>
  <c r="J235" i="3"/>
  <c r="G237" i="3"/>
  <c r="V228" i="3"/>
  <c r="V226" i="3"/>
  <c r="U228" i="3"/>
  <c r="U226" i="3"/>
  <c r="N228" i="3"/>
  <c r="N226" i="3"/>
  <c r="J228" i="3"/>
  <c r="J226" i="3"/>
  <c r="N221" i="3"/>
  <c r="V219" i="3"/>
  <c r="V216" i="3"/>
  <c r="N216" i="3"/>
  <c r="J216" i="3"/>
  <c r="J219" i="3"/>
  <c r="G207" i="3"/>
  <c r="J198" i="3"/>
  <c r="J201" i="3"/>
  <c r="N209" i="3"/>
  <c r="F210" i="3"/>
  <c r="H210" i="3"/>
  <c r="I210" i="3"/>
  <c r="F208" i="3"/>
  <c r="H208" i="3"/>
  <c r="I208" i="3"/>
  <c r="V206" i="3"/>
  <c r="U206" i="3"/>
  <c r="N206" i="3"/>
  <c r="J206" i="3"/>
  <c r="F203" i="3"/>
  <c r="H203" i="3"/>
  <c r="I203" i="3"/>
  <c r="V197" i="3"/>
  <c r="J197" i="3"/>
  <c r="F194" i="3"/>
  <c r="H194" i="3"/>
  <c r="I194" i="3"/>
  <c r="V191" i="3"/>
  <c r="V192" i="3"/>
  <c r="V189" i="3"/>
  <c r="U191" i="3"/>
  <c r="U192" i="3"/>
  <c r="J191" i="3"/>
  <c r="J192" i="3"/>
  <c r="J189" i="3"/>
  <c r="V154" i="3"/>
  <c r="F155" i="3"/>
  <c r="H155" i="3"/>
  <c r="I155" i="3"/>
  <c r="J123" i="3"/>
  <c r="J124" i="3"/>
  <c r="J122" i="3"/>
  <c r="F182" i="3"/>
  <c r="H182" i="3"/>
  <c r="I182" i="3"/>
  <c r="V178" i="3"/>
  <c r="V177" i="3"/>
  <c r="U178" i="3"/>
  <c r="U177" i="3"/>
  <c r="F180" i="3"/>
  <c r="H180" i="3"/>
  <c r="I180" i="3"/>
  <c r="N177" i="3"/>
  <c r="N178" i="3"/>
  <c r="F167" i="3"/>
  <c r="H167" i="3"/>
  <c r="I167" i="3"/>
  <c r="F174" i="3"/>
  <c r="H174" i="3"/>
  <c r="I174" i="3"/>
  <c r="J170" i="3"/>
  <c r="J171" i="3"/>
  <c r="V171" i="3"/>
  <c r="V172" i="3"/>
  <c r="V170" i="3"/>
  <c r="U171" i="3"/>
  <c r="U172" i="3"/>
  <c r="U170" i="3"/>
  <c r="J172" i="3"/>
  <c r="N171" i="3"/>
  <c r="N170" i="3"/>
  <c r="N172" i="3"/>
  <c r="V163" i="3"/>
  <c r="V164" i="3"/>
  <c r="V165" i="3"/>
  <c r="V161" i="3"/>
  <c r="U163" i="3"/>
  <c r="U164" i="3"/>
  <c r="U165" i="3"/>
  <c r="U161" i="3"/>
  <c r="N163" i="3"/>
  <c r="N164" i="3"/>
  <c r="N165" i="3"/>
  <c r="N161" i="3"/>
  <c r="J161" i="3"/>
  <c r="J163" i="3"/>
  <c r="J164" i="3"/>
  <c r="J165" i="3"/>
  <c r="F157" i="3"/>
  <c r="H157" i="3"/>
  <c r="I157" i="3"/>
  <c r="V153" i="3"/>
  <c r="U153" i="3"/>
  <c r="N153" i="3"/>
  <c r="J153" i="3"/>
  <c r="F150" i="3"/>
  <c r="H150" i="3"/>
  <c r="I150" i="3"/>
  <c r="E150" i="3"/>
  <c r="V146" i="3"/>
  <c r="V147" i="3"/>
  <c r="V148" i="3"/>
  <c r="U146" i="3"/>
  <c r="U147" i="3"/>
  <c r="U148" i="3"/>
  <c r="J146" i="3"/>
  <c r="J147" i="3"/>
  <c r="J148" i="3"/>
  <c r="N146" i="3"/>
  <c r="N147" i="3"/>
  <c r="N148" i="3"/>
  <c r="H143" i="3"/>
  <c r="I143" i="3"/>
  <c r="F143" i="3"/>
  <c r="V138" i="3"/>
  <c r="V139" i="3"/>
  <c r="V141" i="3"/>
  <c r="U138" i="3"/>
  <c r="U139" i="3"/>
  <c r="U141" i="3"/>
  <c r="J138" i="3"/>
  <c r="J139" i="3"/>
  <c r="J141" i="3"/>
  <c r="N138" i="3"/>
  <c r="N139" i="3"/>
  <c r="N141" i="3"/>
  <c r="N123" i="3"/>
  <c r="N124" i="3"/>
  <c r="N122" i="3"/>
  <c r="N112" i="3"/>
  <c r="N113" i="3"/>
  <c r="N114" i="3"/>
  <c r="N117" i="3"/>
  <c r="N110" i="3"/>
  <c r="Q133" i="3"/>
  <c r="T133" i="3"/>
  <c r="T131" i="3"/>
  <c r="F126" i="3"/>
  <c r="V123" i="3"/>
  <c r="V124" i="3"/>
  <c r="V122" i="3"/>
  <c r="U123" i="3"/>
  <c r="U124" i="3"/>
  <c r="U122" i="3"/>
  <c r="V112" i="3"/>
  <c r="V113" i="3"/>
  <c r="V114" i="3"/>
  <c r="V117" i="3"/>
  <c r="V110" i="3"/>
  <c r="U112" i="3"/>
  <c r="U113" i="3"/>
  <c r="U114" i="3"/>
  <c r="U117" i="3"/>
  <c r="U110" i="3"/>
  <c r="J112" i="3"/>
  <c r="J113" i="3"/>
  <c r="J114" i="3"/>
  <c r="J117" i="3"/>
  <c r="J110" i="3"/>
  <c r="F119" i="3"/>
  <c r="L268" i="3"/>
  <c r="L267" i="3"/>
  <c r="T261" i="3"/>
  <c r="Q261" i="3"/>
  <c r="M261" i="3"/>
  <c r="E261" i="3"/>
  <c r="J260" i="3"/>
  <c r="V260" i="3" s="1"/>
  <c r="J252" i="3"/>
  <c r="V242" i="3"/>
  <c r="T246" i="3"/>
  <c r="Q246" i="3"/>
  <c r="T239" i="3"/>
  <c r="Q239" i="3"/>
  <c r="M239" i="3"/>
  <c r="E239" i="3"/>
  <c r="J238" i="3"/>
  <c r="V238" i="3" s="1"/>
  <c r="E237" i="3"/>
  <c r="J236" i="3"/>
  <c r="E231" i="3"/>
  <c r="T229" i="3"/>
  <c r="E222" i="3"/>
  <c r="J221" i="3"/>
  <c r="V221" i="3" s="1"/>
  <c r="T210" i="3"/>
  <c r="Q210" i="3"/>
  <c r="M210" i="3"/>
  <c r="E210" i="3"/>
  <c r="J209" i="3"/>
  <c r="V209" i="3" s="1"/>
  <c r="E208" i="3"/>
  <c r="J207" i="3"/>
  <c r="U207" i="3" s="1"/>
  <c r="E203" i="3"/>
  <c r="J202" i="3"/>
  <c r="E194" i="3"/>
  <c r="T182" i="3"/>
  <c r="Q182" i="3"/>
  <c r="M182" i="3"/>
  <c r="E182" i="3"/>
  <c r="J181" i="3"/>
  <c r="V181" i="3" s="1"/>
  <c r="E180" i="3"/>
  <c r="J179" i="3"/>
  <c r="E174" i="3"/>
  <c r="E167" i="3"/>
  <c r="T157" i="3"/>
  <c r="Q157" i="3"/>
  <c r="M157" i="3"/>
  <c r="E157" i="3"/>
  <c r="N156" i="3"/>
  <c r="J156" i="3"/>
  <c r="V156" i="3" s="1"/>
  <c r="V157" i="3" s="1"/>
  <c r="J151" i="3"/>
  <c r="U151" i="3" s="1"/>
  <c r="E143" i="3"/>
  <c r="U142" i="3"/>
  <c r="M133" i="3"/>
  <c r="I133" i="3"/>
  <c r="H133" i="3"/>
  <c r="J132" i="3"/>
  <c r="O132" i="3" s="1"/>
  <c r="V130" i="3"/>
  <c r="U130" i="3"/>
  <c r="I126" i="3"/>
  <c r="H126" i="3"/>
  <c r="E126" i="3"/>
  <c r="I119" i="3"/>
  <c r="H119" i="3"/>
  <c r="E119" i="3"/>
  <c r="M102" i="3"/>
  <c r="V102" i="3" s="1"/>
  <c r="M101" i="3"/>
  <c r="V101" i="3" s="1"/>
  <c r="M100" i="3"/>
  <c r="V100" i="3" s="1"/>
  <c r="O97" i="3"/>
  <c r="M99" i="3"/>
  <c r="M98" i="3"/>
  <c r="M97" i="3"/>
  <c r="M95" i="3"/>
  <c r="V95" i="3" s="1"/>
  <c r="M94" i="3"/>
  <c r="V94" i="3" s="1"/>
  <c r="M93" i="3"/>
  <c r="V93" i="3" s="1"/>
  <c r="M92" i="3"/>
  <c r="V92" i="3" s="1"/>
  <c r="M91" i="3"/>
  <c r="M90" i="3"/>
  <c r="M88" i="3"/>
  <c r="V88" i="3" s="1"/>
  <c r="M86" i="3"/>
  <c r="V86" i="3" s="1"/>
  <c r="M85" i="3"/>
  <c r="V85" i="3" s="1"/>
  <c r="M84" i="3"/>
  <c r="M83" i="3"/>
  <c r="M81" i="3"/>
  <c r="V81" i="3" s="1"/>
  <c r="M78" i="3"/>
  <c r="V78" i="3" s="1"/>
  <c r="M77" i="3"/>
  <c r="V77" i="3" s="1"/>
  <c r="V76" i="3"/>
  <c r="Q73" i="3"/>
  <c r="M75" i="3"/>
  <c r="V75" i="3" s="1"/>
  <c r="M73" i="3"/>
  <c r="M71" i="3"/>
  <c r="V71" i="3" s="1"/>
  <c r="M66" i="3"/>
  <c r="U66" i="3" s="1"/>
  <c r="M65" i="3"/>
  <c r="V65" i="3" s="1"/>
  <c r="M64" i="3"/>
  <c r="M63" i="3"/>
  <c r="N61" i="3"/>
  <c r="M61" i="3"/>
  <c r="U61" i="3" s="1"/>
  <c r="M60" i="3"/>
  <c r="V60" i="3" s="1"/>
  <c r="M59" i="3"/>
  <c r="U59" i="3" s="1"/>
  <c r="Q56" i="3"/>
  <c r="O56" i="3"/>
  <c r="M58" i="3"/>
  <c r="V58" i="3" s="1"/>
  <c r="M57" i="3"/>
  <c r="M56" i="3"/>
  <c r="M54" i="3"/>
  <c r="V54" i="3" s="1"/>
  <c r="M51" i="3"/>
  <c r="M50" i="3"/>
  <c r="V50" i="3" s="1"/>
  <c r="M49" i="3"/>
  <c r="M48" i="3"/>
  <c r="M46" i="3"/>
  <c r="V46" i="3" s="1"/>
  <c r="M45" i="3"/>
  <c r="V45" i="3" s="1"/>
  <c r="M44" i="3"/>
  <c r="V44" i="3" s="1"/>
  <c r="M43" i="3"/>
  <c r="V43" i="3" s="1"/>
  <c r="Q40" i="3"/>
  <c r="O40" i="3"/>
  <c r="M42" i="3"/>
  <c r="V42" i="3" s="1"/>
  <c r="M41" i="3"/>
  <c r="M40" i="3"/>
  <c r="M38" i="3"/>
  <c r="V38" i="3" s="1"/>
  <c r="M37" i="3"/>
  <c r="V37" i="3" s="1"/>
  <c r="M36" i="3"/>
  <c r="V36" i="3" s="1"/>
  <c r="O33" i="3"/>
  <c r="M35" i="3"/>
  <c r="V35" i="3" s="1"/>
  <c r="M34" i="3"/>
  <c r="M33" i="3"/>
  <c r="O31" i="3"/>
  <c r="O25" i="3" s="1"/>
  <c r="N31" i="3"/>
  <c r="M31" i="3"/>
  <c r="M30" i="3"/>
  <c r="V30" i="3" s="1"/>
  <c r="M29" i="3"/>
  <c r="V29" i="3" s="1"/>
  <c r="M28" i="3"/>
  <c r="V28" i="3" s="1"/>
  <c r="M27" i="3"/>
  <c r="M26" i="3"/>
  <c r="M25" i="3"/>
  <c r="O23" i="3"/>
  <c r="N23" i="3"/>
  <c r="M23" i="3"/>
  <c r="N21" i="3"/>
  <c r="Q21" i="3"/>
  <c r="Q20" i="3" s="1"/>
  <c r="M21" i="3"/>
  <c r="M20" i="3"/>
  <c r="H205" i="1"/>
  <c r="I205" i="1" s="1"/>
  <c r="J205" i="1" s="1"/>
  <c r="H204" i="1"/>
  <c r="H203" i="1"/>
  <c r="I203" i="1" s="1"/>
  <c r="J203" i="1" s="1"/>
  <c r="F202" i="1"/>
  <c r="E202" i="1"/>
  <c r="D202" i="1"/>
  <c r="O196" i="1"/>
  <c r="N196" i="1"/>
  <c r="K196" i="1"/>
  <c r="G196" i="1"/>
  <c r="F196" i="1"/>
  <c r="E196" i="1"/>
  <c r="Q195" i="1"/>
  <c r="P195" i="1"/>
  <c r="M195" i="1"/>
  <c r="L195" i="1" s="1"/>
  <c r="M194" i="1"/>
  <c r="L194" i="1" s="1"/>
  <c r="H194" i="1"/>
  <c r="P194" i="1" s="1"/>
  <c r="Q192" i="1"/>
  <c r="Q193" i="1" s="1"/>
  <c r="P192" i="1"/>
  <c r="P193" i="1" s="1"/>
  <c r="O192" i="1"/>
  <c r="O193" i="1" s="1"/>
  <c r="N192" i="1"/>
  <c r="N193" i="1" s="1"/>
  <c r="M192" i="1"/>
  <c r="M193" i="1" s="1"/>
  <c r="O190" i="1"/>
  <c r="N190" i="1"/>
  <c r="M190" i="1"/>
  <c r="H190" i="1"/>
  <c r="Q190" i="1" s="1"/>
  <c r="M189" i="1"/>
  <c r="L189" i="1" s="1"/>
  <c r="H189" i="1"/>
  <c r="P189" i="1" s="1"/>
  <c r="Q188" i="1"/>
  <c r="P188" i="1"/>
  <c r="O188" i="1"/>
  <c r="N188" i="1"/>
  <c r="M188" i="1"/>
  <c r="Q187" i="1"/>
  <c r="P187" i="1"/>
  <c r="O187" i="1"/>
  <c r="N187" i="1"/>
  <c r="M187" i="1"/>
  <c r="Q185" i="1"/>
  <c r="P185" i="1"/>
  <c r="M185" i="1"/>
  <c r="L185" i="1" s="1"/>
  <c r="P184" i="1"/>
  <c r="Q184" i="1" s="1"/>
  <c r="O184" i="1"/>
  <c r="N184" i="1"/>
  <c r="M184" i="1"/>
  <c r="Q183" i="1"/>
  <c r="P183" i="1"/>
  <c r="O183" i="1"/>
  <c r="N183" i="1"/>
  <c r="M183" i="1"/>
  <c r="O181" i="1"/>
  <c r="N181" i="1"/>
  <c r="K181" i="1"/>
  <c r="G181" i="1"/>
  <c r="F181" i="1"/>
  <c r="E181" i="1"/>
  <c r="Q180" i="1"/>
  <c r="P180" i="1"/>
  <c r="I180" i="1"/>
  <c r="M180" i="1" s="1"/>
  <c r="L180" i="1" s="1"/>
  <c r="M179" i="1"/>
  <c r="H179" i="1"/>
  <c r="P179" i="1" s="1"/>
  <c r="G178" i="1"/>
  <c r="F178" i="1"/>
  <c r="E178" i="1"/>
  <c r="I177" i="1"/>
  <c r="H177" i="1" s="1"/>
  <c r="Q176" i="1"/>
  <c r="P176" i="1"/>
  <c r="M176" i="1"/>
  <c r="L176" i="1" s="1"/>
  <c r="O175" i="1"/>
  <c r="O178" i="1" s="1"/>
  <c r="N175" i="1"/>
  <c r="N178" i="1" s="1"/>
  <c r="I175" i="1"/>
  <c r="H175" i="1" s="1"/>
  <c r="G174" i="1"/>
  <c r="F174" i="1"/>
  <c r="E174" i="1"/>
  <c r="Q173" i="1"/>
  <c r="P173" i="1"/>
  <c r="I173" i="1"/>
  <c r="M173" i="1" s="1"/>
  <c r="L173" i="1" s="1"/>
  <c r="O172" i="1"/>
  <c r="N172" i="1"/>
  <c r="I172" i="1"/>
  <c r="H172" i="1" s="1"/>
  <c r="Q171" i="1"/>
  <c r="P171" i="1"/>
  <c r="M171" i="1"/>
  <c r="L171" i="1" s="1"/>
  <c r="O170" i="1"/>
  <c r="N170" i="1"/>
  <c r="I170" i="1"/>
  <c r="H170" i="1" s="1"/>
  <c r="O169" i="1"/>
  <c r="N169" i="1"/>
  <c r="I169" i="1"/>
  <c r="H169" i="1" s="1"/>
  <c r="G168" i="1"/>
  <c r="F168" i="1"/>
  <c r="E168" i="1"/>
  <c r="M167" i="1"/>
  <c r="L167" i="1" s="1"/>
  <c r="H167" i="1"/>
  <c r="Q167" i="1" s="1"/>
  <c r="O166" i="1"/>
  <c r="N166" i="1"/>
  <c r="I166" i="1"/>
  <c r="H166" i="1" s="1"/>
  <c r="Q165" i="1"/>
  <c r="P165" i="1"/>
  <c r="M165" i="1"/>
  <c r="L165" i="1" s="1"/>
  <c r="O164" i="1"/>
  <c r="N164" i="1"/>
  <c r="I164" i="1"/>
  <c r="H164" i="1" s="1"/>
  <c r="O162" i="1"/>
  <c r="N162" i="1"/>
  <c r="K162" i="1"/>
  <c r="G162" i="1"/>
  <c r="F162" i="1"/>
  <c r="E162" i="1"/>
  <c r="Q161" i="1"/>
  <c r="P161" i="1"/>
  <c r="I161" i="1"/>
  <c r="M161" i="1" s="1"/>
  <c r="M160" i="1"/>
  <c r="L160" i="1" s="1"/>
  <c r="H160" i="1"/>
  <c r="Q160" i="1" s="1"/>
  <c r="Q162" i="1" s="1"/>
  <c r="G159" i="1"/>
  <c r="F159" i="1"/>
  <c r="E159" i="1"/>
  <c r="I158" i="1"/>
  <c r="H158" i="1" s="1"/>
  <c r="Q158" i="1" s="1"/>
  <c r="Q157" i="1"/>
  <c r="P157" i="1"/>
  <c r="M157" i="1"/>
  <c r="L157" i="1" s="1"/>
  <c r="O156" i="1"/>
  <c r="O159" i="1" s="1"/>
  <c r="N156" i="1"/>
  <c r="N159" i="1" s="1"/>
  <c r="I156" i="1"/>
  <c r="M156" i="1" s="1"/>
  <c r="G155" i="1"/>
  <c r="F155" i="1"/>
  <c r="E155" i="1"/>
  <c r="O154" i="1"/>
  <c r="N154" i="1"/>
  <c r="I154" i="1"/>
  <c r="H154" i="1" s="1"/>
  <c r="Q153" i="1"/>
  <c r="P153" i="1"/>
  <c r="M153" i="1"/>
  <c r="L153" i="1" s="1"/>
  <c r="O152" i="1"/>
  <c r="N152" i="1"/>
  <c r="N155" i="1" s="1"/>
  <c r="I152" i="1"/>
  <c r="H152" i="1" s="1"/>
  <c r="G151" i="1"/>
  <c r="F151" i="1"/>
  <c r="E151" i="1"/>
  <c r="O150" i="1"/>
  <c r="N150" i="1"/>
  <c r="I150" i="1"/>
  <c r="M150" i="1" s="1"/>
  <c r="Q149" i="1"/>
  <c r="P149" i="1"/>
  <c r="M149" i="1"/>
  <c r="L149" i="1" s="1"/>
  <c r="O148" i="1"/>
  <c r="N148" i="1"/>
  <c r="N151" i="1" s="1"/>
  <c r="I148" i="1"/>
  <c r="M148" i="1" s="1"/>
  <c r="O146" i="1"/>
  <c r="N146" i="1"/>
  <c r="K146" i="1"/>
  <c r="G146" i="1"/>
  <c r="F146" i="1"/>
  <c r="E146" i="1"/>
  <c r="Q145" i="1"/>
  <c r="P145" i="1"/>
  <c r="I145" i="1"/>
  <c r="M145" i="1" s="1"/>
  <c r="L145" i="1" s="1"/>
  <c r="M144" i="1"/>
  <c r="H144" i="1"/>
  <c r="P144" i="1" s="1"/>
  <c r="G143" i="1"/>
  <c r="F143" i="1"/>
  <c r="E143" i="1"/>
  <c r="I142" i="1"/>
  <c r="H142" i="1" s="1"/>
  <c r="P142" i="1" s="1"/>
  <c r="Q141" i="1"/>
  <c r="P141" i="1"/>
  <c r="M141" i="1"/>
  <c r="L141" i="1" s="1"/>
  <c r="O140" i="1"/>
  <c r="O143" i="1" s="1"/>
  <c r="N140" i="1"/>
  <c r="N143" i="1" s="1"/>
  <c r="I140" i="1"/>
  <c r="H140" i="1" s="1"/>
  <c r="P140" i="1" s="1"/>
  <c r="G139" i="1"/>
  <c r="F139" i="1"/>
  <c r="E139" i="1"/>
  <c r="O138" i="1"/>
  <c r="N138" i="1"/>
  <c r="I138" i="1"/>
  <c r="M138" i="1" s="1"/>
  <c r="Q137" i="1"/>
  <c r="P137" i="1"/>
  <c r="M137" i="1"/>
  <c r="L137" i="1" s="1"/>
  <c r="O136" i="1"/>
  <c r="O139" i="1" s="1"/>
  <c r="N136" i="1"/>
  <c r="I136" i="1"/>
  <c r="M136" i="1" s="1"/>
  <c r="G135" i="1"/>
  <c r="F135" i="1"/>
  <c r="E135" i="1"/>
  <c r="O134" i="1"/>
  <c r="N134" i="1"/>
  <c r="I134" i="1"/>
  <c r="H134" i="1" s="1"/>
  <c r="P134" i="1" s="1"/>
  <c r="Q133" i="1"/>
  <c r="P133" i="1"/>
  <c r="M133" i="1"/>
  <c r="L133" i="1" s="1"/>
  <c r="O132" i="1"/>
  <c r="O135" i="1" s="1"/>
  <c r="N132" i="1"/>
  <c r="N135" i="1" s="1"/>
  <c r="I132" i="1"/>
  <c r="H132" i="1" s="1"/>
  <c r="P132" i="1" s="1"/>
  <c r="O130" i="1"/>
  <c r="N130" i="1"/>
  <c r="K130" i="1"/>
  <c r="G130" i="1"/>
  <c r="F130" i="1"/>
  <c r="E130" i="1"/>
  <c r="Q129" i="1"/>
  <c r="P129" i="1"/>
  <c r="I129" i="1"/>
  <c r="M129" i="1" s="1"/>
  <c r="M128" i="1"/>
  <c r="L128" i="1" s="1"/>
  <c r="H128" i="1"/>
  <c r="Q128" i="1" s="1"/>
  <c r="Q130" i="1" s="1"/>
  <c r="G127" i="1"/>
  <c r="F127" i="1"/>
  <c r="E127" i="1"/>
  <c r="Q126" i="1"/>
  <c r="P126" i="1"/>
  <c r="Q125" i="1"/>
  <c r="P125" i="1"/>
  <c r="M125" i="1"/>
  <c r="L125" i="1" s="1"/>
  <c r="O124" i="1"/>
  <c r="O127" i="1" s="1"/>
  <c r="N124" i="1"/>
  <c r="N127" i="1" s="1"/>
  <c r="I124" i="1"/>
  <c r="M124" i="1" s="1"/>
  <c r="G123" i="1"/>
  <c r="F123" i="1"/>
  <c r="E123" i="1"/>
  <c r="O122" i="1"/>
  <c r="N122" i="1"/>
  <c r="I122" i="1"/>
  <c r="H122" i="1" s="1"/>
  <c r="P122" i="1" s="1"/>
  <c r="Q121" i="1"/>
  <c r="P121" i="1"/>
  <c r="M121" i="1"/>
  <c r="L121" i="1" s="1"/>
  <c r="O120" i="1"/>
  <c r="N120" i="1"/>
  <c r="I120" i="1"/>
  <c r="H120" i="1" s="1"/>
  <c r="P120" i="1" s="1"/>
  <c r="P123" i="1" s="1"/>
  <c r="G119" i="1"/>
  <c r="F119" i="1"/>
  <c r="E119" i="1"/>
  <c r="O118" i="1"/>
  <c r="N118" i="1"/>
  <c r="I118" i="1"/>
  <c r="M118" i="1" s="1"/>
  <c r="Q117" i="1"/>
  <c r="P117" i="1"/>
  <c r="M117" i="1"/>
  <c r="L117" i="1" s="1"/>
  <c r="O116" i="1"/>
  <c r="N116" i="1"/>
  <c r="I116" i="1"/>
  <c r="M116" i="1" s="1"/>
  <c r="O114" i="1"/>
  <c r="N114" i="1"/>
  <c r="K114" i="1"/>
  <c r="G114" i="1"/>
  <c r="F114" i="1"/>
  <c r="E114" i="1"/>
  <c r="Q113" i="1"/>
  <c r="P113" i="1"/>
  <c r="I113" i="1"/>
  <c r="M113" i="1" s="1"/>
  <c r="L113" i="1" s="1"/>
  <c r="M112" i="1"/>
  <c r="H112" i="1"/>
  <c r="P112" i="1" s="1"/>
  <c r="G111" i="1"/>
  <c r="F111" i="1"/>
  <c r="E111" i="1"/>
  <c r="Q110" i="1"/>
  <c r="P110" i="1"/>
  <c r="Q109" i="1"/>
  <c r="P109" i="1"/>
  <c r="M109" i="1"/>
  <c r="L109" i="1" s="1"/>
  <c r="O108" i="1"/>
  <c r="O111" i="1" s="1"/>
  <c r="N108" i="1"/>
  <c r="N111" i="1" s="1"/>
  <c r="I108" i="1"/>
  <c r="H108" i="1" s="1"/>
  <c r="P108" i="1" s="1"/>
  <c r="G107" i="1"/>
  <c r="F107" i="1"/>
  <c r="E107" i="1"/>
  <c r="Q106" i="1"/>
  <c r="P106" i="1"/>
  <c r="Q105" i="1"/>
  <c r="P105" i="1"/>
  <c r="M105" i="1"/>
  <c r="L105" i="1" s="1"/>
  <c r="O104" i="1"/>
  <c r="O107" i="1" s="1"/>
  <c r="N104" i="1"/>
  <c r="N107" i="1" s="1"/>
  <c r="I104" i="1"/>
  <c r="M104" i="1" s="1"/>
  <c r="G103" i="1"/>
  <c r="F103" i="1"/>
  <c r="E103" i="1"/>
  <c r="O102" i="1"/>
  <c r="N102" i="1"/>
  <c r="I102" i="1"/>
  <c r="H102" i="1" s="1"/>
  <c r="P102" i="1" s="1"/>
  <c r="Q101" i="1"/>
  <c r="P101" i="1"/>
  <c r="M101" i="1"/>
  <c r="L101" i="1" s="1"/>
  <c r="O100" i="1"/>
  <c r="N100" i="1"/>
  <c r="N103" i="1" s="1"/>
  <c r="I100" i="1"/>
  <c r="H100" i="1" s="1"/>
  <c r="P100" i="1" s="1"/>
  <c r="P103" i="1" s="1"/>
  <c r="Q207" i="3" l="1"/>
  <c r="O207" i="3"/>
  <c r="N20" i="3"/>
  <c r="V27" i="3"/>
  <c r="V26" i="3" s="1"/>
  <c r="U27" i="3"/>
  <c r="V23" i="3"/>
  <c r="U23" i="3"/>
  <c r="V99" i="3"/>
  <c r="V98" i="3" s="1"/>
  <c r="V97" i="3" s="1"/>
  <c r="U99" i="3"/>
  <c r="V132" i="3"/>
  <c r="V133" i="3" s="1"/>
  <c r="O133" i="3"/>
  <c r="V74" i="3"/>
  <c r="V73" i="3" s="1"/>
  <c r="T31" i="3"/>
  <c r="V14" i="3"/>
  <c r="V13" i="3" s="1"/>
  <c r="U51" i="3"/>
  <c r="V51" i="3"/>
  <c r="V49" i="3" s="1"/>
  <c r="V48" i="3" s="1"/>
  <c r="V31" i="3"/>
  <c r="U31" i="3"/>
  <c r="Q254" i="3"/>
  <c r="N174" i="1"/>
  <c r="M186" i="1"/>
  <c r="O186" i="1"/>
  <c r="O230" i="3"/>
  <c r="V182" i="3"/>
  <c r="V34" i="3"/>
  <c r="V33" i="3" s="1"/>
  <c r="V91" i="3"/>
  <c r="V90" i="3" s="1"/>
  <c r="V239" i="3"/>
  <c r="O246" i="3"/>
  <c r="N246" i="3" s="1"/>
  <c r="V246" i="3"/>
  <c r="G222" i="3"/>
  <c r="T126" i="3"/>
  <c r="Q126" i="3"/>
  <c r="V41" i="3"/>
  <c r="V40" i="3" s="1"/>
  <c r="V84" i="3"/>
  <c r="V83" i="3" s="1"/>
  <c r="N250" i="3"/>
  <c r="U246" i="3"/>
  <c r="G261" i="3"/>
  <c r="N219" i="3"/>
  <c r="N198" i="3"/>
  <c r="N191" i="3"/>
  <c r="Q222" i="3"/>
  <c r="T254" i="3"/>
  <c r="T262" i="3" s="1"/>
  <c r="N189" i="3"/>
  <c r="N201" i="3"/>
  <c r="N192" i="3"/>
  <c r="T222" i="3"/>
  <c r="Q237" i="3"/>
  <c r="G231" i="3"/>
  <c r="N197" i="3"/>
  <c r="V261" i="3"/>
  <c r="V233" i="3"/>
  <c r="G239" i="3"/>
  <c r="O73" i="3"/>
  <c r="Q97" i="3"/>
  <c r="O261" i="3"/>
  <c r="O208" i="3"/>
  <c r="N242" i="3"/>
  <c r="N248" i="3"/>
  <c r="G182" i="3"/>
  <c r="G157" i="3"/>
  <c r="T194" i="3"/>
  <c r="G194" i="3"/>
  <c r="G203" i="3"/>
  <c r="G208" i="3"/>
  <c r="Q208" i="3"/>
  <c r="T208" i="3"/>
  <c r="G155" i="3"/>
  <c r="G174" i="3"/>
  <c r="G210" i="3"/>
  <c r="Q167" i="3"/>
  <c r="U154" i="3"/>
  <c r="U155" i="3" s="1"/>
  <c r="J154" i="3"/>
  <c r="G143" i="3"/>
  <c r="N26" i="3"/>
  <c r="N25" i="3" s="1"/>
  <c r="O155" i="1"/>
  <c r="N168" i="1"/>
  <c r="L187" i="1"/>
  <c r="G180" i="3"/>
  <c r="O103" i="1"/>
  <c r="O151" i="1"/>
  <c r="T50" i="3"/>
  <c r="T49" i="3" s="1"/>
  <c r="O167" i="3"/>
  <c r="T180" i="3"/>
  <c r="G131" i="3"/>
  <c r="T167" i="3"/>
  <c r="Q174" i="3"/>
  <c r="Q180" i="3"/>
  <c r="Q33" i="3"/>
  <c r="P111" i="1"/>
  <c r="O119" i="1"/>
  <c r="P143" i="1"/>
  <c r="O168" i="1"/>
  <c r="T59" i="3"/>
  <c r="U204" i="3"/>
  <c r="U208" i="3" s="1"/>
  <c r="T231" i="3"/>
  <c r="Q119" i="3"/>
  <c r="Q150" i="3"/>
  <c r="Q131" i="3"/>
  <c r="T29" i="3"/>
  <c r="T35" i="3"/>
  <c r="T37" i="3"/>
  <c r="T78" i="3"/>
  <c r="T88" i="3"/>
  <c r="T92" i="3"/>
  <c r="T94" i="3"/>
  <c r="T101" i="3"/>
  <c r="J135" i="3"/>
  <c r="U135" i="3" s="1"/>
  <c r="U143" i="3" s="1"/>
  <c r="U156" i="3"/>
  <c r="U157" i="3" s="1"/>
  <c r="N166" i="3"/>
  <c r="N224" i="3"/>
  <c r="N229" i="3"/>
  <c r="T100" i="3"/>
  <c r="T21" i="3"/>
  <c r="T28" i="3"/>
  <c r="T36" i="3"/>
  <c r="T42" i="3"/>
  <c r="T44" i="3"/>
  <c r="T46" i="3"/>
  <c r="T60" i="3"/>
  <c r="T75" i="3"/>
  <c r="T77" i="3"/>
  <c r="T81" i="3"/>
  <c r="T86" i="3"/>
  <c r="T95" i="3"/>
  <c r="T99" i="3"/>
  <c r="T23" i="3"/>
  <c r="T27" i="3"/>
  <c r="U28" i="3"/>
  <c r="T30" i="3"/>
  <c r="U37" i="3"/>
  <c r="U42" i="3"/>
  <c r="T45" i="3"/>
  <c r="U46" i="3"/>
  <c r="T54" i="3"/>
  <c r="T58" i="3"/>
  <c r="T61" i="3"/>
  <c r="V61" i="3"/>
  <c r="U65" i="3"/>
  <c r="U64" i="3" s="1"/>
  <c r="T76" i="3"/>
  <c r="U77" i="3"/>
  <c r="T85" i="3"/>
  <c r="U86" i="3"/>
  <c r="U92" i="3"/>
  <c r="U101" i="3"/>
  <c r="J120" i="3"/>
  <c r="U120" i="3" s="1"/>
  <c r="U126" i="3" s="1"/>
  <c r="J168" i="3"/>
  <c r="U168" i="3" s="1"/>
  <c r="J173" i="3"/>
  <c r="U173" i="3" s="1"/>
  <c r="J184" i="3"/>
  <c r="U184" i="3" s="1"/>
  <c r="J193" i="3"/>
  <c r="U193" i="3" s="1"/>
  <c r="U209" i="3"/>
  <c r="U221" i="3"/>
  <c r="U30" i="3"/>
  <c r="U35" i="3"/>
  <c r="T43" i="3"/>
  <c r="U44" i="3"/>
  <c r="U60" i="3"/>
  <c r="U75" i="3"/>
  <c r="U81" i="3"/>
  <c r="T93" i="3"/>
  <c r="U94" i="3"/>
  <c r="T102" i="3"/>
  <c r="N247" i="3"/>
  <c r="O157" i="3"/>
  <c r="N157" i="3"/>
  <c r="V179" i="3"/>
  <c r="U179" i="3"/>
  <c r="V236" i="3"/>
  <c r="U236" i="3"/>
  <c r="O20" i="3"/>
  <c r="U29" i="3"/>
  <c r="N34" i="3"/>
  <c r="N33" i="3" s="1"/>
  <c r="U36" i="3"/>
  <c r="N41" i="3"/>
  <c r="N40" i="3" s="1"/>
  <c r="U43" i="3"/>
  <c r="U45" i="3"/>
  <c r="U50" i="3"/>
  <c r="U54" i="3"/>
  <c r="N56" i="3"/>
  <c r="U58" i="3"/>
  <c r="V59" i="3"/>
  <c r="V57" i="3" s="1"/>
  <c r="V66" i="3"/>
  <c r="V64" i="3" s="1"/>
  <c r="T65" i="3"/>
  <c r="U71" i="3"/>
  <c r="U76" i="3"/>
  <c r="U78" i="3"/>
  <c r="U85" i="3"/>
  <c r="U88" i="3"/>
  <c r="N91" i="3"/>
  <c r="N90" i="3" s="1"/>
  <c r="U93" i="3"/>
  <c r="U95" i="3"/>
  <c r="U100" i="3"/>
  <c r="U102" i="3"/>
  <c r="J118" i="3"/>
  <c r="J127" i="3"/>
  <c r="U127" i="3" s="1"/>
  <c r="N132" i="3"/>
  <c r="U132" i="3"/>
  <c r="U133" i="3" s="1"/>
  <c r="V142" i="3"/>
  <c r="J149" i="3"/>
  <c r="V151" i="3"/>
  <c r="V155" i="3" s="1"/>
  <c r="J159" i="3"/>
  <c r="J166" i="3"/>
  <c r="J175" i="3"/>
  <c r="N181" i="3"/>
  <c r="U181" i="3"/>
  <c r="U182" i="3" s="1"/>
  <c r="J195" i="3"/>
  <c r="V207" i="3"/>
  <c r="J212" i="3"/>
  <c r="J220" i="3"/>
  <c r="J223" i="3"/>
  <c r="J224" i="3"/>
  <c r="U224" i="3" s="1"/>
  <c r="J229" i="3"/>
  <c r="J232" i="3"/>
  <c r="U232" i="3" s="1"/>
  <c r="N238" i="3"/>
  <c r="U238" i="3"/>
  <c r="U239" i="3" s="1"/>
  <c r="U260" i="3"/>
  <c r="U261" i="3" s="1"/>
  <c r="H104" i="1"/>
  <c r="Q104" i="1" s="1"/>
  <c r="Q107" i="1" s="1"/>
  <c r="P114" i="1"/>
  <c r="H118" i="1"/>
  <c r="Q118" i="1" s="1"/>
  <c r="N123" i="1"/>
  <c r="M122" i="1"/>
  <c r="L122" i="1" s="1"/>
  <c r="M127" i="1"/>
  <c r="L136" i="1"/>
  <c r="P146" i="1"/>
  <c r="M132" i="1"/>
  <c r="H136" i="1"/>
  <c r="Q136" i="1" s="1"/>
  <c r="L138" i="1"/>
  <c r="N191" i="1"/>
  <c r="N197" i="1" s="1"/>
  <c r="L188" i="1"/>
  <c r="L190" i="1"/>
  <c r="H202" i="1"/>
  <c r="I204" i="1"/>
  <c r="J204" i="1" s="1"/>
  <c r="J202" i="1" s="1"/>
  <c r="L116" i="1"/>
  <c r="L150" i="1"/>
  <c r="H156" i="1"/>
  <c r="Q156" i="1" s="1"/>
  <c r="Q159" i="1" s="1"/>
  <c r="P181" i="1"/>
  <c r="N186" i="1"/>
  <c r="L186" i="1" s="1"/>
  <c r="L184" i="1"/>
  <c r="L192" i="1"/>
  <c r="L193" i="1" s="1"/>
  <c r="P196" i="1"/>
  <c r="N115" i="1"/>
  <c r="L104" i="1"/>
  <c r="L107" i="1" s="1"/>
  <c r="M108" i="1"/>
  <c r="M111" i="1" s="1"/>
  <c r="H116" i="1"/>
  <c r="N119" i="1"/>
  <c r="L118" i="1"/>
  <c r="M120" i="1"/>
  <c r="M123" i="1" s="1"/>
  <c r="O123" i="1"/>
  <c r="H124" i="1"/>
  <c r="Q124" i="1" s="1"/>
  <c r="Q127" i="1" s="1"/>
  <c r="L124" i="1"/>
  <c r="L127" i="1" s="1"/>
  <c r="P128" i="1"/>
  <c r="P130" i="1" s="1"/>
  <c r="P135" i="1"/>
  <c r="M134" i="1"/>
  <c r="L134" i="1" s="1"/>
  <c r="M139" i="1"/>
  <c r="N139" i="1"/>
  <c r="N147" i="1" s="1"/>
  <c r="H138" i="1"/>
  <c r="Q138" i="1" s="1"/>
  <c r="H148" i="1"/>
  <c r="Q148" i="1" s="1"/>
  <c r="N163" i="1"/>
  <c r="H150" i="1"/>
  <c r="Q150" i="1" s="1"/>
  <c r="P160" i="1"/>
  <c r="P162" i="1" s="1"/>
  <c r="P167" i="1"/>
  <c r="O174" i="1"/>
  <c r="O182" i="1" s="1"/>
  <c r="M181" i="1"/>
  <c r="L183" i="1"/>
  <c r="P186" i="1"/>
  <c r="M191" i="1"/>
  <c r="O191" i="1"/>
  <c r="O197" i="1" s="1"/>
  <c r="P190" i="1"/>
  <c r="P191" i="1" s="1"/>
  <c r="L196" i="1"/>
  <c r="P104" i="1"/>
  <c r="P107" i="1" s="1"/>
  <c r="O147" i="1"/>
  <c r="L139" i="1"/>
  <c r="N182" i="1"/>
  <c r="L129" i="1"/>
  <c r="L130" i="1" s="1"/>
  <c r="M130" i="1"/>
  <c r="L108" i="1"/>
  <c r="L111" i="1" s="1"/>
  <c r="M114" i="1"/>
  <c r="L112" i="1"/>
  <c r="L114" i="1" s="1"/>
  <c r="L132" i="1"/>
  <c r="P152" i="1"/>
  <c r="Q152" i="1"/>
  <c r="P154" i="1"/>
  <c r="Q154" i="1"/>
  <c r="M159" i="1"/>
  <c r="L156" i="1"/>
  <c r="L159" i="1" s="1"/>
  <c r="P164" i="1"/>
  <c r="Q164" i="1"/>
  <c r="P166" i="1"/>
  <c r="Q166" i="1"/>
  <c r="P169" i="1"/>
  <c r="Q169" i="1"/>
  <c r="P175" i="1"/>
  <c r="Q175" i="1"/>
  <c r="P177" i="1"/>
  <c r="Q177" i="1"/>
  <c r="M146" i="1"/>
  <c r="L144" i="1"/>
  <c r="L146" i="1" s="1"/>
  <c r="M151" i="1"/>
  <c r="L148" i="1"/>
  <c r="L161" i="1"/>
  <c r="L162" i="1" s="1"/>
  <c r="M162" i="1"/>
  <c r="P170" i="1"/>
  <c r="Q170" i="1"/>
  <c r="P172" i="1"/>
  <c r="Q172" i="1"/>
  <c r="Q102" i="1"/>
  <c r="M107" i="1"/>
  <c r="M119" i="1"/>
  <c r="Q140" i="1"/>
  <c r="Q144" i="1"/>
  <c r="Q146" i="1" s="1"/>
  <c r="M100" i="1"/>
  <c r="O115" i="1"/>
  <c r="M102" i="1"/>
  <c r="L102" i="1" s="1"/>
  <c r="Q108" i="1"/>
  <c r="Q111" i="1" s="1"/>
  <c r="Q112" i="1"/>
  <c r="Q114" i="1" s="1"/>
  <c r="Q120" i="1"/>
  <c r="Q122" i="1"/>
  <c r="P124" i="1"/>
  <c r="P127" i="1" s="1"/>
  <c r="Q132" i="1"/>
  <c r="Q134" i="1"/>
  <c r="P138" i="1"/>
  <c r="M140" i="1"/>
  <c r="Q142" i="1"/>
  <c r="O163" i="1"/>
  <c r="Q186" i="1"/>
  <c r="Q100" i="1"/>
  <c r="M152" i="1"/>
  <c r="M154" i="1"/>
  <c r="L154" i="1" s="1"/>
  <c r="P158" i="1"/>
  <c r="M164" i="1"/>
  <c r="M166" i="1"/>
  <c r="L166" i="1" s="1"/>
  <c r="M169" i="1"/>
  <c r="M170" i="1"/>
  <c r="L170" i="1" s="1"/>
  <c r="M172" i="1"/>
  <c r="L172" i="1" s="1"/>
  <c r="M175" i="1"/>
  <c r="Q179" i="1"/>
  <c r="Q181" i="1" s="1"/>
  <c r="Q189" i="1"/>
  <c r="Q191" i="1" s="1"/>
  <c r="Q194" i="1"/>
  <c r="Q196" i="1" s="1"/>
  <c r="M196" i="1"/>
  <c r="M197" i="1" s="1"/>
  <c r="L179" i="1"/>
  <c r="L181" i="1" s="1"/>
  <c r="Q123" i="1" l="1"/>
  <c r="P115" i="1"/>
  <c r="N131" i="1"/>
  <c r="Q104" i="3"/>
  <c r="P148" i="1"/>
  <c r="T98" i="3"/>
  <c r="T97" i="3" s="1"/>
  <c r="U108" i="3"/>
  <c r="V108" i="3"/>
  <c r="U74" i="3"/>
  <c r="U73" i="3" s="1"/>
  <c r="T74" i="3"/>
  <c r="T73" i="3" s="1"/>
  <c r="T64" i="3"/>
  <c r="T63" i="3" s="1"/>
  <c r="N220" i="3"/>
  <c r="N223" i="3"/>
  <c r="V63" i="3"/>
  <c r="U57" i="3"/>
  <c r="U56" i="3" s="1"/>
  <c r="V204" i="3"/>
  <c r="V208" i="3" s="1"/>
  <c r="O182" i="3"/>
  <c r="U49" i="3"/>
  <c r="U48" i="3" s="1"/>
  <c r="N182" i="3"/>
  <c r="V25" i="3"/>
  <c r="T12" i="3"/>
  <c r="N212" i="3"/>
  <c r="T48" i="3"/>
  <c r="T155" i="3"/>
  <c r="Q231" i="3"/>
  <c r="Q240" i="3" s="1"/>
  <c r="V12" i="3"/>
  <c r="O222" i="3"/>
  <c r="N233" i="3"/>
  <c r="O237" i="3"/>
  <c r="N232" i="3"/>
  <c r="N237" i="3" s="1"/>
  <c r="O239" i="3"/>
  <c r="N154" i="3"/>
  <c r="U84" i="3"/>
  <c r="U83" i="3" s="1"/>
  <c r="T84" i="3"/>
  <c r="T83" i="3" s="1"/>
  <c r="T237" i="3"/>
  <c r="T240" i="3" s="1"/>
  <c r="U26" i="3"/>
  <c r="U25" i="3" s="1"/>
  <c r="N118" i="3"/>
  <c r="N119" i="3" s="1"/>
  <c r="N120" i="3"/>
  <c r="O126" i="3"/>
  <c r="U98" i="3"/>
  <c r="U34" i="3"/>
  <c r="U33" i="3" s="1"/>
  <c r="U63" i="3"/>
  <c r="U41" i="3"/>
  <c r="U40" i="3" s="1"/>
  <c r="Q134" i="3"/>
  <c r="Q155" i="3"/>
  <c r="L135" i="1"/>
  <c r="U91" i="3"/>
  <c r="U90" i="3" s="1"/>
  <c r="T57" i="3"/>
  <c r="T56" i="3" s="1"/>
  <c r="T26" i="3"/>
  <c r="T25" i="3" s="1"/>
  <c r="T41" i="3"/>
  <c r="T40" i="3" s="1"/>
  <c r="T91" i="3"/>
  <c r="T90" i="3" s="1"/>
  <c r="T34" i="3"/>
  <c r="T33" i="3" s="1"/>
  <c r="N252" i="3"/>
  <c r="U252" i="3" s="1"/>
  <c r="O254" i="3"/>
  <c r="N254" i="3" s="1"/>
  <c r="N262" i="3" s="1"/>
  <c r="Q262" i="3"/>
  <c r="O180" i="3"/>
  <c r="O203" i="3"/>
  <c r="O194" i="3"/>
  <c r="Q194" i="3"/>
  <c r="Q203" i="3"/>
  <c r="T203" i="3"/>
  <c r="T211" i="3" s="1"/>
  <c r="N239" i="3"/>
  <c r="U194" i="3"/>
  <c r="N193" i="3"/>
  <c r="U20" i="3"/>
  <c r="N195" i="3"/>
  <c r="N144" i="3"/>
  <c r="N184" i="3"/>
  <c r="T174" i="3"/>
  <c r="T183" i="3" s="1"/>
  <c r="V120" i="3"/>
  <c r="V126" i="3" s="1"/>
  <c r="N204" i="3"/>
  <c r="N208" i="3" s="1"/>
  <c r="N202" i="3"/>
  <c r="N149" i="3"/>
  <c r="N168" i="3"/>
  <c r="V168" i="3"/>
  <c r="N135" i="3"/>
  <c r="V135" i="3"/>
  <c r="V143" i="3" s="1"/>
  <c r="N133" i="3"/>
  <c r="O174" i="3"/>
  <c r="N175" i="3"/>
  <c r="N180" i="3" s="1"/>
  <c r="V184" i="3"/>
  <c r="O143" i="3"/>
  <c r="Q183" i="3"/>
  <c r="N173" i="3"/>
  <c r="N159" i="3"/>
  <c r="N167" i="3" s="1"/>
  <c r="Q143" i="3"/>
  <c r="T150" i="3"/>
  <c r="N142" i="3"/>
  <c r="O119" i="3"/>
  <c r="N151" i="3"/>
  <c r="N127" i="3"/>
  <c r="N131" i="3" s="1"/>
  <c r="T143" i="3"/>
  <c r="L151" i="1"/>
  <c r="O150" i="3"/>
  <c r="V173" i="3"/>
  <c r="U97" i="3"/>
  <c r="O155" i="3"/>
  <c r="P118" i="1"/>
  <c r="O131" i="1"/>
  <c r="T20" i="3"/>
  <c r="O131" i="3"/>
  <c r="T119" i="3"/>
  <c r="T134" i="3" s="1"/>
  <c r="V193" i="3"/>
  <c r="V56" i="3"/>
  <c r="U174" i="3"/>
  <c r="V232" i="3"/>
  <c r="V237" i="3" s="1"/>
  <c r="U237" i="3"/>
  <c r="V224" i="3"/>
  <c r="V220" i="3"/>
  <c r="U220" i="3"/>
  <c r="V202" i="3"/>
  <c r="U202" i="3"/>
  <c r="V175" i="3"/>
  <c r="V180" i="3" s="1"/>
  <c r="U175" i="3"/>
  <c r="U180" i="3" s="1"/>
  <c r="V159" i="3"/>
  <c r="U159" i="3"/>
  <c r="V149" i="3"/>
  <c r="U149" i="3"/>
  <c r="V127" i="3"/>
  <c r="V131" i="3" s="1"/>
  <c r="U131" i="3"/>
  <c r="V118" i="3"/>
  <c r="U118" i="3"/>
  <c r="V229" i="3"/>
  <c r="U229" i="3"/>
  <c r="V223" i="3"/>
  <c r="U223" i="3"/>
  <c r="V212" i="3"/>
  <c r="U212" i="3"/>
  <c r="V195" i="3"/>
  <c r="U195" i="3"/>
  <c r="U203" i="3" s="1"/>
  <c r="V166" i="3"/>
  <c r="U166" i="3"/>
  <c r="V144" i="3"/>
  <c r="U144" i="3"/>
  <c r="L119" i="1"/>
  <c r="I202" i="1"/>
  <c r="Q139" i="1"/>
  <c r="P156" i="1"/>
  <c r="P136" i="1"/>
  <c r="L120" i="1"/>
  <c r="L123" i="1" s="1"/>
  <c r="P197" i="1"/>
  <c r="P159" i="1"/>
  <c r="P139" i="1"/>
  <c r="P147" i="1" s="1"/>
  <c r="Q135" i="1"/>
  <c r="Q143" i="1"/>
  <c r="Q116" i="1"/>
  <c r="Q119" i="1" s="1"/>
  <c r="Q131" i="1" s="1"/>
  <c r="P116" i="1"/>
  <c r="P150" i="1"/>
  <c r="P151" i="1" s="1"/>
  <c r="M135" i="1"/>
  <c r="L191" i="1"/>
  <c r="L197" i="1" s="1"/>
  <c r="Q151" i="1"/>
  <c r="L169" i="1"/>
  <c r="L174" i="1" s="1"/>
  <c r="M174" i="1"/>
  <c r="M155" i="1"/>
  <c r="M163" i="1" s="1"/>
  <c r="L163" i="1" s="1"/>
  <c r="L152" i="1"/>
  <c r="L155" i="1" s="1"/>
  <c r="M178" i="1"/>
  <c r="L175" i="1"/>
  <c r="L178" i="1" s="1"/>
  <c r="M103" i="1"/>
  <c r="M115" i="1" s="1"/>
  <c r="L115" i="1" s="1"/>
  <c r="L100" i="1"/>
  <c r="L103" i="1" s="1"/>
  <c r="Q103" i="1"/>
  <c r="Q115" i="1" s="1"/>
  <c r="M131" i="1"/>
  <c r="Q178" i="1"/>
  <c r="Q174" i="1"/>
  <c r="Q168" i="1"/>
  <c r="Q155" i="1"/>
  <c r="Q163" i="1" s="1"/>
  <c r="L164" i="1"/>
  <c r="L168" i="1" s="1"/>
  <c r="M168" i="1"/>
  <c r="M143" i="1"/>
  <c r="L140" i="1"/>
  <c r="L143" i="1" s="1"/>
  <c r="Q197" i="1"/>
  <c r="P178" i="1"/>
  <c r="P174" i="1"/>
  <c r="P168" i="1"/>
  <c r="P155" i="1"/>
  <c r="P119" i="1" l="1"/>
  <c r="P131" i="1" s="1"/>
  <c r="V203" i="3"/>
  <c r="O134" i="3"/>
  <c r="N134" i="3" s="1"/>
  <c r="W33" i="3"/>
  <c r="U254" i="3"/>
  <c r="U262" i="3" s="1"/>
  <c r="V252" i="3"/>
  <c r="V254" i="3" s="1"/>
  <c r="V262" i="3" s="1"/>
  <c r="N126" i="3"/>
  <c r="N222" i="3"/>
  <c r="M147" i="1"/>
  <c r="L147" i="1" s="1"/>
  <c r="Q211" i="3"/>
  <c r="N155" i="3"/>
  <c r="Q158" i="3"/>
  <c r="O183" i="3"/>
  <c r="N183" i="3" s="1"/>
  <c r="O262" i="3"/>
  <c r="N194" i="3"/>
  <c r="N203" i="3"/>
  <c r="V222" i="3"/>
  <c r="V21" i="3"/>
  <c r="V20" i="3" s="1"/>
  <c r="V194" i="3"/>
  <c r="O158" i="3"/>
  <c r="N150" i="3"/>
  <c r="N174" i="3"/>
  <c r="N143" i="3"/>
  <c r="V174" i="3"/>
  <c r="T158" i="3"/>
  <c r="L131" i="1"/>
  <c r="V119" i="3"/>
  <c r="V134" i="3" s="1"/>
  <c r="V150" i="3"/>
  <c r="V158" i="3" s="1"/>
  <c r="U167" i="3"/>
  <c r="U183" i="3" s="1"/>
  <c r="U119" i="3"/>
  <c r="U134" i="3" s="1"/>
  <c r="U150" i="3"/>
  <c r="U158" i="3" s="1"/>
  <c r="U222" i="3"/>
  <c r="V167" i="3"/>
  <c r="Q147" i="1"/>
  <c r="P163" i="1"/>
  <c r="P182" i="1"/>
  <c r="L182" i="1"/>
  <c r="Q182" i="1"/>
  <c r="M182" i="1"/>
  <c r="N158" i="3" l="1"/>
  <c r="V183" i="3"/>
  <c r="L26" i="1"/>
  <c r="M41" i="1"/>
  <c r="M40" i="1"/>
  <c r="M39" i="1"/>
  <c r="M33" i="1"/>
  <c r="M32" i="1"/>
  <c r="M26" i="1"/>
  <c r="M25" i="1"/>
  <c r="M24" i="1"/>
  <c r="M18" i="1"/>
  <c r="N92" i="1"/>
  <c r="N91" i="1"/>
  <c r="M92" i="1"/>
  <c r="M91" i="1"/>
  <c r="L92" i="1"/>
  <c r="L91" i="1"/>
  <c r="N85" i="1"/>
  <c r="N86" i="1"/>
  <c r="N87" i="1"/>
  <c r="N84" i="1"/>
  <c r="M85" i="1"/>
  <c r="M84" i="1"/>
  <c r="L85" i="1"/>
  <c r="L84" i="1"/>
  <c r="N78" i="1"/>
  <c r="N77" i="1"/>
  <c r="M78" i="1"/>
  <c r="M77" i="1"/>
  <c r="L78" i="1"/>
  <c r="L79" i="1"/>
  <c r="L80" i="1"/>
  <c r="L81" i="1"/>
  <c r="L77" i="1"/>
  <c r="N70" i="1"/>
  <c r="N71" i="1"/>
  <c r="N69" i="1"/>
  <c r="M70" i="1"/>
  <c r="M71" i="1"/>
  <c r="M69" i="1"/>
  <c r="L70" i="1"/>
  <c r="L71" i="1"/>
  <c r="L69" i="1"/>
  <c r="N62" i="1"/>
  <c r="N63" i="1"/>
  <c r="N61" i="1"/>
  <c r="M62" i="1"/>
  <c r="M63" i="1"/>
  <c r="M61" i="1"/>
  <c r="L62" i="1"/>
  <c r="L63" i="1"/>
  <c r="L61" i="1"/>
  <c r="N55" i="1"/>
  <c r="N54" i="1"/>
  <c r="M55" i="1"/>
  <c r="M54" i="1"/>
  <c r="L55" i="1"/>
  <c r="L54" i="1"/>
  <c r="N48" i="1"/>
  <c r="M48" i="1"/>
  <c r="L48" i="1"/>
  <c r="N47" i="1"/>
  <c r="M47" i="1"/>
  <c r="L47" i="1"/>
  <c r="N44" i="1"/>
  <c r="N40" i="1"/>
  <c r="N41" i="1"/>
  <c r="N39" i="1"/>
  <c r="L40" i="1"/>
  <c r="L41" i="1"/>
  <c r="L39" i="1"/>
  <c r="N36" i="1"/>
  <c r="N33" i="1"/>
  <c r="N32" i="1"/>
  <c r="L32" i="1"/>
  <c r="N25" i="1"/>
  <c r="N26" i="1"/>
  <c r="L25" i="1"/>
  <c r="L24" i="1"/>
  <c r="N76" i="1" l="1"/>
  <c r="N46" i="1"/>
  <c r="N83" i="1"/>
  <c r="N53" i="1"/>
  <c r="M38" i="1"/>
  <c r="M23" i="1"/>
  <c r="M68" i="1"/>
  <c r="M31" i="1"/>
  <c r="M53" i="1"/>
  <c r="N38" i="1"/>
  <c r="N37" i="1" s="1"/>
  <c r="M60" i="1"/>
  <c r="N90" i="1"/>
  <c r="M46" i="1"/>
  <c r="N68" i="1"/>
  <c r="M76" i="1"/>
  <c r="M90" i="1"/>
  <c r="M83" i="1"/>
  <c r="N60" i="1"/>
  <c r="N31" i="1"/>
  <c r="N30" i="1" s="1"/>
  <c r="N24" i="1" l="1"/>
  <c r="N23" i="1" s="1"/>
  <c r="O25" i="1"/>
  <c r="P25" i="1" s="1"/>
  <c r="Q25" i="1" s="1"/>
  <c r="M17" i="1"/>
  <c r="L90" i="1"/>
  <c r="L83" i="1"/>
  <c r="O83" i="1" s="1"/>
  <c r="P83" i="1" s="1"/>
  <c r="Q83" i="1" s="1"/>
  <c r="L76" i="1"/>
  <c r="L75" i="1" s="1"/>
  <c r="N18" i="1"/>
  <c r="N17" i="1" s="1"/>
  <c r="O77" i="1"/>
  <c r="P77" i="1" s="1"/>
  <c r="Q77" i="1" s="1"/>
  <c r="O78" i="1"/>
  <c r="P78" i="1" s="1"/>
  <c r="Q78" i="1" s="1"/>
  <c r="O84" i="1"/>
  <c r="P84" i="1" s="1"/>
  <c r="Q84" i="1" s="1"/>
  <c r="O85" i="1"/>
  <c r="P85" i="1" s="1"/>
  <c r="Q85" i="1" s="1"/>
  <c r="O90" i="1"/>
  <c r="P90" i="1" s="1"/>
  <c r="Q90" i="1" s="1"/>
  <c r="O91" i="1"/>
  <c r="P91" i="1" s="1"/>
  <c r="Q91" i="1" s="1"/>
  <c r="O92" i="1"/>
  <c r="P92" i="1" s="1"/>
  <c r="Q92" i="1" s="1"/>
  <c r="N12" i="1"/>
  <c r="N13" i="1"/>
  <c r="N14" i="1"/>
  <c r="N15" i="1"/>
  <c r="N19" i="1"/>
  <c r="N20" i="1"/>
  <c r="N21" i="1"/>
  <c r="N27" i="1"/>
  <c r="N28" i="1"/>
  <c r="N29" i="1"/>
  <c r="N34" i="1"/>
  <c r="N35" i="1"/>
  <c r="N42" i="1"/>
  <c r="N43" i="1"/>
  <c r="N49" i="1"/>
  <c r="N50" i="1"/>
  <c r="N51" i="1"/>
  <c r="N45" i="1" s="1"/>
  <c r="N56" i="1"/>
  <c r="N57" i="1"/>
  <c r="N58" i="1"/>
  <c r="N52" i="1" s="1"/>
  <c r="N64" i="1"/>
  <c r="N65" i="1"/>
  <c r="N66" i="1"/>
  <c r="N59" i="1" s="1"/>
  <c r="N72" i="1"/>
  <c r="N73" i="1"/>
  <c r="N74" i="1"/>
  <c r="N67" i="1" s="1"/>
  <c r="N79" i="1"/>
  <c r="N80" i="1"/>
  <c r="N81" i="1"/>
  <c r="N75" i="1" s="1"/>
  <c r="N88" i="1"/>
  <c r="N82" i="1" s="1"/>
  <c r="N93" i="1"/>
  <c r="N94" i="1"/>
  <c r="N95" i="1"/>
  <c r="N89" i="1" s="1"/>
  <c r="N11" i="1"/>
  <c r="M12" i="1"/>
  <c r="M13" i="1"/>
  <c r="M14" i="1"/>
  <c r="M15" i="1"/>
  <c r="M19" i="1"/>
  <c r="M20" i="1"/>
  <c r="M21" i="1"/>
  <c r="M27" i="1"/>
  <c r="M28" i="1"/>
  <c r="M29" i="1"/>
  <c r="M34" i="1"/>
  <c r="M35" i="1"/>
  <c r="M36" i="1"/>
  <c r="M30" i="1" s="1"/>
  <c r="M42" i="1"/>
  <c r="M43" i="1"/>
  <c r="M44" i="1"/>
  <c r="M37" i="1" s="1"/>
  <c r="M49" i="1"/>
  <c r="M50" i="1"/>
  <c r="M51" i="1"/>
  <c r="M45" i="1" s="1"/>
  <c r="M56" i="1"/>
  <c r="M57" i="1"/>
  <c r="M58" i="1"/>
  <c r="M52" i="1" s="1"/>
  <c r="M64" i="1"/>
  <c r="M65" i="1"/>
  <c r="M66" i="1"/>
  <c r="M59" i="1" s="1"/>
  <c r="M72" i="1"/>
  <c r="M73" i="1"/>
  <c r="M74" i="1"/>
  <c r="M67" i="1" s="1"/>
  <c r="M79" i="1"/>
  <c r="O79" i="1" s="1"/>
  <c r="P79" i="1" s="1"/>
  <c r="Q79" i="1" s="1"/>
  <c r="M80" i="1"/>
  <c r="O80" i="1" s="1"/>
  <c r="P80" i="1" s="1"/>
  <c r="Q80" i="1" s="1"/>
  <c r="M81" i="1"/>
  <c r="M75" i="1" s="1"/>
  <c r="M86" i="1"/>
  <c r="M87" i="1"/>
  <c r="M88" i="1"/>
  <c r="M82" i="1" s="1"/>
  <c r="M93" i="1"/>
  <c r="M94" i="1"/>
  <c r="M95" i="1"/>
  <c r="M89" i="1" s="1"/>
  <c r="M11" i="1"/>
  <c r="L12" i="1"/>
  <c r="O12" i="1" s="1"/>
  <c r="P12" i="1" s="1"/>
  <c r="Q12" i="1" s="1"/>
  <c r="L13" i="1"/>
  <c r="O13" i="1" s="1"/>
  <c r="P13" i="1" s="1"/>
  <c r="Q13" i="1" s="1"/>
  <c r="L14" i="1"/>
  <c r="O14" i="1" s="1"/>
  <c r="P14" i="1" s="1"/>
  <c r="Q14" i="1" s="1"/>
  <c r="L15" i="1"/>
  <c r="L18" i="1"/>
  <c r="L17" i="1" s="1"/>
  <c r="L19" i="1"/>
  <c r="L20" i="1"/>
  <c r="L21" i="1"/>
  <c r="L27" i="1"/>
  <c r="L28" i="1"/>
  <c r="L29" i="1"/>
  <c r="L33" i="1"/>
  <c r="O33" i="1" s="1"/>
  <c r="P33" i="1" s="1"/>
  <c r="Q33" i="1" s="1"/>
  <c r="L34" i="1"/>
  <c r="O34" i="1" s="1"/>
  <c r="P34" i="1" s="1"/>
  <c r="Q34" i="1" s="1"/>
  <c r="L35" i="1"/>
  <c r="O35" i="1" s="1"/>
  <c r="P35" i="1" s="1"/>
  <c r="Q35" i="1" s="1"/>
  <c r="L36" i="1"/>
  <c r="O36" i="1" s="1"/>
  <c r="P36" i="1" s="1"/>
  <c r="Q36" i="1" s="1"/>
  <c r="L38" i="1"/>
  <c r="O40" i="1"/>
  <c r="P40" i="1" s="1"/>
  <c r="Q40" i="1" s="1"/>
  <c r="O41" i="1"/>
  <c r="P41" i="1" s="1"/>
  <c r="Q41" i="1" s="1"/>
  <c r="L42" i="1"/>
  <c r="O42" i="1" s="1"/>
  <c r="P42" i="1" s="1"/>
  <c r="Q42" i="1" s="1"/>
  <c r="L43" i="1"/>
  <c r="L44" i="1"/>
  <c r="L46" i="1"/>
  <c r="O48" i="1"/>
  <c r="P48" i="1" s="1"/>
  <c r="Q48" i="1" s="1"/>
  <c r="L49" i="1"/>
  <c r="L50" i="1"/>
  <c r="O50" i="1" s="1"/>
  <c r="P50" i="1" s="1"/>
  <c r="Q50" i="1" s="1"/>
  <c r="L51" i="1"/>
  <c r="L53" i="1"/>
  <c r="O55" i="1"/>
  <c r="P55" i="1" s="1"/>
  <c r="Q55" i="1" s="1"/>
  <c r="L56" i="1"/>
  <c r="L57" i="1"/>
  <c r="L58" i="1"/>
  <c r="O58" i="1" s="1"/>
  <c r="P58" i="1" s="1"/>
  <c r="Q58" i="1" s="1"/>
  <c r="O61" i="1"/>
  <c r="P61" i="1" s="1"/>
  <c r="Q61" i="1" s="1"/>
  <c r="O62" i="1"/>
  <c r="P62" i="1" s="1"/>
  <c r="Q62" i="1" s="1"/>
  <c r="O63" i="1"/>
  <c r="P63" i="1" s="1"/>
  <c r="Q63" i="1" s="1"/>
  <c r="L64" i="1"/>
  <c r="O64" i="1" s="1"/>
  <c r="P64" i="1" s="1"/>
  <c r="Q64" i="1" s="1"/>
  <c r="L65" i="1"/>
  <c r="L66" i="1"/>
  <c r="O66" i="1" s="1"/>
  <c r="P66" i="1" s="1"/>
  <c r="Q66" i="1" s="1"/>
  <c r="L68" i="1"/>
  <c r="O70" i="1"/>
  <c r="P70" i="1" s="1"/>
  <c r="Q70" i="1" s="1"/>
  <c r="O71" i="1"/>
  <c r="P71" i="1" s="1"/>
  <c r="Q71" i="1" s="1"/>
  <c r="L72" i="1"/>
  <c r="O72" i="1" s="1"/>
  <c r="P72" i="1" s="1"/>
  <c r="Q72" i="1" s="1"/>
  <c r="L73" i="1"/>
  <c r="L74" i="1"/>
  <c r="L86" i="1"/>
  <c r="L87" i="1"/>
  <c r="O87" i="1" s="1"/>
  <c r="P87" i="1" s="1"/>
  <c r="Q87" i="1" s="1"/>
  <c r="L88" i="1"/>
  <c r="O88" i="1" s="1"/>
  <c r="P88" i="1" s="1"/>
  <c r="Q88" i="1" s="1"/>
  <c r="L93" i="1"/>
  <c r="O93" i="1" s="1"/>
  <c r="P93" i="1" s="1"/>
  <c r="Q93" i="1" s="1"/>
  <c r="L94" i="1"/>
  <c r="L95" i="1"/>
  <c r="O95" i="1" s="1"/>
  <c r="P95" i="1" s="1"/>
  <c r="Q95" i="1" s="1"/>
  <c r="L11" i="1"/>
  <c r="O11" i="1" s="1"/>
  <c r="P11" i="1" s="1"/>
  <c r="Q11" i="1" s="1"/>
  <c r="O73" i="1" l="1"/>
  <c r="P73" i="1" s="1"/>
  <c r="Q73" i="1" s="1"/>
  <c r="O29" i="1"/>
  <c r="P29" i="1" s="1"/>
  <c r="Q29" i="1" s="1"/>
  <c r="O20" i="1"/>
  <c r="P20" i="1" s="1"/>
  <c r="Q20" i="1" s="1"/>
  <c r="O74" i="1"/>
  <c r="P74" i="1" s="1"/>
  <c r="Q74" i="1" s="1"/>
  <c r="O94" i="1"/>
  <c r="P94" i="1" s="1"/>
  <c r="Q94" i="1" s="1"/>
  <c r="O86" i="1"/>
  <c r="P86" i="1" s="1"/>
  <c r="Q86" i="1" s="1"/>
  <c r="O65" i="1"/>
  <c r="P65" i="1" s="1"/>
  <c r="Q65" i="1" s="1"/>
  <c r="O15" i="1"/>
  <c r="P15" i="1" s="1"/>
  <c r="Q15" i="1" s="1"/>
  <c r="O56" i="1"/>
  <c r="P56" i="1" s="1"/>
  <c r="Q56" i="1" s="1"/>
  <c r="O44" i="1"/>
  <c r="P44" i="1" s="1"/>
  <c r="Q44" i="1" s="1"/>
  <c r="O27" i="1"/>
  <c r="P27" i="1" s="1"/>
  <c r="Q27" i="1" s="1"/>
  <c r="L16" i="1"/>
  <c r="O57" i="1"/>
  <c r="P57" i="1" s="1"/>
  <c r="Q57" i="1" s="1"/>
  <c r="O51" i="1"/>
  <c r="P51" i="1" s="1"/>
  <c r="Q51" i="1" s="1"/>
  <c r="O49" i="1"/>
  <c r="P49" i="1" s="1"/>
  <c r="Q49" i="1" s="1"/>
  <c r="O43" i="1"/>
  <c r="P43" i="1" s="1"/>
  <c r="Q43" i="1" s="1"/>
  <c r="O28" i="1"/>
  <c r="P28" i="1" s="1"/>
  <c r="Q28" i="1" s="1"/>
  <c r="O21" i="1"/>
  <c r="P21" i="1" s="1"/>
  <c r="Q21" i="1" s="1"/>
  <c r="O19" i="1"/>
  <c r="P19" i="1" s="1"/>
  <c r="Q19" i="1" s="1"/>
  <c r="N16" i="1"/>
  <c r="M10" i="1"/>
  <c r="M9" i="1" s="1"/>
  <c r="N10" i="1"/>
  <c r="N9" i="1" s="1"/>
  <c r="O81" i="1"/>
  <c r="P81" i="1" s="1"/>
  <c r="Q81" i="1" s="1"/>
  <c r="O75" i="1"/>
  <c r="P75" i="1" s="1"/>
  <c r="Q75" i="1" s="1"/>
  <c r="L89" i="1"/>
  <c r="L31" i="1"/>
  <c r="L30" i="1" s="1"/>
  <c r="O30" i="1" s="1"/>
  <c r="P30" i="1" s="1"/>
  <c r="Q30" i="1" s="1"/>
  <c r="N22" i="1"/>
  <c r="O76" i="1"/>
  <c r="P76" i="1" s="1"/>
  <c r="Q76" i="1" s="1"/>
  <c r="L82" i="1"/>
  <c r="O82" i="1" s="1"/>
  <c r="P82" i="1" s="1"/>
  <c r="Q82" i="1" s="1"/>
  <c r="L67" i="1"/>
  <c r="O67" i="1" s="1"/>
  <c r="P67" i="1" s="1"/>
  <c r="Q67" i="1" s="1"/>
  <c r="O68" i="1"/>
  <c r="P68" i="1" s="1"/>
  <c r="Q68" i="1" s="1"/>
  <c r="L45" i="1"/>
  <c r="O45" i="1" s="1"/>
  <c r="P45" i="1" s="1"/>
  <c r="Q45" i="1" s="1"/>
  <c r="O46" i="1"/>
  <c r="P46" i="1" s="1"/>
  <c r="Q46" i="1" s="1"/>
  <c r="O38" i="1"/>
  <c r="O37" i="1" s="1"/>
  <c r="L37" i="1"/>
  <c r="L52" i="1"/>
  <c r="O52" i="1" s="1"/>
  <c r="P52" i="1" s="1"/>
  <c r="Q52" i="1" s="1"/>
  <c r="O53" i="1"/>
  <c r="P53" i="1" s="1"/>
  <c r="Q53" i="1" s="1"/>
  <c r="O31" i="1"/>
  <c r="P31" i="1" s="1"/>
  <c r="Q31" i="1" s="1"/>
  <c r="O69" i="1"/>
  <c r="P69" i="1" s="1"/>
  <c r="Q69" i="1" s="1"/>
  <c r="O39" i="1"/>
  <c r="P39" i="1" s="1"/>
  <c r="Q39" i="1" s="1"/>
  <c r="O32" i="1"/>
  <c r="P32" i="1" s="1"/>
  <c r="Q32" i="1" s="1"/>
  <c r="L10" i="1"/>
  <c r="L60" i="1"/>
  <c r="M16" i="1"/>
  <c r="O54" i="1"/>
  <c r="P54" i="1" s="1"/>
  <c r="Q54" i="1" s="1"/>
  <c r="O47" i="1"/>
  <c r="P47" i="1" s="1"/>
  <c r="Q47" i="1" s="1"/>
  <c r="M22" i="1"/>
  <c r="O24" i="1"/>
  <c r="P24" i="1" s="1"/>
  <c r="Q24" i="1" s="1"/>
  <c r="L23" i="1"/>
  <c r="L22" i="1" s="1"/>
  <c r="O26" i="1"/>
  <c r="P26" i="1" s="1"/>
  <c r="Q26" i="1" s="1"/>
  <c r="O23" i="1"/>
  <c r="P23" i="1" s="1"/>
  <c r="Q23" i="1" s="1"/>
  <c r="O17" i="1"/>
  <c r="P17" i="1" s="1"/>
  <c r="Q17" i="1" s="1"/>
  <c r="O89" i="1"/>
  <c r="P89" i="1" s="1"/>
  <c r="Q89" i="1" s="1"/>
  <c r="O18" i="1"/>
  <c r="P18" i="1" s="1"/>
  <c r="Q18" i="1" s="1"/>
  <c r="K12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11" i="1"/>
  <c r="O16" i="1" l="1"/>
  <c r="P16" i="1" s="1"/>
  <c r="Q16" i="1" s="1"/>
  <c r="P38" i="1"/>
  <c r="P37" i="1" s="1"/>
  <c r="O22" i="1"/>
  <c r="P22" i="1" s="1"/>
  <c r="Q22" i="1" s="1"/>
  <c r="L59" i="1"/>
  <c r="O59" i="1" s="1"/>
  <c r="P59" i="1" s="1"/>
  <c r="Q59" i="1" s="1"/>
  <c r="O60" i="1"/>
  <c r="P60" i="1" s="1"/>
  <c r="Q60" i="1" s="1"/>
  <c r="O10" i="1"/>
  <c r="P10" i="1" s="1"/>
  <c r="Q10" i="1" s="1"/>
  <c r="L9" i="1"/>
  <c r="O9" i="1" s="1"/>
  <c r="K23" i="1"/>
  <c r="Q38" i="1" l="1"/>
  <c r="Q37" i="1" s="1"/>
  <c r="P9" i="1"/>
  <c r="Q9" i="1"/>
  <c r="U210" i="3"/>
  <c r="U211" i="3" s="1"/>
  <c r="O210" i="3"/>
  <c r="O211" i="3" s="1"/>
  <c r="N211" i="3" l="1"/>
  <c r="N210" i="3"/>
  <c r="V210" i="3"/>
  <c r="V211" i="3" s="1"/>
  <c r="O231" i="3"/>
  <c r="O240" i="3" s="1"/>
  <c r="J230" i="3"/>
  <c r="U230" i="3" s="1"/>
  <c r="U231" i="3" s="1"/>
  <c r="U240" i="3" s="1"/>
  <c r="N230" i="3" l="1"/>
  <c r="V230" i="3"/>
  <c r="V231" i="3" s="1"/>
  <c r="V240" i="3" s="1"/>
  <c r="N231" i="3" l="1"/>
  <c r="N240" i="3" s="1"/>
  <c r="W39" i="6"/>
</calcChain>
</file>

<file path=xl/comments1.xml><?xml version="1.0" encoding="utf-8"?>
<comments xmlns="http://schemas.openxmlformats.org/spreadsheetml/2006/main">
  <authors>
    <author>Бецку</author>
  </authors>
  <commentList>
    <comment ref="N14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4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4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-0,35</t>
        </r>
      </text>
    </comment>
    <comment ref="N3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3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4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5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5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6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72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72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7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7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9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9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2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2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<sst xmlns="http://schemas.openxmlformats.org/spreadsheetml/2006/main" count="3488" uniqueCount="267">
  <si>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</si>
  <si>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</si>
  <si>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</si>
  <si>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</si>
  <si>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</si>
  <si>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</si>
  <si>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</si>
  <si>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</si>
  <si>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</si>
  <si>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</si>
  <si>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</si>
  <si>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</si>
  <si>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</si>
  <si>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</si>
  <si>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</si>
  <si>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</si>
  <si>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</si>
  <si>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</si>
  <si>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</si>
  <si>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</si>
  <si>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</si>
  <si>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</si>
  <si>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</si>
  <si>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</si>
  <si>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</si>
  <si>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</si>
  <si>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</si>
  <si>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</si>
  <si>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</si>
  <si>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</si>
  <si>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</si>
  <si>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</si>
  <si>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</si>
  <si>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</si>
  <si>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</si>
  <si>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</si>
  <si>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</si>
  <si>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</si>
  <si>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</si>
  <si>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</si>
  <si>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</si>
  <si>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</si>
  <si>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</si>
  <si>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</si>
  <si>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</si>
  <si>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</si>
  <si>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</si>
  <si>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</si>
  <si>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</si>
  <si>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</si>
  <si>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</si>
  <si>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</si>
  <si>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</si>
  <si>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</si>
  <si>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</si>
  <si>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</si>
  <si>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</si>
  <si>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</si>
  <si>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</si>
  <si>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</si>
  <si>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</si>
  <si>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</si>
  <si>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</si>
  <si>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</si>
  <si>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</si>
  <si>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</si>
  <si>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</si>
  <si>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</si>
  <si>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</si>
  <si>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</si>
  <si>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</si>
  <si>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</si>
  <si>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</si>
  <si>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</si>
  <si>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</si>
  <si>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</si>
  <si>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</si>
  <si>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</si>
  <si>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</si>
  <si>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</si>
  <si>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</si>
  <si>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</si>
  <si>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</si>
  <si>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</si>
  <si>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</si>
  <si>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</si>
  <si>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</si>
  <si>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</si>
  <si>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</si>
  <si>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</si>
  <si>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</si>
  <si>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</si>
  <si>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</si>
  <si>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</si>
  <si>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</si>
  <si>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</si>
  <si>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</si>
  <si>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</si>
  <si>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</si>
  <si>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</si>
  <si>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</si>
  <si>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</si>
  <si>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</si>
  <si>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</si>
  <si>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</si>
  <si>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</si>
  <si>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</si>
  <si>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</si>
  <si>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</si>
  <si>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</si>
  <si>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</si>
  <si>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</si>
  <si>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</si>
  <si>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</si>
  <si>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</si>
  <si>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</si>
  <si>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</si>
  <si>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</si>
  <si>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</si>
  <si>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</si>
  <si>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</si>
  <si>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</si>
  <si>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</si>
  <si>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</si>
  <si>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</si>
  <si>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</si>
  <si>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</si>
  <si>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</si>
  <si>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</si>
  <si>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</si>
  <si>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</si>
  <si>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</si>
  <si>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</si>
  <si>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</si>
  <si>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</si>
  <si>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</si>
  <si>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</si>
  <si>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</si>
  <si>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</si>
  <si>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</si>
  <si>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</si>
  <si>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</si>
  <si>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</si>
  <si>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</si>
  <si>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</si>
  <si>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</si>
  <si>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</si>
  <si>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</si>
  <si>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</si>
  <si>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</si>
  <si>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</si>
  <si>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</si>
  <si>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</si>
  <si>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</si>
  <si>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</si>
  <si>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</si>
  <si>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</si>
  <si>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</si>
  <si>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</si>
  <si>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</si>
  <si>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</si>
  <si>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</si>
  <si>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</si>
  <si>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</si>
  <si>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</si>
  <si>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</si>
  <si>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</si>
  <si>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</si>
  <si>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</si>
  <si>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</si>
  <si>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</si>
  <si>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</si>
  <si>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</si>
  <si>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</si>
  <si>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</si>
  <si>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</si>
  <si>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</si>
  <si>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</si>
  <si>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</si>
  <si>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</si>
  <si>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</si>
  <si>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</si>
  <si>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</si>
  <si>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</si>
  <si>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</si>
  <si>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</si>
  <si>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</si>
  <si>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</si>
  <si>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</si>
  <si>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</si>
  <si>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</si>
  <si>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</si>
  <si>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</si>
  <si>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</si>
  <si>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</si>
  <si>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</si>
  <si>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</si>
  <si>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</si>
  <si>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</si>
  <si>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</si>
  <si>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</si>
  <si>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</si>
  <si>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</si>
  <si>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</si>
  <si>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</si>
  <si>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</si>
  <si>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</si>
  <si>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</si>
  <si>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</si>
  <si>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</si>
  <si>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</si>
  <si>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</si>
  <si>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</si>
  <si>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</si>
  <si>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</si>
  <si>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</si>
  <si>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</si>
  <si>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</si>
  <si>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</si>
  <si>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</si>
  <si>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</si>
  <si>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</si>
  <si>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</si>
  <si>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</si>
  <si>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</si>
  <si>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</si>
  <si>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</si>
  <si>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</si>
  <si>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</si>
  <si>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</si>
  <si>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ВСЕГО</t>
  </si>
  <si>
    <t>Итого по учреждению:</t>
  </si>
  <si>
    <t>ВСЕГО:</t>
  </si>
  <si>
    <t>11433,94- на 1 человека</t>
  </si>
  <si>
    <t>4001,99*2,3654- на 1 человека</t>
  </si>
  <si>
    <t>ИТОГО</t>
  </si>
  <si>
    <t>к Приказу от 26.12.2018 г. №</t>
  </si>
  <si>
    <t>Бецку Александра Викторовна (39144)3-79-43</t>
  </si>
  <si>
    <t>Гайлит Светлана Геннадьевна (39144)3-79-43</t>
  </si>
  <si>
    <t xml:space="preserve"> договоров (штук)</t>
  </si>
  <si>
    <t>Повышение оплаты труда молодым специалистам</t>
  </si>
  <si>
    <t>Услуга 1</t>
  </si>
  <si>
    <t>Работа 1</t>
  </si>
  <si>
    <t>628912,16- на 1 класс+ 1342,39 на 1 человека</t>
  </si>
  <si>
    <t>993246,10- на 1 класс+ 1638,38 на 1 человека</t>
  </si>
  <si>
    <t>787313,28- на 1 класс+1638,38 на 1 человека</t>
  </si>
  <si>
    <t>841148,96 на 1 класс+1985,12 на 1 человека</t>
  </si>
  <si>
    <t>648495,11- на 1 класс+16978,85 на 1 человека</t>
  </si>
  <si>
    <t>48495,11- на 1 класс+ 1342,39- на 1 человека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</si>
  <si>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</si>
  <si>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</si>
  <si>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</si>
  <si>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</si>
  <si>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</si>
  <si>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</si>
  <si>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</si>
  <si>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804200О.99.0.ББ52А368000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</si>
  <si>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</si>
  <si>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</si>
  <si>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</si>
  <si>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</si>
  <si>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</si>
  <si>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</si>
  <si>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</si>
  <si>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</si>
  <si>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к Приказу от ______________ г. №</t>
  </si>
  <si>
    <t>26.12.2018 №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</si>
</sst>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0"/>
  </numFmts>
  <fonts count="20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257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4" fontId="2" fillId="6" borderId="4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vertical="top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4" fontId="1" fillId="0" borderId="4" xfId="0" applyNumberFormat="1" applyFont="1" applyFill="1" applyBorder="1"/>
    <xf numFmtId="0" fontId="2" fillId="0" borderId="4" xfId="0" applyFont="1" applyFill="1" applyBorder="1"/>
    <xf numFmtId="4" fontId="2" fillId="0" borderId="4" xfId="0" applyNumberFormat="1" applyFont="1" applyFill="1" applyBorder="1"/>
    <xf numFmtId="0" fontId="2" fillId="0" borderId="4" xfId="0" applyFont="1" applyFill="1" applyBorder="1" applyAlignment="1">
      <alignment horizontal="left" vertical="center"/>
    </xf>
    <xf numFmtId="4" fontId="17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4" fontId="1" fillId="0" borderId="3" xfId="0" applyNumberFormat="1" applyFont="1" applyFill="1" applyBorder="1"/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right"/>
    </xf>
    <xf numFmtId="2" fontId="1" fillId="0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right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 x14ac:dyDescent="0.2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 x14ac:dyDescent="0.2">
      <c r="A1" s="1"/>
      <c r="O1" s="3" t="s">
        <v>2</v>
      </c>
    </row>
    <row r="2" spans="1:19" ht="15" x14ac:dyDescent="0.2">
      <c r="O2" s="3" t="s">
        <v>153</v>
      </c>
    </row>
    <row r="3" spans="1:19" ht="18.75" x14ac:dyDescent="0.2">
      <c r="A3" s="220" t="s">
        <v>1</v>
      </c>
      <c r="B3" s="220"/>
      <c r="C3" s="221"/>
      <c r="D3" s="220"/>
      <c r="E3" s="220"/>
      <c r="F3" s="220"/>
      <c r="G3" s="220"/>
      <c r="H3" s="220"/>
      <c r="I3" s="221"/>
      <c r="J3" s="220"/>
      <c r="K3" s="220"/>
      <c r="L3" s="220"/>
      <c r="M3" s="220"/>
      <c r="N3" s="221"/>
      <c r="O3" s="220"/>
      <c r="P3" s="220"/>
      <c r="Q3" s="220"/>
    </row>
    <row r="4" spans="1:19" ht="36.75" customHeight="1" x14ac:dyDescent="0.3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 x14ac:dyDescent="0.2">
      <c r="A6" s="38" t="s">
        <v>3</v>
      </c>
      <c r="B6" s="38" t="s">
        <v>81</v>
      </c>
      <c r="C6" s="38" t="s">
        <v>152</v>
      </c>
      <c r="D6" s="38" t="s">
        <v>4</v>
      </c>
      <c r="E6" s="227" t="s">
        <v>5</v>
      </c>
      <c r="F6" s="227"/>
      <c r="G6" s="227"/>
      <c r="H6" s="218" t="s">
        <v>6</v>
      </c>
      <c r="I6" s="218"/>
      <c r="J6" s="218"/>
      <c r="K6" s="218"/>
      <c r="L6" s="218" t="s">
        <v>7</v>
      </c>
      <c r="M6" s="218"/>
      <c r="N6" s="218"/>
      <c r="O6" s="218"/>
      <c r="P6" s="218"/>
      <c r="Q6" s="218"/>
    </row>
    <row r="7" spans="1:19" ht="60" x14ac:dyDescent="0.25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219" t="s">
        <v>8</v>
      </c>
      <c r="M7" s="219"/>
      <c r="N7" s="219"/>
      <c r="O7" s="219"/>
      <c r="P7" s="40" t="s">
        <v>9</v>
      </c>
      <c r="Q7" s="40" t="s">
        <v>10</v>
      </c>
    </row>
    <row r="8" spans="1:19" ht="43.5" customHeight="1" x14ac:dyDescent="0.25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 x14ac:dyDescent="0.2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 x14ac:dyDescent="0.2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 x14ac:dyDescent="0.2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 x14ac:dyDescent="0.2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 x14ac:dyDescent="0.25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 x14ac:dyDescent="0.25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 x14ac:dyDescent="0.2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 x14ac:dyDescent="0.2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 x14ac:dyDescent="0.2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 x14ac:dyDescent="0.2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 x14ac:dyDescent="0.25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 x14ac:dyDescent="0.25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 x14ac:dyDescent="0.2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 x14ac:dyDescent="0.2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 x14ac:dyDescent="0.2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 x14ac:dyDescent="0.2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 x14ac:dyDescent="0.2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 x14ac:dyDescent="0.2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 x14ac:dyDescent="0.25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 x14ac:dyDescent="0.25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 x14ac:dyDescent="0.2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 x14ac:dyDescent="0.2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 x14ac:dyDescent="0.2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 x14ac:dyDescent="0.2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 x14ac:dyDescent="0.2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 x14ac:dyDescent="0.25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 x14ac:dyDescent="0.25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 x14ac:dyDescent="0.2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 x14ac:dyDescent="0.2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 x14ac:dyDescent="0.2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 x14ac:dyDescent="0.2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 x14ac:dyDescent="0.2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 x14ac:dyDescent="0.2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 x14ac:dyDescent="0.25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 x14ac:dyDescent="0.25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 x14ac:dyDescent="0.2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 x14ac:dyDescent="0.2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 x14ac:dyDescent="0.2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 x14ac:dyDescent="0.2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 x14ac:dyDescent="0.2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 x14ac:dyDescent="0.25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 x14ac:dyDescent="0.25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 x14ac:dyDescent="0.2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 x14ac:dyDescent="0.2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 x14ac:dyDescent="0.2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 x14ac:dyDescent="0.2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 x14ac:dyDescent="0.2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 x14ac:dyDescent="0.25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 x14ac:dyDescent="0.25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 x14ac:dyDescent="0.2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 x14ac:dyDescent="0.2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 x14ac:dyDescent="0.2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 x14ac:dyDescent="0.2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 x14ac:dyDescent="0.2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 x14ac:dyDescent="0.2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 x14ac:dyDescent="0.25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 x14ac:dyDescent="0.25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 x14ac:dyDescent="0.2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 x14ac:dyDescent="0.2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 x14ac:dyDescent="0.2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 x14ac:dyDescent="0.2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 x14ac:dyDescent="0.2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 x14ac:dyDescent="0.2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 x14ac:dyDescent="0.25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 x14ac:dyDescent="0.25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 x14ac:dyDescent="0.2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 x14ac:dyDescent="0.2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 x14ac:dyDescent="0.2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 x14ac:dyDescent="0.2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 x14ac:dyDescent="0.2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 x14ac:dyDescent="0.25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 x14ac:dyDescent="0.25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 x14ac:dyDescent="0.2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 x14ac:dyDescent="0.2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 x14ac:dyDescent="0.2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 x14ac:dyDescent="0.2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 x14ac:dyDescent="0.2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 x14ac:dyDescent="0.25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 x14ac:dyDescent="0.25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 x14ac:dyDescent="0.2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 x14ac:dyDescent="0.2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 x14ac:dyDescent="0.2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 x14ac:dyDescent="0.2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 x14ac:dyDescent="0.2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 x14ac:dyDescent="0.25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 x14ac:dyDescent="0.25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 x14ac:dyDescent="0.2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 x14ac:dyDescent="0.3">
      <c r="A96" s="216" t="s">
        <v>154</v>
      </c>
      <c r="B96" s="216"/>
      <c r="C96" s="216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 x14ac:dyDescent="0.2">
      <c r="A97" s="222" t="s">
        <v>3</v>
      </c>
      <c r="B97" s="222" t="s">
        <v>86</v>
      </c>
      <c r="C97" s="7" t="s">
        <v>87</v>
      </c>
      <c r="D97" s="222" t="s">
        <v>4</v>
      </c>
      <c r="E97" s="222" t="s">
        <v>5</v>
      </c>
      <c r="F97" s="222"/>
      <c r="G97" s="222"/>
      <c r="H97" s="222" t="s">
        <v>6</v>
      </c>
      <c r="I97" s="222"/>
      <c r="J97" s="222"/>
      <c r="K97" s="222"/>
      <c r="L97" s="222" t="s">
        <v>7</v>
      </c>
      <c r="M97" s="222"/>
      <c r="N97" s="222"/>
      <c r="O97" s="222"/>
      <c r="P97" s="222"/>
      <c r="Q97" s="222"/>
    </row>
    <row r="98" spans="1:17" ht="120" x14ac:dyDescent="0.2">
      <c r="A98" s="222"/>
      <c r="B98" s="222"/>
      <c r="C98" s="7"/>
      <c r="D98" s="222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60" x14ac:dyDescent="0.2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 x14ac:dyDescent="0.25">
      <c r="A100" s="217" t="s">
        <v>98</v>
      </c>
      <c r="B100" s="214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 x14ac:dyDescent="0.2">
      <c r="A101" s="217"/>
      <c r="B101" s="214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 x14ac:dyDescent="0.25">
      <c r="A102" s="217"/>
      <c r="B102" s="214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 x14ac:dyDescent="0.2">
      <c r="A103" s="217"/>
      <c r="B103" s="214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 x14ac:dyDescent="0.25">
      <c r="A104" s="217"/>
      <c r="B104" s="214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 x14ac:dyDescent="0.25">
      <c r="A105" s="217"/>
      <c r="B105" s="214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 x14ac:dyDescent="0.25">
      <c r="A106" s="217"/>
      <c r="B106" s="214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 x14ac:dyDescent="0.25">
      <c r="A107" s="217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 x14ac:dyDescent="0.25">
      <c r="A108" s="217"/>
      <c r="B108" s="214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 x14ac:dyDescent="0.25">
      <c r="A109" s="217"/>
      <c r="B109" s="214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 x14ac:dyDescent="0.25">
      <c r="A110" s="217"/>
      <c r="B110" s="214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 x14ac:dyDescent="0.25">
      <c r="A111" s="217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 x14ac:dyDescent="0.25">
      <c r="A112" s="217"/>
      <c r="B112" s="215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 x14ac:dyDescent="0.25">
      <c r="A113" s="217"/>
      <c r="B113" s="215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 x14ac:dyDescent="0.25">
      <c r="A114" s="217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 x14ac:dyDescent="0.2">
      <c r="A115" s="217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 x14ac:dyDescent="0.25">
      <c r="A116" s="217" t="s">
        <v>113</v>
      </c>
      <c r="B116" s="214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 x14ac:dyDescent="0.2">
      <c r="A117" s="217"/>
      <c r="B117" s="214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 x14ac:dyDescent="0.25">
      <c r="A118" s="217"/>
      <c r="B118" s="214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 x14ac:dyDescent="0.2">
      <c r="A119" s="217"/>
      <c r="B119" s="214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 x14ac:dyDescent="0.25">
      <c r="A120" s="217"/>
      <c r="B120" s="214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 x14ac:dyDescent="0.25">
      <c r="A121" s="217"/>
      <c r="B121" s="214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 x14ac:dyDescent="0.25">
      <c r="A122" s="217"/>
      <c r="B122" s="214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 x14ac:dyDescent="0.25">
      <c r="A123" s="217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 x14ac:dyDescent="0.25">
      <c r="A124" s="217"/>
      <c r="B124" s="214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 x14ac:dyDescent="0.25">
      <c r="A125" s="217"/>
      <c r="B125" s="214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 x14ac:dyDescent="0.25">
      <c r="A126" s="217"/>
      <c r="B126" s="214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 x14ac:dyDescent="0.25">
      <c r="A127" s="217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 x14ac:dyDescent="0.25">
      <c r="A128" s="217"/>
      <c r="B128" s="215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 x14ac:dyDescent="0.25">
      <c r="A129" s="217"/>
      <c r="B129" s="215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 x14ac:dyDescent="0.25">
      <c r="A130" s="217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 x14ac:dyDescent="0.2">
      <c r="A131" s="217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 x14ac:dyDescent="0.25">
      <c r="A132" s="217" t="s">
        <v>114</v>
      </c>
      <c r="B132" s="214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 x14ac:dyDescent="0.2">
      <c r="A133" s="217"/>
      <c r="B133" s="214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 x14ac:dyDescent="0.25">
      <c r="A134" s="217"/>
      <c r="B134" s="214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 x14ac:dyDescent="0.2">
      <c r="A135" s="217"/>
      <c r="B135" s="214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 x14ac:dyDescent="0.25">
      <c r="A136" s="217"/>
      <c r="B136" s="214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 x14ac:dyDescent="0.25">
      <c r="A137" s="217"/>
      <c r="B137" s="214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 x14ac:dyDescent="0.25">
      <c r="A138" s="217"/>
      <c r="B138" s="214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 x14ac:dyDescent="0.25">
      <c r="A139" s="217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 x14ac:dyDescent="0.25">
      <c r="A140" s="217"/>
      <c r="B140" s="214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 x14ac:dyDescent="0.25">
      <c r="A141" s="217"/>
      <c r="B141" s="214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 x14ac:dyDescent="0.25">
      <c r="A142" s="217"/>
      <c r="B142" s="214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 x14ac:dyDescent="0.25">
      <c r="A143" s="217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 x14ac:dyDescent="0.25">
      <c r="A144" s="217"/>
      <c r="B144" s="215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 x14ac:dyDescent="0.25">
      <c r="A145" s="217"/>
      <c r="B145" s="215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 x14ac:dyDescent="0.25">
      <c r="A146" s="217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 x14ac:dyDescent="0.2">
      <c r="A147" s="217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 x14ac:dyDescent="0.25">
      <c r="A148" s="217" t="s">
        <v>115</v>
      </c>
      <c r="B148" s="214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 x14ac:dyDescent="0.2">
      <c r="A149" s="217"/>
      <c r="B149" s="214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 x14ac:dyDescent="0.25">
      <c r="A150" s="217"/>
      <c r="B150" s="214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 x14ac:dyDescent="0.2">
      <c r="A151" s="217"/>
      <c r="B151" s="214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 x14ac:dyDescent="0.25">
      <c r="A152" s="217"/>
      <c r="B152" s="214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 x14ac:dyDescent="0.25">
      <c r="A153" s="217"/>
      <c r="B153" s="214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 x14ac:dyDescent="0.25">
      <c r="A154" s="217"/>
      <c r="B154" s="214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 x14ac:dyDescent="0.25">
      <c r="A155" s="217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 x14ac:dyDescent="0.25">
      <c r="A156" s="217"/>
      <c r="B156" s="214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 x14ac:dyDescent="0.25">
      <c r="A157" s="217"/>
      <c r="B157" s="214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 x14ac:dyDescent="0.25">
      <c r="A158" s="217"/>
      <c r="B158" s="214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 x14ac:dyDescent="0.25">
      <c r="A159" s="217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 x14ac:dyDescent="0.25">
      <c r="A160" s="217"/>
      <c r="B160" s="215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 x14ac:dyDescent="0.25">
      <c r="A161" s="217"/>
      <c r="B161" s="215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 x14ac:dyDescent="0.25">
      <c r="A162" s="217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 x14ac:dyDescent="0.2">
      <c r="A163" s="217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 x14ac:dyDescent="0.25">
      <c r="A164" s="217" t="s">
        <v>116</v>
      </c>
      <c r="B164" s="214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 x14ac:dyDescent="0.2">
      <c r="A165" s="217"/>
      <c r="B165" s="214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 x14ac:dyDescent="0.25">
      <c r="A166" s="217"/>
      <c r="B166" s="214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 x14ac:dyDescent="0.25">
      <c r="A167" s="217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 x14ac:dyDescent="0.2">
      <c r="A168" s="217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 x14ac:dyDescent="0.25">
      <c r="A169" s="217"/>
      <c r="B169" s="214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 x14ac:dyDescent="0.25">
      <c r="A170" s="217"/>
      <c r="B170" s="214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 x14ac:dyDescent="0.25">
      <c r="A171" s="217"/>
      <c r="B171" s="214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 x14ac:dyDescent="0.25">
      <c r="A172" s="217"/>
      <c r="B172" s="214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 x14ac:dyDescent="0.25">
      <c r="A173" s="217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 x14ac:dyDescent="0.25">
      <c r="A174" s="217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 x14ac:dyDescent="0.25">
      <c r="A175" s="217"/>
      <c r="B175" s="214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 x14ac:dyDescent="0.25">
      <c r="A176" s="217"/>
      <c r="B176" s="214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 x14ac:dyDescent="0.25">
      <c r="A177" s="217"/>
      <c r="B177" s="214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 x14ac:dyDescent="0.25">
      <c r="A178" s="217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 x14ac:dyDescent="0.25">
      <c r="A179" s="217"/>
      <c r="B179" s="215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 x14ac:dyDescent="0.25">
      <c r="A180" s="217"/>
      <c r="B180" s="215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 x14ac:dyDescent="0.25">
      <c r="A181" s="217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 x14ac:dyDescent="0.2">
      <c r="A182" s="217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 x14ac:dyDescent="0.25">
      <c r="A183" s="217" t="s">
        <v>119</v>
      </c>
      <c r="B183" s="214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 x14ac:dyDescent="0.25">
      <c r="A184" s="217"/>
      <c r="B184" s="214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 x14ac:dyDescent="0.2">
      <c r="A185" s="217"/>
      <c r="B185" s="214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 x14ac:dyDescent="0.2">
      <c r="A186" s="217"/>
      <c r="B186" s="214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 x14ac:dyDescent="0.25">
      <c r="A187" s="217"/>
      <c r="B187" s="214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 x14ac:dyDescent="0.25">
      <c r="A188" s="217"/>
      <c r="B188" s="214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 x14ac:dyDescent="0.25">
      <c r="A189" s="217"/>
      <c r="B189" s="214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 x14ac:dyDescent="0.25">
      <c r="A190" s="217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 x14ac:dyDescent="0.25">
      <c r="A191" s="217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 x14ac:dyDescent="0.25">
      <c r="A192" s="217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 x14ac:dyDescent="0.25">
      <c r="A193" s="217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 x14ac:dyDescent="0.25">
      <c r="A194" s="217"/>
      <c r="B194" s="215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 x14ac:dyDescent="0.25">
      <c r="A195" s="217"/>
      <c r="B195" s="215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 x14ac:dyDescent="0.25">
      <c r="A196" s="217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 x14ac:dyDescent="0.2">
      <c r="A197" s="217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 x14ac:dyDescent="0.25">
      <c r="A198" s="55" t="s">
        <v>156</v>
      </c>
    </row>
    <row r="199" spans="1:17" ht="30" x14ac:dyDescent="0.2">
      <c r="A199" s="43" t="s">
        <v>3</v>
      </c>
      <c r="B199" s="43" t="s">
        <v>81</v>
      </c>
      <c r="C199" s="43" t="s">
        <v>4</v>
      </c>
      <c r="D199" s="225" t="s">
        <v>5</v>
      </c>
      <c r="E199" s="225"/>
      <c r="F199" s="225"/>
      <c r="G199" s="226" t="s">
        <v>6</v>
      </c>
      <c r="H199" s="226" t="s">
        <v>7</v>
      </c>
      <c r="I199" s="226"/>
      <c r="J199" s="226"/>
    </row>
    <row r="200" spans="1:17" ht="15" x14ac:dyDescent="0.2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226"/>
      <c r="H200" s="50">
        <v>2016</v>
      </c>
      <c r="I200" s="50" t="s">
        <v>9</v>
      </c>
      <c r="J200" s="50" t="s">
        <v>10</v>
      </c>
    </row>
    <row r="201" spans="1:17" ht="75" x14ac:dyDescent="0.2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 x14ac:dyDescent="0.2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 x14ac:dyDescent="0.25">
      <c r="A203" s="223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 x14ac:dyDescent="0.25">
      <c r="A204" s="224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 x14ac:dyDescent="0.25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 x14ac:dyDescent="0.2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1"/>
  <sheetViews>
    <sheetView zoomScale="80" zoomScaleNormal="80" workbookViewId="0">
      <selection activeCell="T50" sqref="T50"/>
    </sheetView>
  </sheetViews>
  <sheetFormatPr defaultColWidth="9.140625" defaultRowHeight="15" x14ac:dyDescent="0.25"/>
  <cols>
    <col min="1" max="1" width="19.42578125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4.28515625" style="80" customWidth="1"/>
    <col min="21" max="21" width="14.140625" style="80" customWidth="1"/>
    <col min="22" max="22" width="14.85546875" style="80" bestFit="1" customWidth="1"/>
    <col min="23" max="23" width="15.28515625" style="80" customWidth="1"/>
    <col min="24" max="24" width="13.5703125" style="80" bestFit="1" customWidth="1"/>
    <col min="25" max="25" width="9.42578125" style="80" bestFit="1" customWidth="1"/>
    <col min="26" max="16384" width="9.140625" style="80"/>
  </cols>
  <sheetData>
    <row r="1" spans="1:24" x14ac:dyDescent="0.25">
      <c r="T1" s="117" t="s">
        <v>203</v>
      </c>
    </row>
    <row r="2" spans="1:24" x14ac:dyDescent="0.25">
      <c r="T2" s="117" t="s">
        <v>204</v>
      </c>
    </row>
    <row r="3" spans="1:24" x14ac:dyDescent="0.25">
      <c r="T3" s="117" t="s">
        <v>175</v>
      </c>
    </row>
    <row r="4" spans="1:24" x14ac:dyDescent="0.25">
      <c r="T4" s="117" t="s">
        <v>189</v>
      </c>
    </row>
    <row r="5" spans="1:24" x14ac:dyDescent="0.25">
      <c r="A5" s="236" t="s">
        <v>207</v>
      </c>
      <c r="B5" s="236"/>
      <c r="C5" s="237"/>
      <c r="D5" s="236"/>
      <c r="E5" s="236"/>
      <c r="F5" s="237"/>
      <c r="G5" s="237"/>
      <c r="H5" s="236"/>
      <c r="I5" s="236"/>
      <c r="J5" s="236"/>
      <c r="K5" s="237"/>
      <c r="L5" s="236"/>
      <c r="M5" s="236"/>
      <c r="N5" s="236"/>
      <c r="O5" s="236"/>
      <c r="P5" s="237"/>
      <c r="Q5" s="237"/>
      <c r="R5" s="237"/>
      <c r="S5" s="237"/>
      <c r="T5" s="236"/>
      <c r="U5" s="236"/>
      <c r="V5" s="236"/>
    </row>
    <row r="6" spans="1:24" ht="36.75" customHeight="1" x14ac:dyDescent="0.25">
      <c r="A6" s="81" t="s">
        <v>155</v>
      </c>
    </row>
    <row r="8" spans="1:24" ht="49.15" customHeight="1" x14ac:dyDescent="0.25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238" t="s">
        <v>6</v>
      </c>
      <c r="K8" s="239"/>
      <c r="L8" s="239"/>
      <c r="M8" s="240"/>
      <c r="N8" s="229" t="s">
        <v>7</v>
      </c>
      <c r="O8" s="229"/>
      <c r="P8" s="229"/>
      <c r="Q8" s="229"/>
      <c r="R8" s="229"/>
      <c r="S8" s="229"/>
      <c r="T8" s="229"/>
      <c r="U8" s="229"/>
      <c r="V8" s="229"/>
    </row>
    <row r="9" spans="1:24" x14ac:dyDescent="0.25">
      <c r="A9" s="109"/>
      <c r="B9" s="109"/>
      <c r="C9" s="109"/>
      <c r="D9" s="109"/>
      <c r="E9" s="243"/>
      <c r="F9" s="244"/>
      <c r="G9" s="245"/>
      <c r="H9" s="108"/>
      <c r="I9" s="108"/>
      <c r="J9" s="142"/>
      <c r="K9" s="142"/>
      <c r="L9" s="142"/>
      <c r="M9" s="142"/>
      <c r="N9" s="238"/>
      <c r="O9" s="248"/>
      <c r="P9" s="248"/>
      <c r="Q9" s="248"/>
      <c r="R9" s="248"/>
      <c r="S9" s="248"/>
      <c r="T9" s="249"/>
      <c r="U9" s="109"/>
      <c r="V9" s="109"/>
    </row>
    <row r="10" spans="1:24" ht="60" x14ac:dyDescent="0.25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241" t="s">
        <v>176</v>
      </c>
      <c r="O10" s="241"/>
      <c r="P10" s="241"/>
      <c r="Q10" s="241"/>
      <c r="R10" s="241"/>
      <c r="S10" s="241"/>
      <c r="T10" s="241"/>
      <c r="U10" s="154" t="s">
        <v>183</v>
      </c>
      <c r="V10" s="154" t="s">
        <v>205</v>
      </c>
    </row>
    <row r="11" spans="1:24" ht="63" customHeight="1" x14ac:dyDescent="0.25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 x14ac:dyDescent="0.25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82">
        <f>Q13+Q18</f>
        <v>5010790.0999999996</v>
      </c>
      <c r="R12" s="182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5.5" x14ac:dyDescent="0.25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 t="shared" ref="T13:V13" si="0">T14+T15+T17+T16</f>
        <v>11853729.280000001</v>
      </c>
      <c r="U13" s="75">
        <f>U14+U15+U17+U16</f>
        <v>11853729.279999999</v>
      </c>
      <c r="V13" s="75">
        <f t="shared" si="0"/>
        <v>11853729.279999999</v>
      </c>
      <c r="X13" s="85"/>
    </row>
    <row r="14" spans="1:24" ht="105" x14ac:dyDescent="0.25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 x14ac:dyDescent="0.25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105" x14ac:dyDescent="0.25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20" x14ac:dyDescent="0.25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 t="shared" ref="T17:T95" si="1">SUM(N17:Q17)</f>
        <v>0</v>
      </c>
      <c r="U17" s="75">
        <f t="shared" ref="U17:U95" si="2">H17*M17</f>
        <v>0</v>
      </c>
      <c r="V17" s="75">
        <f t="shared" ref="V17:V95" si="3">I17*M17</f>
        <v>0</v>
      </c>
      <c r="X17" s="85"/>
    </row>
    <row r="18" spans="1:24" x14ac:dyDescent="0.25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 t="shared" ref="N18" si="4">E18*J18</f>
        <v>0</v>
      </c>
      <c r="O18" s="75">
        <f t="shared" ref="O18" si="5"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 x14ac:dyDescent="0.25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 x14ac:dyDescent="0.25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6">J20+K20+L20</f>
        <v>0</v>
      </c>
      <c r="N20" s="78">
        <f>N21+N23</f>
        <v>2274393.33</v>
      </c>
      <c r="O20" s="78">
        <f t="shared" ref="O20:V20" si="7">O21+O23</f>
        <v>412851.11999999994</v>
      </c>
      <c r="P20" s="78"/>
      <c r="Q20" s="182">
        <f>Q21+Q23</f>
        <v>1396449.7</v>
      </c>
      <c r="R20" s="182"/>
      <c r="S20" s="78">
        <f>S19</f>
        <v>1494370.6800000002</v>
      </c>
      <c r="T20" s="78">
        <f t="shared" si="7"/>
        <v>4083694.15</v>
      </c>
      <c r="U20" s="78">
        <f t="shared" si="7"/>
        <v>4083694.15</v>
      </c>
      <c r="V20" s="78">
        <f t="shared" si="7"/>
        <v>4083694.15</v>
      </c>
    </row>
    <row r="21" spans="1:24" ht="85.5" x14ac:dyDescent="0.25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6"/>
        <v>0</v>
      </c>
      <c r="N21" s="75">
        <f t="shared" ref="N21:V21" si="8">SUM(N22:N22)</f>
        <v>2274393.33</v>
      </c>
      <c r="O21" s="75">
        <f>SUM(O22:O22)</f>
        <v>412851.11999999994</v>
      </c>
      <c r="P21" s="75"/>
      <c r="Q21" s="75">
        <f t="shared" si="8"/>
        <v>1050443.26</v>
      </c>
      <c r="R21" s="75"/>
      <c r="S21" s="75"/>
      <c r="T21" s="75">
        <f t="shared" si="8"/>
        <v>3737687.71</v>
      </c>
      <c r="U21" s="75">
        <f>SUM(U22:U22)</f>
        <v>3737687.71</v>
      </c>
      <c r="V21" s="75">
        <f t="shared" si="8"/>
        <v>3737687.71</v>
      </c>
    </row>
    <row r="22" spans="1:24" ht="105" x14ac:dyDescent="0.25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 x14ac:dyDescent="0.25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6"/>
        <v>10176.66</v>
      </c>
      <c r="N23" s="46">
        <f t="shared" ref="N23" si="9">E23*J23</f>
        <v>0</v>
      </c>
      <c r="O23" s="46">
        <f t="shared" ref="O23:O31" si="10">E23*K23</f>
        <v>0</v>
      </c>
      <c r="P23" s="46"/>
      <c r="Q23" s="46">
        <f>G23*L23</f>
        <v>346006.44</v>
      </c>
      <c r="R23" s="46"/>
      <c r="S23" s="75"/>
      <c r="T23" s="75">
        <f t="shared" si="1"/>
        <v>346006.44</v>
      </c>
      <c r="U23" s="75">
        <f>H23*M23</f>
        <v>346006.44</v>
      </c>
      <c r="V23" s="75">
        <f t="shared" si="3"/>
        <v>346006.44</v>
      </c>
    </row>
    <row r="24" spans="1:24" x14ac:dyDescent="0.25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 x14ac:dyDescent="0.25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6"/>
        <v>0</v>
      </c>
      <c r="N25" s="78">
        <f>N26+N31</f>
        <v>8172644.0499999998</v>
      </c>
      <c r="O25" s="78">
        <f>O26+O31</f>
        <v>1335694.8</v>
      </c>
      <c r="P25" s="78"/>
      <c r="Q25" s="182">
        <f>Q26+Q31</f>
        <v>4517925.5</v>
      </c>
      <c r="R25" s="182"/>
      <c r="S25" s="78">
        <f>S24</f>
        <v>416463.96</v>
      </c>
      <c r="T25" s="78">
        <f t="shared" ref="T25:V25" si="11">T26+T31</f>
        <v>14026264.35</v>
      </c>
      <c r="U25" s="78">
        <f t="shared" si="11"/>
        <v>14026264.349999998</v>
      </c>
      <c r="V25" s="78">
        <f t="shared" si="11"/>
        <v>14026264.349999998</v>
      </c>
    </row>
    <row r="26" spans="1:24" ht="85.5" x14ac:dyDescent="0.25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6"/>
        <v>0</v>
      </c>
      <c r="N26" s="75">
        <f>SUM(N27:N30)</f>
        <v>8172644.0499999998</v>
      </c>
      <c r="O26" s="75">
        <f t="shared" ref="O26:V26" si="12">SUM(O27:O30)</f>
        <v>1335694.8</v>
      </c>
      <c r="P26" s="75"/>
      <c r="Q26" s="75">
        <f t="shared" si="12"/>
        <v>3398492.9</v>
      </c>
      <c r="R26" s="75"/>
      <c r="S26" s="75"/>
      <c r="T26" s="75">
        <f t="shared" si="12"/>
        <v>12906831.75</v>
      </c>
      <c r="U26" s="75">
        <f t="shared" si="12"/>
        <v>12906831.749999998</v>
      </c>
      <c r="V26" s="75">
        <f t="shared" si="12"/>
        <v>12906831.749999998</v>
      </c>
    </row>
    <row r="27" spans="1:24" ht="105" x14ac:dyDescent="0.25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 t="shared" ref="G27:G29" si="13"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6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 t="shared" si="1"/>
        <v>0</v>
      </c>
      <c r="U27" s="75">
        <f t="shared" si="2"/>
        <v>0</v>
      </c>
      <c r="V27" s="75">
        <f t="shared" si="3"/>
        <v>0</v>
      </c>
    </row>
    <row r="28" spans="1:24" x14ac:dyDescent="0.25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 t="shared" si="13"/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6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 t="shared" si="1"/>
        <v>0</v>
      </c>
      <c r="U28" s="75">
        <f t="shared" si="2"/>
        <v>0</v>
      </c>
      <c r="V28" s="75">
        <f t="shared" si="3"/>
        <v>0</v>
      </c>
    </row>
    <row r="29" spans="1:24" ht="105" x14ac:dyDescent="0.25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 t="shared" si="13"/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6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 t="shared" si="1"/>
        <v>5368817.8499999996</v>
      </c>
      <c r="U29" s="75">
        <f t="shared" si="2"/>
        <v>5368817.8499999987</v>
      </c>
      <c r="V29" s="75">
        <f t="shared" si="3"/>
        <v>5368817.8499999987</v>
      </c>
    </row>
    <row r="30" spans="1:24" ht="120" x14ac:dyDescent="0.25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6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 t="shared" si="1"/>
        <v>7538013.9000000004</v>
      </c>
      <c r="U30" s="75">
        <f t="shared" si="2"/>
        <v>7538013.8999999994</v>
      </c>
      <c r="V30" s="75">
        <f t="shared" si="3"/>
        <v>7538013.8999999994</v>
      </c>
    </row>
    <row r="31" spans="1:24" x14ac:dyDescent="0.25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6"/>
        <v>10176.66</v>
      </c>
      <c r="N31" s="75">
        <f t="shared" ref="N31:N61" si="14">E31*J31</f>
        <v>0</v>
      </c>
      <c r="O31" s="75">
        <f t="shared" si="10"/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 t="shared" si="3"/>
        <v>1119432.6000000001</v>
      </c>
    </row>
    <row r="32" spans="1:24" x14ac:dyDescent="0.25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 x14ac:dyDescent="0.25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6"/>
        <v>0</v>
      </c>
      <c r="N33" s="78">
        <f>N34+N38</f>
        <v>4610681.3000000007</v>
      </c>
      <c r="O33" s="78">
        <f t="shared" ref="O33:V33" si="15">O34+O38</f>
        <v>1299266.76</v>
      </c>
      <c r="P33" s="78"/>
      <c r="Q33" s="182">
        <f t="shared" si="15"/>
        <v>4394709.3499999996</v>
      </c>
      <c r="R33" s="182"/>
      <c r="S33" s="78">
        <f>S32</f>
        <v>1347383.4000000001</v>
      </c>
      <c r="T33" s="78">
        <f t="shared" si="15"/>
        <v>10304657.409999998</v>
      </c>
      <c r="U33" s="78">
        <f>U34+U38</f>
        <v>10304657.409999998</v>
      </c>
      <c r="V33" s="78">
        <f t="shared" si="15"/>
        <v>10304657.409999998</v>
      </c>
      <c r="W33" s="85">
        <f>T33-U33</f>
        <v>0</v>
      </c>
    </row>
    <row r="34" spans="1:23" ht="85.5" x14ac:dyDescent="0.25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6"/>
        <v>0</v>
      </c>
      <c r="N34" s="75">
        <f>SUM(N35:N37)</f>
        <v>4610681.3000000007</v>
      </c>
      <c r="O34" s="75">
        <f t="shared" ref="O34:V34" si="16">SUM(O35:O37)</f>
        <v>1299266.76</v>
      </c>
      <c r="P34" s="75"/>
      <c r="Q34" s="75">
        <f t="shared" si="16"/>
        <v>3305806.73</v>
      </c>
      <c r="R34" s="75"/>
      <c r="S34" s="75"/>
      <c r="T34" s="75">
        <f t="shared" si="16"/>
        <v>9215754.7899999991</v>
      </c>
      <c r="U34" s="75">
        <f t="shared" si="16"/>
        <v>9215754.7899999991</v>
      </c>
      <c r="V34" s="75">
        <f t="shared" si="16"/>
        <v>9215754.7899999991</v>
      </c>
    </row>
    <row r="35" spans="1:23" ht="105" x14ac:dyDescent="0.25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 t="shared" ref="G35:G37" si="17"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6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 t="shared" si="1"/>
        <v>2154402.75</v>
      </c>
      <c r="U35" s="75">
        <f t="shared" si="2"/>
        <v>2154402.75</v>
      </c>
      <c r="V35" s="75">
        <f t="shared" si="3"/>
        <v>2154402.75</v>
      </c>
    </row>
    <row r="36" spans="1:23" x14ac:dyDescent="0.25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 t="shared" si="17"/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6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 t="shared" si="1"/>
        <v>2780504.6399999997</v>
      </c>
      <c r="U36" s="75">
        <f t="shared" si="2"/>
        <v>2780504.6399999997</v>
      </c>
      <c r="V36" s="75">
        <f t="shared" si="3"/>
        <v>2780504.6399999997</v>
      </c>
    </row>
    <row r="37" spans="1:23" ht="120" x14ac:dyDescent="0.25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 t="shared" si="17"/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6"/>
        <v>93061.9</v>
      </c>
      <c r="N37" s="75">
        <f t="shared" ref="N37:N38" si="18">G37*J37</f>
        <v>2301096.1800000002</v>
      </c>
      <c r="O37" s="75">
        <f t="shared" ref="O37:O38" si="19">G37*K37</f>
        <v>558563.28</v>
      </c>
      <c r="P37" s="75"/>
      <c r="Q37" s="75">
        <f>G37*L37</f>
        <v>1421187.94</v>
      </c>
      <c r="R37" s="75"/>
      <c r="S37" s="75"/>
      <c r="T37" s="75">
        <f t="shared" si="1"/>
        <v>4280847.4000000004</v>
      </c>
      <c r="U37" s="75">
        <f t="shared" si="2"/>
        <v>4280847.3999999994</v>
      </c>
      <c r="V37" s="75">
        <f t="shared" si="3"/>
        <v>4280847.3999999994</v>
      </c>
    </row>
    <row r="38" spans="1:23" x14ac:dyDescent="0.25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6"/>
        <v>10176.66</v>
      </c>
      <c r="N38" s="75">
        <f t="shared" si="18"/>
        <v>0</v>
      </c>
      <c r="O38" s="75">
        <f t="shared" si="19"/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 x14ac:dyDescent="0.25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 x14ac:dyDescent="0.25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6"/>
        <v>0</v>
      </c>
      <c r="N40" s="78">
        <f>N41+N46</f>
        <v>11659167.85</v>
      </c>
      <c r="O40" s="78">
        <f t="shared" ref="O40:V40" si="20">O41+O46</f>
        <v>2659246.92</v>
      </c>
      <c r="P40" s="78"/>
      <c r="Q40" s="182">
        <f t="shared" si="20"/>
        <v>8994778.9499999993</v>
      </c>
      <c r="R40" s="182"/>
      <c r="S40" s="78">
        <f>S39</f>
        <v>1310636.58</v>
      </c>
      <c r="T40" s="78">
        <f t="shared" si="20"/>
        <v>23313193.719999999</v>
      </c>
      <c r="U40" s="78">
        <f t="shared" si="20"/>
        <v>23313193.719999999</v>
      </c>
      <c r="V40" s="78">
        <f t="shared" si="20"/>
        <v>23313193.719999999</v>
      </c>
    </row>
    <row r="41" spans="1:23" ht="85.5" x14ac:dyDescent="0.25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6"/>
        <v>0</v>
      </c>
      <c r="N41" s="75">
        <f>SUM(N42:N45)</f>
        <v>11659167.85</v>
      </c>
      <c r="O41" s="75">
        <f t="shared" ref="O41:V41" si="21">SUM(O42:O45)</f>
        <v>2659246.92</v>
      </c>
      <c r="P41" s="75"/>
      <c r="Q41" s="75">
        <f t="shared" si="21"/>
        <v>6766090.4100000001</v>
      </c>
      <c r="R41" s="75"/>
      <c r="S41" s="75"/>
      <c r="T41" s="75">
        <f t="shared" si="21"/>
        <v>21084505.18</v>
      </c>
      <c r="U41" s="75">
        <f t="shared" si="21"/>
        <v>21084505.18</v>
      </c>
      <c r="V41" s="75">
        <f t="shared" si="21"/>
        <v>21084505.18</v>
      </c>
    </row>
    <row r="42" spans="1:23" ht="105" x14ac:dyDescent="0.25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 t="shared" ref="G42:G45" si="22"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6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 t="shared" si="1"/>
        <v>3791748.84</v>
      </c>
      <c r="U42" s="75">
        <f t="shared" si="2"/>
        <v>3791748.84</v>
      </c>
      <c r="V42" s="75">
        <f t="shared" si="3"/>
        <v>3791748.84</v>
      </c>
    </row>
    <row r="43" spans="1:23" x14ac:dyDescent="0.25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 t="shared" si="22"/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6"/>
        <v>77236.239999999991</v>
      </c>
      <c r="N43" s="75">
        <f t="shared" ref="N43:N46" si="23">G43*J43</f>
        <v>2599060.92</v>
      </c>
      <c r="O43" s="75">
        <f t="shared" ref="O43:O46" si="24">G43*K43</f>
        <v>922843.68</v>
      </c>
      <c r="P43" s="75"/>
      <c r="Q43" s="75">
        <f t="shared" ref="Q43:Q45" si="25">G43*L43</f>
        <v>2348049.64</v>
      </c>
      <c r="R43" s="75"/>
      <c r="S43" s="75"/>
      <c r="T43" s="75">
        <f t="shared" si="1"/>
        <v>5869954.2400000002</v>
      </c>
      <c r="U43" s="75">
        <f t="shared" si="2"/>
        <v>5869954.2399999993</v>
      </c>
      <c r="V43" s="75">
        <f t="shared" si="3"/>
        <v>5869954.2399999993</v>
      </c>
    </row>
    <row r="44" spans="1:23" ht="105" x14ac:dyDescent="0.25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 t="shared" si="22"/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6"/>
        <v>185131.64999999997</v>
      </c>
      <c r="N44" s="75">
        <f t="shared" si="23"/>
        <v>3410245.92</v>
      </c>
      <c r="O44" s="75">
        <f t="shared" si="24"/>
        <v>291424.32</v>
      </c>
      <c r="P44" s="75"/>
      <c r="Q44" s="75">
        <f t="shared" si="25"/>
        <v>741489.36</v>
      </c>
      <c r="R44" s="75"/>
      <c r="S44" s="75"/>
      <c r="T44" s="75">
        <f t="shared" si="1"/>
        <v>4443159.5999999996</v>
      </c>
      <c r="U44" s="75">
        <f t="shared" si="2"/>
        <v>4443159.5999999996</v>
      </c>
      <c r="V44" s="75">
        <f t="shared" si="3"/>
        <v>4443159.5999999996</v>
      </c>
    </row>
    <row r="45" spans="1:23" ht="120" x14ac:dyDescent="0.25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 t="shared" si="22"/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6"/>
        <v>93061.9</v>
      </c>
      <c r="N45" s="75">
        <f t="shared" si="23"/>
        <v>3751787.25</v>
      </c>
      <c r="O45" s="75">
        <f t="shared" si="24"/>
        <v>910701</v>
      </c>
      <c r="P45" s="75"/>
      <c r="Q45" s="75">
        <f t="shared" si="25"/>
        <v>2317154.25</v>
      </c>
      <c r="R45" s="75"/>
      <c r="S45" s="75"/>
      <c r="T45" s="75">
        <f t="shared" si="1"/>
        <v>6979642.5</v>
      </c>
      <c r="U45" s="75">
        <f t="shared" si="2"/>
        <v>6979642.5</v>
      </c>
      <c r="V45" s="75">
        <f t="shared" si="3"/>
        <v>6979642.5</v>
      </c>
    </row>
    <row r="46" spans="1:23" x14ac:dyDescent="0.25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 t="shared" ref="G46" si="26"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6"/>
        <v>10176.66</v>
      </c>
      <c r="N46" s="75">
        <f t="shared" si="23"/>
        <v>0</v>
      </c>
      <c r="O46" s="75">
        <f t="shared" si="24"/>
        <v>0</v>
      </c>
      <c r="P46" s="75"/>
      <c r="Q46" s="75">
        <f>G46*L46</f>
        <v>2228688.54</v>
      </c>
      <c r="R46" s="75"/>
      <c r="S46" s="75"/>
      <c r="T46" s="75">
        <f t="shared" si="1"/>
        <v>2228688.54</v>
      </c>
      <c r="U46" s="75">
        <f t="shared" si="2"/>
        <v>2228688.54</v>
      </c>
      <c r="V46" s="75">
        <f t="shared" si="3"/>
        <v>2228688.54</v>
      </c>
    </row>
    <row r="47" spans="1:23" x14ac:dyDescent="0.25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 x14ac:dyDescent="0.25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6"/>
        <v>0</v>
      </c>
      <c r="N48" s="78">
        <f>N49+N54</f>
        <v>4967010.3499999996</v>
      </c>
      <c r="O48" s="78">
        <f t="shared" ref="O48:V48" si="27">O49+O54</f>
        <v>1384265.52</v>
      </c>
      <c r="P48" s="78"/>
      <c r="Q48" s="182">
        <f>Q49+Q54</f>
        <v>4682213.7</v>
      </c>
      <c r="R48" s="182"/>
      <c r="S48" s="78">
        <f>S47</f>
        <v>2682517.8600000003</v>
      </c>
      <c r="T48" s="78">
        <f t="shared" si="27"/>
        <v>11033489.57</v>
      </c>
      <c r="U48" s="78">
        <f t="shared" si="27"/>
        <v>11033489.57</v>
      </c>
      <c r="V48" s="78">
        <f t="shared" si="27"/>
        <v>11033489.57</v>
      </c>
    </row>
    <row r="49" spans="1:22" ht="85.5" x14ac:dyDescent="0.25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6"/>
        <v>0</v>
      </c>
      <c r="N49" s="75">
        <f t="shared" ref="N49:V49" si="28">SUM(N50:N53)</f>
        <v>4967010.3499999996</v>
      </c>
      <c r="O49" s="75">
        <f t="shared" si="28"/>
        <v>1384265.52</v>
      </c>
      <c r="P49" s="75"/>
      <c r="Q49" s="75">
        <f t="shared" si="28"/>
        <v>3522074.46</v>
      </c>
      <c r="R49" s="75"/>
      <c r="S49" s="75"/>
      <c r="T49" s="75">
        <f t="shared" si="28"/>
        <v>9873350.3300000001</v>
      </c>
      <c r="U49" s="75">
        <f t="shared" si="28"/>
        <v>9873350.3300000001</v>
      </c>
      <c r="V49" s="75">
        <f t="shared" si="28"/>
        <v>9873350.3300000001</v>
      </c>
    </row>
    <row r="50" spans="1:22" ht="105" x14ac:dyDescent="0.25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 t="shared" ref="G50:G53" si="29"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6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 t="shared" si="1"/>
        <v>2671459.41</v>
      </c>
      <c r="U50" s="75">
        <f t="shared" si="2"/>
        <v>2671459.41</v>
      </c>
      <c r="V50" s="75">
        <f t="shared" si="3"/>
        <v>2671459.41</v>
      </c>
    </row>
    <row r="51" spans="1:22" x14ac:dyDescent="0.25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6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120" x14ac:dyDescent="0.25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20" x14ac:dyDescent="0.25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 t="shared" si="29"/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 t="shared" ref="M53" si="30">J53+K53+L53</f>
        <v>93061.9</v>
      </c>
      <c r="N53" s="75">
        <f t="shared" ref="N53:N54" si="31">G53*J53</f>
        <v>2501191.5</v>
      </c>
      <c r="O53" s="75">
        <f t="shared" ref="O53:O54" si="32">G53*K53</f>
        <v>607134</v>
      </c>
      <c r="P53" s="75"/>
      <c r="Q53" s="75">
        <f t="shared" ref="Q53:Q54" si="33">G53*L53</f>
        <v>1544769.5</v>
      </c>
      <c r="R53" s="75"/>
      <c r="S53" s="75"/>
      <c r="T53" s="75">
        <f t="shared" ref="T53" si="34">SUM(N53:Q53)</f>
        <v>4653095</v>
      </c>
      <c r="U53" s="75">
        <f t="shared" ref="U53" si="35">H53*M53</f>
        <v>4653095</v>
      </c>
      <c r="V53" s="75">
        <f t="shared" ref="V53" si="36">I53*M53</f>
        <v>4653095</v>
      </c>
    </row>
    <row r="54" spans="1:22" x14ac:dyDescent="0.25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6"/>
        <v>10176.66</v>
      </c>
      <c r="N54" s="75">
        <f t="shared" si="31"/>
        <v>0</v>
      </c>
      <c r="O54" s="75">
        <f t="shared" si="32"/>
        <v>0</v>
      </c>
      <c r="P54" s="75"/>
      <c r="Q54" s="75">
        <f t="shared" si="33"/>
        <v>1160139.24</v>
      </c>
      <c r="R54" s="75"/>
      <c r="S54" s="75"/>
      <c r="T54" s="75">
        <f t="shared" si="1"/>
        <v>1160139.24</v>
      </c>
      <c r="U54" s="75">
        <f t="shared" si="2"/>
        <v>1160139.24</v>
      </c>
      <c r="V54" s="75">
        <f t="shared" si="3"/>
        <v>1160139.24</v>
      </c>
    </row>
    <row r="55" spans="1:22" x14ac:dyDescent="0.25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 x14ac:dyDescent="0.25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6"/>
        <v>0</v>
      </c>
      <c r="N56" s="78">
        <f>N57+N61</f>
        <v>6619023.6899999995</v>
      </c>
      <c r="O56" s="78">
        <f t="shared" ref="O56:V56" si="37">O57+O61</f>
        <v>1954971.48</v>
      </c>
      <c r="P56" s="78"/>
      <c r="Q56" s="182">
        <f t="shared" si="37"/>
        <v>6612600.0499999998</v>
      </c>
      <c r="R56" s="182"/>
      <c r="S56" s="78">
        <f>S55</f>
        <v>1396379.1600000001</v>
      </c>
      <c r="T56" s="78">
        <f t="shared" si="37"/>
        <v>15186595.220000001</v>
      </c>
      <c r="U56" s="78">
        <f t="shared" si="37"/>
        <v>15186595.219999999</v>
      </c>
      <c r="V56" s="78">
        <f t="shared" si="37"/>
        <v>15186595.219999999</v>
      </c>
    </row>
    <row r="57" spans="1:22" ht="85.5" x14ac:dyDescent="0.25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6"/>
        <v>0</v>
      </c>
      <c r="N57" s="75">
        <f>SUM(N58:N60)</f>
        <v>6619023.6899999995</v>
      </c>
      <c r="O57" s="75">
        <f t="shared" ref="O57:T57" si="38">SUM(O58:O60)</f>
        <v>1954971.48</v>
      </c>
      <c r="P57" s="75"/>
      <c r="Q57" s="75">
        <f t="shared" si="38"/>
        <v>4974157.79</v>
      </c>
      <c r="R57" s="75"/>
      <c r="S57" s="75"/>
      <c r="T57" s="75">
        <f t="shared" si="38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105" x14ac:dyDescent="0.25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 t="shared" ref="G58:G60" si="39"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6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 t="shared" si="1"/>
        <v>3102339.96</v>
      </c>
      <c r="U58" s="75">
        <f t="shared" si="2"/>
        <v>3102339.96</v>
      </c>
      <c r="V58" s="75">
        <f t="shared" si="3"/>
        <v>3102339.96</v>
      </c>
    </row>
    <row r="59" spans="1:22" x14ac:dyDescent="0.25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 t="shared" si="39"/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6"/>
        <v>77236.239999999991</v>
      </c>
      <c r="N59" s="75">
        <f>G59*J59</f>
        <v>2564862.75</v>
      </c>
      <c r="O59" s="75">
        <f t="shared" ref="O59:O61" si="40">G59*K59</f>
        <v>910701</v>
      </c>
      <c r="P59" s="75"/>
      <c r="Q59" s="75">
        <f t="shared" ref="Q59:Q60" si="41">G59*L59</f>
        <v>2317154.25</v>
      </c>
      <c r="R59" s="75"/>
      <c r="S59" s="75"/>
      <c r="T59" s="75">
        <f t="shared" si="1"/>
        <v>5792718</v>
      </c>
      <c r="U59" s="75">
        <f t="shared" si="2"/>
        <v>5792717.9999999991</v>
      </c>
      <c r="V59" s="75">
        <f t="shared" si="3"/>
        <v>5792717.9999999991</v>
      </c>
    </row>
    <row r="60" spans="1:22" ht="120" x14ac:dyDescent="0.25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 t="shared" si="39"/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6"/>
        <v>93061.9</v>
      </c>
      <c r="N60" s="75">
        <f>G60*J60</f>
        <v>2501191.5</v>
      </c>
      <c r="O60" s="75">
        <f t="shared" si="40"/>
        <v>607134</v>
      </c>
      <c r="P60" s="75"/>
      <c r="Q60" s="75">
        <f t="shared" si="41"/>
        <v>1544769.5</v>
      </c>
      <c r="R60" s="75"/>
      <c r="S60" s="75"/>
      <c r="T60" s="75">
        <f t="shared" si="1"/>
        <v>4653095</v>
      </c>
      <c r="U60" s="75">
        <f t="shared" si="2"/>
        <v>4653095</v>
      </c>
      <c r="V60" s="75">
        <f t="shared" si="3"/>
        <v>4653095</v>
      </c>
    </row>
    <row r="61" spans="1:22" x14ac:dyDescent="0.25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 t="shared" ref="G61" si="42"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6"/>
        <v>10176.66</v>
      </c>
      <c r="N61" s="75">
        <f t="shared" si="14"/>
        <v>0</v>
      </c>
      <c r="O61" s="75">
        <f t="shared" si="40"/>
        <v>0</v>
      </c>
      <c r="P61" s="75"/>
      <c r="Q61" s="75">
        <f>G61*L61</f>
        <v>1638442.26</v>
      </c>
      <c r="R61" s="75"/>
      <c r="S61" s="75"/>
      <c r="T61" s="75">
        <f t="shared" si="1"/>
        <v>1638442.26</v>
      </c>
      <c r="U61" s="75">
        <f t="shared" si="2"/>
        <v>1638442.26</v>
      </c>
      <c r="V61" s="75">
        <f t="shared" si="3"/>
        <v>1638442.26</v>
      </c>
    </row>
    <row r="62" spans="1:22" x14ac:dyDescent="0.25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 x14ac:dyDescent="0.25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6"/>
        <v>0</v>
      </c>
      <c r="N63" s="78">
        <f t="shared" ref="N63:V63" si="43">N64+N71</f>
        <v>5077661.33</v>
      </c>
      <c r="O63" s="78">
        <f t="shared" si="43"/>
        <v>1384265.52</v>
      </c>
      <c r="P63" s="78"/>
      <c r="Q63" s="182">
        <f t="shared" si="43"/>
        <v>4682213.7</v>
      </c>
      <c r="R63" s="182"/>
      <c r="S63" s="78">
        <f>S62</f>
        <v>1972079.34</v>
      </c>
      <c r="T63" s="78">
        <f t="shared" si="43"/>
        <v>11144140.549999999</v>
      </c>
      <c r="U63" s="78">
        <f t="shared" si="43"/>
        <v>11144140.549999999</v>
      </c>
      <c r="V63" s="78">
        <f t="shared" si="43"/>
        <v>11144140.549999999</v>
      </c>
    </row>
    <row r="64" spans="1:22" ht="85.5" x14ac:dyDescent="0.25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6"/>
        <v>0</v>
      </c>
      <c r="N64" s="75">
        <f t="shared" ref="N64:V64" si="44">SUM(N65:N70)</f>
        <v>5077661.33</v>
      </c>
      <c r="O64" s="75">
        <f t="shared" si="44"/>
        <v>1384265.52</v>
      </c>
      <c r="P64" s="75"/>
      <c r="Q64" s="75">
        <f t="shared" si="44"/>
        <v>3522074.46</v>
      </c>
      <c r="R64" s="75"/>
      <c r="S64" s="75"/>
      <c r="T64" s="75">
        <f t="shared" si="44"/>
        <v>9984001.3099999987</v>
      </c>
      <c r="U64" s="75">
        <f t="shared" si="44"/>
        <v>9984001.3099999987</v>
      </c>
      <c r="V64" s="75">
        <f t="shared" si="44"/>
        <v>9984001.3099999987</v>
      </c>
    </row>
    <row r="65" spans="1:22" ht="105" x14ac:dyDescent="0.25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66" si="45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6"/>
        <v>86176.11</v>
      </c>
      <c r="N65" s="75">
        <f t="shared" ref="N65:N71" si="46">G65*J65</f>
        <v>1078451</v>
      </c>
      <c r="O65" s="75">
        <f>G65*K65</f>
        <v>303567</v>
      </c>
      <c r="P65" s="75"/>
      <c r="Q65" s="75">
        <f>G65*L65</f>
        <v>772384.75</v>
      </c>
      <c r="R65" s="75"/>
      <c r="S65" s="75"/>
      <c r="T65" s="75">
        <f t="shared" si="1"/>
        <v>2154402.75</v>
      </c>
      <c r="U65" s="75">
        <f t="shared" si="2"/>
        <v>2154402.75</v>
      </c>
      <c r="V65" s="75">
        <f t="shared" si="3"/>
        <v>2154402.75</v>
      </c>
    </row>
    <row r="66" spans="1:22" x14ac:dyDescent="0.25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45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6"/>
        <v>77236.239999999991</v>
      </c>
      <c r="N66" s="75">
        <f t="shared" si="46"/>
        <v>1333728.6299999999</v>
      </c>
      <c r="O66" s="75">
        <f t="shared" ref="O66:O71" si="47">G66*K66</f>
        <v>473564.52</v>
      </c>
      <c r="P66" s="75"/>
      <c r="Q66" s="75">
        <f t="shared" ref="Q66" si="48">G66*L66</f>
        <v>1204920.21</v>
      </c>
      <c r="R66" s="75"/>
      <c r="S66" s="75"/>
      <c r="T66" s="75">
        <f t="shared" si="1"/>
        <v>3012213.36</v>
      </c>
      <c r="U66" s="75">
        <f t="shared" si="2"/>
        <v>3012213.3599999994</v>
      </c>
      <c r="V66" s="75">
        <f t="shared" si="3"/>
        <v>3012213.3599999994</v>
      </c>
    </row>
    <row r="67" spans="1:22" ht="120" x14ac:dyDescent="0.25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>(E67*8+F67*4)/12</f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 t="shared" ref="M67" si="49">J67+K67+L67</f>
        <v>93061.9</v>
      </c>
      <c r="N67" s="75">
        <f>G67*J67</f>
        <v>2501191.5</v>
      </c>
      <c r="O67" s="75">
        <f>G67*K67</f>
        <v>607134</v>
      </c>
      <c r="P67" s="75"/>
      <c r="Q67" s="75">
        <f>G67*L67</f>
        <v>1544769.5</v>
      </c>
      <c r="R67" s="75"/>
      <c r="S67" s="75"/>
      <c r="T67" s="75">
        <f>SUM(N67:Q67)</f>
        <v>4653095</v>
      </c>
      <c r="U67" s="75">
        <f t="shared" ref="U67" si="50">H67*M67</f>
        <v>4653095</v>
      </c>
      <c r="V67" s="75">
        <f t="shared" ref="V67" si="51">I67*M67</f>
        <v>4653095</v>
      </c>
    </row>
    <row r="68" spans="1:22" ht="56.25" customHeight="1" x14ac:dyDescent="0.25">
      <c r="A68" s="83"/>
      <c r="B68" s="97" t="s">
        <v>180</v>
      </c>
      <c r="C68" s="250" t="s">
        <v>78</v>
      </c>
      <c r="D68" s="252" t="s">
        <v>20</v>
      </c>
      <c r="E68" s="87">
        <v>0</v>
      </c>
      <c r="F68" s="87">
        <v>0</v>
      </c>
      <c r="G68" s="87">
        <f>(E68*8+F68*4)/12</f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46"/>
        <v>0</v>
      </c>
      <c r="O68" s="75">
        <f>G68*K68</f>
        <v>0</v>
      </c>
      <c r="P68" s="75"/>
      <c r="Q68" s="75">
        <f>G68*L68</f>
        <v>0</v>
      </c>
      <c r="R68" s="75"/>
      <c r="S68" s="75"/>
      <c r="T68" s="75">
        <f>SUM(N68:Q68)</f>
        <v>0</v>
      </c>
      <c r="U68" s="75">
        <f>H68*M68</f>
        <v>0</v>
      </c>
      <c r="V68" s="75">
        <f>I68*M68</f>
        <v>0</v>
      </c>
    </row>
    <row r="69" spans="1:22" ht="21" customHeight="1" x14ac:dyDescent="0.25">
      <c r="A69" s="83"/>
      <c r="B69" s="97" t="s">
        <v>181</v>
      </c>
      <c r="C69" s="251"/>
      <c r="D69" s="253"/>
      <c r="E69" s="87">
        <v>39</v>
      </c>
      <c r="F69" s="87">
        <v>39</v>
      </c>
      <c r="G69" s="87">
        <f>(E69*8+F69*4)/12</f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>G69*K69</f>
        <v>0</v>
      </c>
      <c r="P69" s="75"/>
      <c r="Q69" s="75">
        <f>G69*L69</f>
        <v>0</v>
      </c>
      <c r="R69" s="75"/>
      <c r="S69" s="75"/>
      <c r="T69" s="75">
        <f>SUM(N69:Q69)</f>
        <v>60637.2</v>
      </c>
      <c r="U69" s="75">
        <f>H69*M69</f>
        <v>60637.2</v>
      </c>
      <c r="V69" s="75">
        <f>I69*M69</f>
        <v>60637.2</v>
      </c>
    </row>
    <row r="70" spans="1:22" ht="75" x14ac:dyDescent="0.25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>(E70*8+F70*4)/12</f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46"/>
        <v>103653</v>
      </c>
      <c r="O70" s="75">
        <f>G70*K70</f>
        <v>0</v>
      </c>
      <c r="P70" s="75"/>
      <c r="Q70" s="75">
        <f>G70*L70</f>
        <v>0</v>
      </c>
      <c r="R70" s="75"/>
      <c r="S70" s="75"/>
      <c r="T70" s="75">
        <f>SUM(N70:Q70)</f>
        <v>103653</v>
      </c>
      <c r="U70" s="75">
        <f>H70*M70</f>
        <v>103653</v>
      </c>
      <c r="V70" s="75">
        <f>I70*M70</f>
        <v>103653</v>
      </c>
    </row>
    <row r="71" spans="1:22" x14ac:dyDescent="0.25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>(E71*8+F71*4)/12</f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6"/>
        <v>10176.66</v>
      </c>
      <c r="N71" s="75">
        <f t="shared" si="46"/>
        <v>0</v>
      </c>
      <c r="O71" s="75">
        <f t="shared" si="47"/>
        <v>0</v>
      </c>
      <c r="P71" s="75"/>
      <c r="Q71" s="75">
        <f>G71*L71</f>
        <v>1160139.24</v>
      </c>
      <c r="R71" s="75"/>
      <c r="S71" s="75"/>
      <c r="T71" s="75">
        <f t="shared" si="1"/>
        <v>1160139.24</v>
      </c>
      <c r="U71" s="75">
        <f t="shared" si="2"/>
        <v>1160139.24</v>
      </c>
      <c r="V71" s="75">
        <f t="shared" si="3"/>
        <v>1160139.24</v>
      </c>
    </row>
    <row r="72" spans="1:22" x14ac:dyDescent="0.25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 x14ac:dyDescent="0.25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6"/>
        <v>0</v>
      </c>
      <c r="N73" s="78">
        <f t="shared" ref="N73:V73" si="52">N74+N81</f>
        <v>11094680.750000002</v>
      </c>
      <c r="O73" s="78">
        <f t="shared" si="52"/>
        <v>2732103</v>
      </c>
      <c r="P73" s="78"/>
      <c r="Q73" s="182">
        <f t="shared" si="52"/>
        <v>9241211.25</v>
      </c>
      <c r="R73" s="182"/>
      <c r="S73" s="78">
        <f>S72</f>
        <v>1396379.1600000001</v>
      </c>
      <c r="T73" s="78">
        <f t="shared" si="52"/>
        <v>23067995</v>
      </c>
      <c r="U73" s="78">
        <f t="shared" si="52"/>
        <v>23067995</v>
      </c>
      <c r="V73" s="78">
        <f t="shared" si="52"/>
        <v>23067995</v>
      </c>
    </row>
    <row r="74" spans="1:22" ht="85.5" x14ac:dyDescent="0.25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53">SUM(N75:N80)</f>
        <v>11094680.750000002</v>
      </c>
      <c r="O74" s="75">
        <f t="shared" si="53"/>
        <v>2732103</v>
      </c>
      <c r="P74" s="75"/>
      <c r="Q74" s="75">
        <f t="shared" si="53"/>
        <v>6951462.75</v>
      </c>
      <c r="R74" s="75"/>
      <c r="S74" s="75"/>
      <c r="T74" s="75">
        <f t="shared" si="53"/>
        <v>20778246.5</v>
      </c>
      <c r="U74" s="75">
        <f t="shared" si="53"/>
        <v>20778246.5</v>
      </c>
      <c r="V74" s="75">
        <f t="shared" si="53"/>
        <v>20778246.5</v>
      </c>
    </row>
    <row r="75" spans="1:22" ht="105" x14ac:dyDescent="0.25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54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6"/>
        <v>86176.11</v>
      </c>
      <c r="N75" s="75">
        <f>G75*J75</f>
        <v>3019662.8000000003</v>
      </c>
      <c r="O75" s="75">
        <f>G75*K75</f>
        <v>849987.6</v>
      </c>
      <c r="P75" s="75"/>
      <c r="Q75" s="75">
        <f>G75*L75</f>
        <v>2162677.2999999998</v>
      </c>
      <c r="R75" s="75"/>
      <c r="S75" s="75"/>
      <c r="T75" s="75">
        <f t="shared" si="1"/>
        <v>6032327.7000000002</v>
      </c>
      <c r="U75" s="75">
        <f t="shared" si="2"/>
        <v>6032327.7000000002</v>
      </c>
      <c r="V75" s="75">
        <f t="shared" si="3"/>
        <v>6032327.7000000002</v>
      </c>
    </row>
    <row r="76" spans="1:22" x14ac:dyDescent="0.25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54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>G76*J76</f>
        <v>0</v>
      </c>
      <c r="O76" s="75">
        <f t="shared" ref="O76:O81" si="55">G76*K76</f>
        <v>0</v>
      </c>
      <c r="P76" s="75"/>
      <c r="Q76" s="75">
        <f t="shared" ref="Q76:Q78" si="56">G76*L76</f>
        <v>0</v>
      </c>
      <c r="R76" s="75"/>
      <c r="S76" s="75"/>
      <c r="T76" s="75">
        <f t="shared" si="1"/>
        <v>0</v>
      </c>
      <c r="U76" s="75">
        <f t="shared" si="2"/>
        <v>0</v>
      </c>
      <c r="V76" s="75">
        <f t="shared" si="3"/>
        <v>0</v>
      </c>
    </row>
    <row r="77" spans="1:22" ht="120" x14ac:dyDescent="0.25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54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6"/>
        <v>93061.9</v>
      </c>
      <c r="N77" s="75">
        <f t="shared" ref="N77:N78" si="57">G77*J77</f>
        <v>7753693.6500000004</v>
      </c>
      <c r="O77" s="75">
        <f t="shared" si="55"/>
        <v>1882115.4000000001</v>
      </c>
      <c r="P77" s="75"/>
      <c r="Q77" s="75">
        <f t="shared" si="56"/>
        <v>4788785.45</v>
      </c>
      <c r="R77" s="75"/>
      <c r="S77" s="75"/>
      <c r="T77" s="75">
        <f t="shared" si="1"/>
        <v>14424594.5</v>
      </c>
      <c r="U77" s="75">
        <f t="shared" si="2"/>
        <v>14424594.5</v>
      </c>
      <c r="V77" s="75">
        <f t="shared" si="3"/>
        <v>14424594.5</v>
      </c>
    </row>
    <row r="78" spans="1:22" ht="75" x14ac:dyDescent="0.25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54"/>
        <v>0</v>
      </c>
      <c r="H78" s="87"/>
      <c r="I78" s="87"/>
      <c r="J78" s="75">
        <v>2073.06</v>
      </c>
      <c r="K78" s="75"/>
      <c r="L78" s="156"/>
      <c r="M78" s="75">
        <f t="shared" si="6"/>
        <v>2073.06</v>
      </c>
      <c r="N78" s="75">
        <f t="shared" si="57"/>
        <v>0</v>
      </c>
      <c r="O78" s="75">
        <f t="shared" si="55"/>
        <v>0</v>
      </c>
      <c r="P78" s="75"/>
      <c r="Q78" s="75">
        <f t="shared" si="56"/>
        <v>0</v>
      </c>
      <c r="R78" s="75"/>
      <c r="S78" s="75"/>
      <c r="T78" s="75">
        <f t="shared" si="1"/>
        <v>0</v>
      </c>
      <c r="U78" s="75">
        <f t="shared" si="2"/>
        <v>0</v>
      </c>
      <c r="V78" s="75">
        <f t="shared" si="3"/>
        <v>0</v>
      </c>
    </row>
    <row r="79" spans="1:22" x14ac:dyDescent="0.25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54"/>
        <v>0</v>
      </c>
      <c r="H79" s="87"/>
      <c r="I79" s="87"/>
      <c r="J79" s="75">
        <v>1554.8</v>
      </c>
      <c r="K79" s="75"/>
      <c r="L79" s="156"/>
      <c r="M79" s="75">
        <f t="shared" ref="M79:M80" si="58">J79+K79+L79</f>
        <v>1554.8</v>
      </c>
      <c r="N79" s="75">
        <f t="shared" ref="N79:N80" si="59">G79*J79</f>
        <v>0</v>
      </c>
      <c r="O79" s="75">
        <f t="shared" ref="O79:O80" si="60">G79*K79</f>
        <v>0</v>
      </c>
      <c r="P79" s="75"/>
      <c r="Q79" s="75">
        <f t="shared" ref="Q79:Q80" si="61">G79*L79</f>
        <v>0</v>
      </c>
      <c r="R79" s="75"/>
      <c r="S79" s="75"/>
      <c r="T79" s="75">
        <f t="shared" ref="T79:T80" si="62">SUM(N79:Q79)</f>
        <v>0</v>
      </c>
      <c r="U79" s="75">
        <f t="shared" ref="U79:U80" si="63">H79*M79</f>
        <v>0</v>
      </c>
      <c r="V79" s="75">
        <f t="shared" ref="V79:V80" si="64">I79*M79</f>
        <v>0</v>
      </c>
    </row>
    <row r="80" spans="1:22" ht="75" x14ac:dyDescent="0.25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54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 t="shared" si="58"/>
        <v>2073.06</v>
      </c>
      <c r="N80" s="75">
        <f t="shared" si="59"/>
        <v>321324.3</v>
      </c>
      <c r="O80" s="75">
        <f t="shared" si="60"/>
        <v>0</v>
      </c>
      <c r="P80" s="75"/>
      <c r="Q80" s="75">
        <f t="shared" si="61"/>
        <v>0</v>
      </c>
      <c r="R80" s="75"/>
      <c r="S80" s="75"/>
      <c r="T80" s="75">
        <f t="shared" si="62"/>
        <v>321324.3</v>
      </c>
      <c r="U80" s="75">
        <f t="shared" si="63"/>
        <v>321324.3</v>
      </c>
      <c r="V80" s="75">
        <f t="shared" si="64"/>
        <v>321324.3</v>
      </c>
    </row>
    <row r="81" spans="1:22" x14ac:dyDescent="0.25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6"/>
        <v>10176.66</v>
      </c>
      <c r="N81" s="75">
        <f>G81*J81</f>
        <v>0</v>
      </c>
      <c r="O81" s="75">
        <f t="shared" si="55"/>
        <v>0</v>
      </c>
      <c r="P81" s="75"/>
      <c r="Q81" s="75">
        <f>G81*L81</f>
        <v>2289748.5</v>
      </c>
      <c r="R81" s="75"/>
      <c r="S81" s="75"/>
      <c r="T81" s="75">
        <f t="shared" si="1"/>
        <v>2289748.5</v>
      </c>
      <c r="U81" s="75">
        <f t="shared" si="2"/>
        <v>2289748.5</v>
      </c>
      <c r="V81" s="75">
        <f t="shared" si="3"/>
        <v>2289748.5</v>
      </c>
    </row>
    <row r="82" spans="1:22" x14ac:dyDescent="0.25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 x14ac:dyDescent="0.25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6"/>
        <v>0</v>
      </c>
      <c r="N83" s="78">
        <f>N84+N88</f>
        <v>6224984.6600000001</v>
      </c>
      <c r="O83" s="78">
        <f t="shared" ref="O83:V83" si="65">O84+O88</f>
        <v>1699975.2000000002</v>
      </c>
      <c r="P83" s="78"/>
      <c r="Q83" s="182">
        <f t="shared" si="65"/>
        <v>5750087</v>
      </c>
      <c r="R83" s="182"/>
      <c r="S83" s="78">
        <f>S82</f>
        <v>2756011.5</v>
      </c>
      <c r="T83" s="78">
        <f t="shared" si="65"/>
        <v>13675046.860000001</v>
      </c>
      <c r="U83" s="78">
        <f t="shared" si="65"/>
        <v>13675046.860000001</v>
      </c>
      <c r="V83" s="78">
        <f t="shared" si="65"/>
        <v>13675046.860000001</v>
      </c>
    </row>
    <row r="84" spans="1:22" ht="85.5" x14ac:dyDescent="0.25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6"/>
        <v>0</v>
      </c>
      <c r="N84" s="75">
        <f>SUM(N85:N87)</f>
        <v>6224984.6600000001</v>
      </c>
      <c r="O84" s="75">
        <f t="shared" ref="O84:V84" si="66">SUM(O85:O87)</f>
        <v>1699975.2000000002</v>
      </c>
      <c r="P84" s="75"/>
      <c r="Q84" s="75">
        <f t="shared" si="66"/>
        <v>4325354.5999999996</v>
      </c>
      <c r="R84" s="75"/>
      <c r="S84" s="75"/>
      <c r="T84" s="75">
        <f t="shared" si="66"/>
        <v>12250314.460000001</v>
      </c>
      <c r="U84" s="75">
        <f t="shared" si="66"/>
        <v>12250314.460000001</v>
      </c>
      <c r="V84" s="75">
        <f t="shared" si="66"/>
        <v>12250314.460000001</v>
      </c>
    </row>
    <row r="85" spans="1:22" ht="105" x14ac:dyDescent="0.25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 t="shared" ref="G85:G88" si="67"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6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 t="shared" si="1"/>
        <v>2412931.08</v>
      </c>
      <c r="U85" s="75">
        <f t="shared" si="2"/>
        <v>2412931.08</v>
      </c>
      <c r="V85" s="75">
        <f t="shared" si="3"/>
        <v>2412931.08</v>
      </c>
    </row>
    <row r="86" spans="1:22" x14ac:dyDescent="0.25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 t="shared" si="67"/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6"/>
        <v>77236.239999999991</v>
      </c>
      <c r="N86" s="75">
        <f t="shared" ref="N86:N88" si="68">G86*J86</f>
        <v>1265332.29</v>
      </c>
      <c r="O86" s="75">
        <f t="shared" ref="O86:O88" si="69">G86*K86</f>
        <v>449279.16000000003</v>
      </c>
      <c r="P86" s="75"/>
      <c r="Q86" s="75">
        <f t="shared" ref="Q86:Q87" si="70">G86*L86</f>
        <v>1143129.43</v>
      </c>
      <c r="R86" s="75"/>
      <c r="S86" s="75"/>
      <c r="T86" s="75">
        <f t="shared" si="1"/>
        <v>2857740.88</v>
      </c>
      <c r="U86" s="75">
        <f t="shared" si="2"/>
        <v>2857740.88</v>
      </c>
      <c r="V86" s="75">
        <f t="shared" si="3"/>
        <v>2857740.88</v>
      </c>
    </row>
    <row r="87" spans="1:22" ht="120" x14ac:dyDescent="0.25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 t="shared" si="67"/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 t="shared" ref="M87" si="71">J87+K87+L87</f>
        <v>93061.9</v>
      </c>
      <c r="N87" s="75">
        <f t="shared" si="68"/>
        <v>3751787.25</v>
      </c>
      <c r="O87" s="75">
        <f t="shared" si="69"/>
        <v>910701</v>
      </c>
      <c r="P87" s="75"/>
      <c r="Q87" s="75">
        <f t="shared" si="70"/>
        <v>2317154.25</v>
      </c>
      <c r="R87" s="75"/>
      <c r="S87" s="75"/>
      <c r="T87" s="75">
        <f t="shared" ref="T87" si="72">SUM(N87:Q87)</f>
        <v>6979642.5</v>
      </c>
      <c r="U87" s="75">
        <f t="shared" ref="U87" si="73">H87*M87</f>
        <v>6979642.5</v>
      </c>
      <c r="V87" s="75">
        <f t="shared" ref="V87" si="74">I87*M87</f>
        <v>6979642.5</v>
      </c>
    </row>
    <row r="88" spans="1:22" x14ac:dyDescent="0.25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 t="shared" si="67"/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6"/>
        <v>10176.66</v>
      </c>
      <c r="N88" s="75">
        <f t="shared" si="68"/>
        <v>0</v>
      </c>
      <c r="O88" s="75">
        <f t="shared" si="69"/>
        <v>0</v>
      </c>
      <c r="P88" s="75"/>
      <c r="Q88" s="75">
        <f>G88*L88</f>
        <v>1424732.4</v>
      </c>
      <c r="R88" s="75"/>
      <c r="S88" s="75"/>
      <c r="T88" s="75">
        <f t="shared" si="1"/>
        <v>1424732.4</v>
      </c>
      <c r="U88" s="75">
        <f t="shared" si="2"/>
        <v>1424732.4</v>
      </c>
      <c r="V88" s="75">
        <f t="shared" si="3"/>
        <v>1424732.4</v>
      </c>
    </row>
    <row r="89" spans="1:22" x14ac:dyDescent="0.25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 x14ac:dyDescent="0.25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6"/>
        <v>0</v>
      </c>
      <c r="N90" s="78">
        <f>N91+N95</f>
        <v>5861980.0199999996</v>
      </c>
      <c r="O90" s="78">
        <f t="shared" ref="O90:V90" si="75">O91+O95</f>
        <v>1724260.56</v>
      </c>
      <c r="P90" s="78"/>
      <c r="Q90" s="182">
        <f t="shared" si="75"/>
        <v>5832231.0999999996</v>
      </c>
      <c r="R90" s="182"/>
      <c r="S90" s="78">
        <f>S89</f>
        <v>1714851.6</v>
      </c>
      <c r="T90" s="78">
        <f t="shared" si="75"/>
        <v>13418471.680000002</v>
      </c>
      <c r="U90" s="78">
        <f t="shared" si="75"/>
        <v>13418471.68</v>
      </c>
      <c r="V90" s="78">
        <f t="shared" si="75"/>
        <v>13418471.68</v>
      </c>
    </row>
    <row r="91" spans="1:22" ht="85.5" x14ac:dyDescent="0.25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6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76">SUM(Q92:Q94)</f>
        <v>4387145.38</v>
      </c>
      <c r="R91" s="75"/>
      <c r="S91" s="75"/>
      <c r="T91" s="75">
        <f t="shared" si="76"/>
        <v>11973385.960000001</v>
      </c>
      <c r="U91" s="75">
        <f t="shared" si="76"/>
        <v>11973385.959999999</v>
      </c>
      <c r="V91" s="75">
        <f t="shared" si="76"/>
        <v>11973385.959999999</v>
      </c>
    </row>
    <row r="92" spans="1:22" ht="105" x14ac:dyDescent="0.25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 t="shared" ref="G92:G95" si="77"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6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 t="shared" si="1"/>
        <v>2068226.6400000001</v>
      </c>
      <c r="U92" s="75">
        <f t="shared" si="2"/>
        <v>2068226.6400000001</v>
      </c>
      <c r="V92" s="75">
        <f t="shared" si="3"/>
        <v>2068226.6400000001</v>
      </c>
    </row>
    <row r="93" spans="1:22" x14ac:dyDescent="0.25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 t="shared" si="77"/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6"/>
        <v>77236.239999999991</v>
      </c>
      <c r="N93" s="75">
        <f t="shared" ref="N93:N95" si="78">G93*J93</f>
        <v>2325475.56</v>
      </c>
      <c r="O93" s="75">
        <f>G93*K93</f>
        <v>825702.24</v>
      </c>
      <c r="P93" s="75"/>
      <c r="Q93" s="75">
        <f t="shared" ref="Q93:Q94" si="79">G93*L93</f>
        <v>2100886.52</v>
      </c>
      <c r="R93" s="75"/>
      <c r="S93" s="75"/>
      <c r="T93" s="75">
        <f t="shared" si="1"/>
        <v>5252064.32</v>
      </c>
      <c r="U93" s="75">
        <f t="shared" si="2"/>
        <v>5252064.3199999994</v>
      </c>
      <c r="V93" s="75">
        <f t="shared" si="3"/>
        <v>5252064.3199999994</v>
      </c>
    </row>
    <row r="94" spans="1:22" ht="120" x14ac:dyDescent="0.25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 t="shared" si="77"/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6"/>
        <v>93061.9</v>
      </c>
      <c r="N94" s="75">
        <f t="shared" si="78"/>
        <v>2501191.5</v>
      </c>
      <c r="O94" s="75">
        <f>G94*K94</f>
        <v>607134</v>
      </c>
      <c r="P94" s="75"/>
      <c r="Q94" s="75">
        <f t="shared" si="79"/>
        <v>1544769.5</v>
      </c>
      <c r="R94" s="75"/>
      <c r="S94" s="75"/>
      <c r="T94" s="75">
        <f t="shared" si="1"/>
        <v>4653095</v>
      </c>
      <c r="U94" s="75">
        <f t="shared" si="2"/>
        <v>4653095</v>
      </c>
      <c r="V94" s="75">
        <f t="shared" si="3"/>
        <v>4653095</v>
      </c>
    </row>
    <row r="95" spans="1:22" x14ac:dyDescent="0.25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 t="shared" si="77"/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6"/>
        <v>10176.66</v>
      </c>
      <c r="N95" s="75">
        <f t="shared" si="78"/>
        <v>0</v>
      </c>
      <c r="O95" s="75">
        <f t="shared" ref="O95" si="80">G95*K95</f>
        <v>0</v>
      </c>
      <c r="P95" s="75"/>
      <c r="Q95" s="75">
        <f>G95*L95</f>
        <v>1445085.72</v>
      </c>
      <c r="R95" s="75"/>
      <c r="S95" s="75"/>
      <c r="T95" s="75">
        <f t="shared" si="1"/>
        <v>1445085.72</v>
      </c>
      <c r="U95" s="75">
        <f t="shared" si="2"/>
        <v>1445085.72</v>
      </c>
      <c r="V95" s="75">
        <f t="shared" si="3"/>
        <v>1445085.72</v>
      </c>
    </row>
    <row r="96" spans="1:22" x14ac:dyDescent="0.25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 ht="14.25" x14ac:dyDescent="0.2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6"/>
        <v>0</v>
      </c>
      <c r="N97" s="78">
        <f>N98+N102</f>
        <v>10839512.129999999</v>
      </c>
      <c r="O97" s="78">
        <f t="shared" ref="O97:V97" si="81">O98+O102</f>
        <v>2974956.6</v>
      </c>
      <c r="P97" s="78"/>
      <c r="Q97" s="182">
        <f t="shared" si="81"/>
        <v>9611389.5999999996</v>
      </c>
      <c r="R97" s="182"/>
      <c r="S97" s="78">
        <f>S96</f>
        <v>1739349.48</v>
      </c>
      <c r="T97" s="78">
        <f t="shared" si="81"/>
        <v>23425858.330000002</v>
      </c>
      <c r="U97" s="78">
        <f t="shared" si="81"/>
        <v>23425867.73</v>
      </c>
      <c r="V97" s="78">
        <f t="shared" si="81"/>
        <v>23425867.73</v>
      </c>
    </row>
    <row r="98" spans="1:22" ht="85.5" x14ac:dyDescent="0.25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 t="shared" ref="M98:M102" si="82">J98+K98+L98</f>
        <v>0</v>
      </c>
      <c r="N98" s="75">
        <f>SUM(N99:N101)</f>
        <v>10839512.129999999</v>
      </c>
      <c r="O98" s="75">
        <f t="shared" ref="O98:V98" si="83">SUM(O99:O101)</f>
        <v>2974956.6</v>
      </c>
      <c r="P98" s="75"/>
      <c r="Q98" s="75">
        <f t="shared" si="83"/>
        <v>7075462.7999999998</v>
      </c>
      <c r="R98" s="75"/>
      <c r="S98" s="75"/>
      <c r="T98" s="75">
        <f>SUM(T99:T101)</f>
        <v>20889931.530000001</v>
      </c>
      <c r="U98" s="75">
        <f t="shared" si="83"/>
        <v>20889931.530000001</v>
      </c>
      <c r="V98" s="75">
        <f t="shared" si="83"/>
        <v>20889931.530000001</v>
      </c>
    </row>
    <row r="99" spans="1:22" ht="105" x14ac:dyDescent="0.25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 t="shared" ref="G99:G102" si="84"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 t="shared" si="82"/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 t="shared" ref="T99:T102" si="85">SUM(N99:Q99)</f>
        <v>4544648.6399999997</v>
      </c>
      <c r="U99" s="75">
        <f t="shared" ref="U99:U102" si="86">H99*M99</f>
        <v>4544648.6400000006</v>
      </c>
      <c r="V99" s="75">
        <f t="shared" ref="V99:V102" si="87">I99*M99</f>
        <v>4544648.6400000006</v>
      </c>
    </row>
    <row r="100" spans="1:22" x14ac:dyDescent="0.25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 t="shared" si="84"/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 t="shared" si="82"/>
        <v>75220.289999999994</v>
      </c>
      <c r="N100" s="75">
        <f t="shared" ref="N100:N102" si="88">G100*J100</f>
        <v>2257079.2199999997</v>
      </c>
      <c r="O100" s="75">
        <f t="shared" ref="O100:O102" si="89">G100*K100</f>
        <v>801416.88</v>
      </c>
      <c r="P100" s="75"/>
      <c r="Q100" s="75">
        <f t="shared" ref="Q100:Q101" si="90">G100*L100</f>
        <v>1906043.0399999998</v>
      </c>
      <c r="R100" s="75"/>
      <c r="S100" s="75"/>
      <c r="T100" s="75">
        <f t="shared" si="85"/>
        <v>4964539.1399999997</v>
      </c>
      <c r="U100" s="75">
        <f t="shared" si="86"/>
        <v>4964539.1399999997</v>
      </c>
      <c r="V100" s="75">
        <f t="shared" si="87"/>
        <v>4964539.1399999997</v>
      </c>
    </row>
    <row r="101" spans="1:22" ht="120" x14ac:dyDescent="0.25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 t="shared" si="84"/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 t="shared" si="82"/>
        <v>91045.95</v>
      </c>
      <c r="N101" s="75">
        <f t="shared" si="88"/>
        <v>6252978.75</v>
      </c>
      <c r="O101" s="75">
        <f t="shared" si="89"/>
        <v>1517835</v>
      </c>
      <c r="P101" s="75"/>
      <c r="Q101" s="75">
        <f t="shared" si="90"/>
        <v>3609930</v>
      </c>
      <c r="R101" s="75"/>
      <c r="S101" s="75"/>
      <c r="T101" s="75">
        <f t="shared" si="85"/>
        <v>11380743.75</v>
      </c>
      <c r="U101" s="75">
        <f t="shared" si="86"/>
        <v>11380743.75</v>
      </c>
      <c r="V101" s="75">
        <f t="shared" si="87"/>
        <v>11380743.75</v>
      </c>
    </row>
    <row r="102" spans="1:22" x14ac:dyDescent="0.25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 t="shared" si="84"/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 t="shared" si="82"/>
        <v>10350.76</v>
      </c>
      <c r="N102" s="75">
        <f t="shared" si="88"/>
        <v>0</v>
      </c>
      <c r="O102" s="75">
        <f t="shared" si="89"/>
        <v>0</v>
      </c>
      <c r="P102" s="75"/>
      <c r="Q102" s="75">
        <f>G102*L102-9.4</f>
        <v>2535926.8000000003</v>
      </c>
      <c r="R102" s="75"/>
      <c r="S102" s="75"/>
      <c r="T102" s="75">
        <f t="shared" si="85"/>
        <v>2535926.8000000003</v>
      </c>
      <c r="U102" s="75">
        <f t="shared" si="86"/>
        <v>2535936.2000000002</v>
      </c>
      <c r="V102" s="75">
        <f t="shared" si="87"/>
        <v>2535936.2000000002</v>
      </c>
    </row>
    <row r="103" spans="1:22" x14ac:dyDescent="0.25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 x14ac:dyDescent="0.25">
      <c r="A104" s="242" t="s">
        <v>154</v>
      </c>
      <c r="B104" s="242"/>
      <c r="C104" s="242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30" x14ac:dyDescent="0.25">
      <c r="A105" s="246" t="s">
        <v>3</v>
      </c>
      <c r="B105" s="246" t="s">
        <v>86</v>
      </c>
      <c r="C105" s="114" t="s">
        <v>87</v>
      </c>
      <c r="D105" s="246" t="s">
        <v>4</v>
      </c>
      <c r="E105" s="247" t="s">
        <v>5</v>
      </c>
      <c r="F105" s="247"/>
      <c r="G105" s="247"/>
      <c r="H105" s="247"/>
      <c r="I105" s="247"/>
      <c r="J105" s="235" t="s">
        <v>6</v>
      </c>
      <c r="K105" s="235"/>
      <c r="L105" s="235"/>
      <c r="M105" s="235"/>
      <c r="N105" s="235" t="s">
        <v>7</v>
      </c>
      <c r="O105" s="235"/>
      <c r="P105" s="235"/>
      <c r="Q105" s="235"/>
      <c r="R105" s="235"/>
      <c r="S105" s="235"/>
      <c r="T105" s="235"/>
      <c r="U105" s="235"/>
      <c r="V105" s="235"/>
    </row>
    <row r="106" spans="1:22" ht="120" x14ac:dyDescent="0.25">
      <c r="A106" s="246"/>
      <c r="B106" s="246"/>
      <c r="C106" s="114"/>
      <c r="D106" s="246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5" x14ac:dyDescent="0.25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90" x14ac:dyDescent="0.25">
      <c r="A108" s="230" t="s">
        <v>98</v>
      </c>
      <c r="B108" s="232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 x14ac:dyDescent="0.25">
      <c r="A109" s="230"/>
      <c r="B109" s="233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 x14ac:dyDescent="0.25">
      <c r="A110" s="230"/>
      <c r="B110" s="233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 x14ac:dyDescent="0.25">
      <c r="A111" s="230"/>
      <c r="B111" s="233"/>
      <c r="C111" s="15" t="s">
        <v>169</v>
      </c>
      <c r="D111" s="64"/>
      <c r="E111" s="59">
        <v>7</v>
      </c>
      <c r="F111" s="59">
        <v>7</v>
      </c>
      <c r="G111" s="59">
        <f t="shared" ref="G111:G118" si="91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92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 x14ac:dyDescent="0.25">
      <c r="A112" s="230"/>
      <c r="B112" s="233"/>
      <c r="C112" s="15" t="s">
        <v>165</v>
      </c>
      <c r="D112" s="64"/>
      <c r="E112" s="59">
        <v>4</v>
      </c>
      <c r="F112" s="59">
        <v>4</v>
      </c>
      <c r="G112" s="59">
        <f t="shared" si="91"/>
        <v>4</v>
      </c>
      <c r="H112" s="59">
        <v>4</v>
      </c>
      <c r="I112" s="59">
        <v>4</v>
      </c>
      <c r="J112" s="71">
        <f t="shared" ref="J112:J117" si="93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94">O112</f>
        <v>369873</v>
      </c>
      <c r="O112" s="146">
        <f t="shared" si="92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95">H112*K112</f>
        <v>369873</v>
      </c>
      <c r="V112" s="100">
        <f t="shared" ref="V112:V117" si="96">I112*K112</f>
        <v>369873</v>
      </c>
    </row>
    <row r="113" spans="1:25" x14ac:dyDescent="0.25">
      <c r="A113" s="230"/>
      <c r="B113" s="233"/>
      <c r="C113" s="15" t="s">
        <v>166</v>
      </c>
      <c r="D113" s="64"/>
      <c r="E113" s="59">
        <v>17</v>
      </c>
      <c r="F113" s="59">
        <v>17</v>
      </c>
      <c r="G113" s="59">
        <f t="shared" si="91"/>
        <v>17</v>
      </c>
      <c r="H113" s="59">
        <v>17</v>
      </c>
      <c r="I113" s="59">
        <v>17</v>
      </c>
      <c r="J113" s="71">
        <f t="shared" si="93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94"/>
        <v>1128142.4400000002</v>
      </c>
      <c r="O113" s="146">
        <f t="shared" si="92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95"/>
        <v>1128142.4400000002</v>
      </c>
      <c r="V113" s="100">
        <f t="shared" si="96"/>
        <v>1128142.4400000002</v>
      </c>
    </row>
    <row r="114" spans="1:25" x14ac:dyDescent="0.25">
      <c r="A114" s="230"/>
      <c r="B114" s="233"/>
      <c r="C114" s="15" t="s">
        <v>167</v>
      </c>
      <c r="D114" s="64"/>
      <c r="E114" s="59">
        <v>1</v>
      </c>
      <c r="F114" s="59">
        <v>1</v>
      </c>
      <c r="G114" s="59">
        <f t="shared" si="91"/>
        <v>1</v>
      </c>
      <c r="H114" s="59">
        <v>1</v>
      </c>
      <c r="I114" s="59">
        <v>1</v>
      </c>
      <c r="J114" s="71">
        <f t="shared" si="93"/>
        <v>174890.83</v>
      </c>
      <c r="K114" s="75">
        <v>174890.83</v>
      </c>
      <c r="L114" s="72" t="s">
        <v>104</v>
      </c>
      <c r="M114" s="72" t="s">
        <v>104</v>
      </c>
      <c r="N114" s="140">
        <f t="shared" si="94"/>
        <v>174890.83</v>
      </c>
      <c r="O114" s="146">
        <f t="shared" si="92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95"/>
        <v>174890.83</v>
      </c>
      <c r="V114" s="100">
        <f t="shared" si="96"/>
        <v>174890.83</v>
      </c>
    </row>
    <row r="115" spans="1:25" x14ac:dyDescent="0.25">
      <c r="A115" s="230"/>
      <c r="B115" s="233"/>
      <c r="C115" s="15" t="s">
        <v>190</v>
      </c>
      <c r="D115" s="64"/>
      <c r="E115" s="59">
        <v>1</v>
      </c>
      <c r="F115" s="59">
        <v>1</v>
      </c>
      <c r="G115" s="157">
        <f t="shared" si="91"/>
        <v>1</v>
      </c>
      <c r="H115" s="59">
        <v>1</v>
      </c>
      <c r="I115" s="59">
        <v>1</v>
      </c>
      <c r="J115" s="71">
        <f t="shared" si="93"/>
        <v>178794.98</v>
      </c>
      <c r="K115" s="75">
        <v>178794.98</v>
      </c>
      <c r="L115" s="72"/>
      <c r="M115" s="72"/>
      <c r="N115" s="145">
        <f t="shared" si="94"/>
        <v>178794.98</v>
      </c>
      <c r="O115" s="146">
        <f t="shared" si="92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95"/>
        <v>178794.98</v>
      </c>
      <c r="V115" s="100">
        <f t="shared" si="96"/>
        <v>178794.98</v>
      </c>
    </row>
    <row r="116" spans="1:25" x14ac:dyDescent="0.25">
      <c r="A116" s="230"/>
      <c r="B116" s="233"/>
      <c r="C116" s="15" t="s">
        <v>170</v>
      </c>
      <c r="D116" s="64"/>
      <c r="E116" s="59">
        <v>1</v>
      </c>
      <c r="F116" s="59">
        <v>1</v>
      </c>
      <c r="G116" s="59">
        <f t="shared" si="91"/>
        <v>1</v>
      </c>
      <c r="H116" s="59">
        <v>1</v>
      </c>
      <c r="I116" s="59">
        <v>1</v>
      </c>
      <c r="J116" s="71">
        <f t="shared" si="93"/>
        <v>99648.29</v>
      </c>
      <c r="K116" s="75">
        <v>99648.29</v>
      </c>
      <c r="L116" s="72" t="s">
        <v>104</v>
      </c>
      <c r="M116" s="72" t="s">
        <v>104</v>
      </c>
      <c r="N116" s="140">
        <f t="shared" si="94"/>
        <v>99648.29</v>
      </c>
      <c r="O116" s="146">
        <f t="shared" si="92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95"/>
        <v>99648.29</v>
      </c>
      <c r="V116" s="100">
        <f t="shared" si="96"/>
        <v>99648.29</v>
      </c>
    </row>
    <row r="117" spans="1:25" x14ac:dyDescent="0.25">
      <c r="A117" s="230"/>
      <c r="B117" s="233"/>
      <c r="C117" s="63" t="s">
        <v>168</v>
      </c>
      <c r="D117" s="64"/>
      <c r="E117" s="59">
        <v>1</v>
      </c>
      <c r="F117" s="59">
        <v>1</v>
      </c>
      <c r="G117" s="157">
        <f t="shared" si="91"/>
        <v>1</v>
      </c>
      <c r="H117" s="59">
        <v>1</v>
      </c>
      <c r="I117" s="59">
        <v>1</v>
      </c>
      <c r="J117" s="71">
        <f t="shared" si="93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94"/>
        <v>23553.439999999999</v>
      </c>
      <c r="O117" s="146">
        <f t="shared" si="92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95"/>
        <v>23553.439999999999</v>
      </c>
      <c r="V117" s="100">
        <f t="shared" si="96"/>
        <v>23553.439999999999</v>
      </c>
    </row>
    <row r="118" spans="1:25" ht="120" x14ac:dyDescent="0.25">
      <c r="A118" s="230"/>
      <c r="B118" s="233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91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 t="shared" ref="U118:U212" si="97">H118*J118</f>
        <v>553567.08000000007</v>
      </c>
      <c r="V118" s="100">
        <f t="shared" ref="V118:V212" si="98">I118*J118</f>
        <v>553567.08000000007</v>
      </c>
    </row>
    <row r="119" spans="1:25" x14ac:dyDescent="0.25">
      <c r="A119" s="230"/>
      <c r="B119" s="234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 t="shared" ref="H119:I119" si="99">H108+H118</f>
        <v>272</v>
      </c>
      <c r="I119" s="123">
        <f t="shared" si="99"/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100">SUM(O108:O118)</f>
        <v>9509660.7999999989</v>
      </c>
      <c r="P119" s="71"/>
      <c r="Q119" s="71">
        <f t="shared" si="100"/>
        <v>1088541.2799999998</v>
      </c>
      <c r="R119" s="71"/>
      <c r="S119" s="71"/>
      <c r="T119" s="71">
        <f t="shared" si="100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90" x14ac:dyDescent="0.25">
      <c r="A120" s="230"/>
      <c r="B120" s="231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 t="shared" si="97"/>
        <v>11666779.92</v>
      </c>
      <c r="V120" s="75">
        <f t="shared" si="98"/>
        <v>11666779.92</v>
      </c>
      <c r="Y120" s="85"/>
    </row>
    <row r="121" spans="1:25" ht="111.75" customHeight="1" x14ac:dyDescent="0.25">
      <c r="A121" s="230"/>
      <c r="B121" s="231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 x14ac:dyDescent="0.25">
      <c r="A122" s="230"/>
      <c r="B122" s="231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 x14ac:dyDescent="0.25">
      <c r="A123" s="230"/>
      <c r="B123" s="231"/>
      <c r="C123" s="63" t="s">
        <v>167</v>
      </c>
      <c r="D123" s="64" t="s">
        <v>101</v>
      </c>
      <c r="E123" s="60">
        <v>1</v>
      </c>
      <c r="F123" s="60">
        <v>1</v>
      </c>
      <c r="G123" s="157">
        <f t="shared" ref="G123:G125" si="101">((E123*8)+(F123*4))/12</f>
        <v>1</v>
      </c>
      <c r="H123" s="60">
        <v>1</v>
      </c>
      <c r="I123" s="60">
        <v>1</v>
      </c>
      <c r="J123" s="71">
        <f t="shared" ref="J123:J124" si="102"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 t="shared" ref="N123:N124" si="103">O123</f>
        <v>266106.15000000002</v>
      </c>
      <c r="O123" s="146">
        <f t="shared" ref="O123:O124" si="104"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 t="shared" ref="U123:U124" si="105">H123*K123</f>
        <v>266106.15000000002</v>
      </c>
      <c r="V123" s="75">
        <f t="shared" ref="V123:V124" si="106">I123*K123</f>
        <v>266106.15000000002</v>
      </c>
    </row>
    <row r="124" spans="1:25" ht="21" customHeight="1" x14ac:dyDescent="0.25">
      <c r="A124" s="230"/>
      <c r="B124" s="231"/>
      <c r="C124" s="63" t="s">
        <v>168</v>
      </c>
      <c r="D124" s="64" t="s">
        <v>101</v>
      </c>
      <c r="E124" s="60">
        <v>3</v>
      </c>
      <c r="F124" s="60">
        <v>3</v>
      </c>
      <c r="G124" s="59">
        <f t="shared" si="101"/>
        <v>3</v>
      </c>
      <c r="H124" s="60">
        <v>3</v>
      </c>
      <c r="I124" s="60">
        <v>3</v>
      </c>
      <c r="J124" s="71">
        <f t="shared" si="102"/>
        <v>23553.439999999999</v>
      </c>
      <c r="K124" s="75">
        <v>23553.439999999999</v>
      </c>
      <c r="L124" s="59" t="s">
        <v>104</v>
      </c>
      <c r="M124" s="59" t="s">
        <v>104</v>
      </c>
      <c r="N124" s="71">
        <f t="shared" si="103"/>
        <v>70660.319999999992</v>
      </c>
      <c r="O124" s="146">
        <f t="shared" si="104"/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 t="shared" si="105"/>
        <v>70660.319999999992</v>
      </c>
      <c r="V124" s="75">
        <f t="shared" si="106"/>
        <v>70660.319999999992</v>
      </c>
    </row>
    <row r="125" spans="1:25" ht="120" x14ac:dyDescent="0.25">
      <c r="A125" s="230"/>
      <c r="B125" s="231"/>
      <c r="C125" s="61" t="s">
        <v>105</v>
      </c>
      <c r="D125" s="64" t="s">
        <v>101</v>
      </c>
      <c r="E125" s="60"/>
      <c r="F125" s="60">
        <v>0</v>
      </c>
      <c r="G125" s="59">
        <f t="shared" si="101"/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 x14ac:dyDescent="0.25">
      <c r="A126" s="230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 t="shared" ref="H126:I126" si="107">H120+H125</f>
        <v>226</v>
      </c>
      <c r="I126" s="122">
        <f t="shared" si="107"/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108">SUM(O120:O125)</f>
        <v>8656731.1700000018</v>
      </c>
      <c r="P126" s="74"/>
      <c r="Q126" s="74">
        <f t="shared" si="108"/>
        <v>904449.74</v>
      </c>
      <c r="R126" s="74"/>
      <c r="S126" s="74"/>
      <c r="T126" s="74">
        <f t="shared" si="108"/>
        <v>2627301.98</v>
      </c>
      <c r="U126" s="74">
        <f t="shared" si="108"/>
        <v>12188482.890000001</v>
      </c>
      <c r="V126" s="74">
        <f t="shared" si="108"/>
        <v>12188482.890000001</v>
      </c>
    </row>
    <row r="127" spans="1:25" ht="90" x14ac:dyDescent="0.25">
      <c r="A127" s="230"/>
      <c r="B127" s="231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 t="shared" si="97"/>
        <v>2936556</v>
      </c>
      <c r="V127" s="75">
        <f t="shared" si="98"/>
        <v>2936556</v>
      </c>
    </row>
    <row r="128" spans="1:25" ht="120" x14ac:dyDescent="0.25">
      <c r="A128" s="230"/>
      <c r="B128" s="231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 x14ac:dyDescent="0.25">
      <c r="A129" s="230"/>
      <c r="B129" s="231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 t="shared" ref="J129" si="109"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 t="shared" ref="N129" si="110"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 t="shared" ref="U129" si="111">H129*K129</f>
        <v>0</v>
      </c>
      <c r="V129" s="75">
        <f t="shared" ref="V129" si="112">I129*K129</f>
        <v>0</v>
      </c>
    </row>
    <row r="130" spans="1:22" ht="120" x14ac:dyDescent="0.25">
      <c r="A130" s="230"/>
      <c r="B130" s="231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 t="shared" si="97"/>
        <v>0</v>
      </c>
      <c r="V130" s="75">
        <f t="shared" si="98"/>
        <v>0</v>
      </c>
    </row>
    <row r="131" spans="1:22" x14ac:dyDescent="0.25">
      <c r="A131" s="230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 t="shared" ref="G131" si="113"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114">SUM(N127:N130)</f>
        <v>2936556</v>
      </c>
      <c r="O131" s="74">
        <f t="shared" si="114"/>
        <v>2155195</v>
      </c>
      <c r="P131" s="74"/>
      <c r="Q131" s="74">
        <f t="shared" si="114"/>
        <v>200099.5</v>
      </c>
      <c r="R131" s="74"/>
      <c r="S131" s="74"/>
      <c r="T131" s="74">
        <f t="shared" si="114"/>
        <v>581261.5</v>
      </c>
      <c r="U131" s="74">
        <f t="shared" si="114"/>
        <v>2936556</v>
      </c>
      <c r="V131" s="74">
        <f t="shared" si="114"/>
        <v>2936556</v>
      </c>
    </row>
    <row r="132" spans="1:22" ht="105" x14ac:dyDescent="0.25">
      <c r="A132" s="230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 t="shared" si="97"/>
        <v>2598130.2800000003</v>
      </c>
      <c r="V132" s="75">
        <f t="shared" si="98"/>
        <v>2598130.2800000003</v>
      </c>
    </row>
    <row r="133" spans="1:22" x14ac:dyDescent="0.25">
      <c r="A133" s="230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115">SUM(M132:M132)</f>
        <v>0</v>
      </c>
      <c r="N133" s="74">
        <f t="shared" si="115"/>
        <v>2598130.2800000003</v>
      </c>
      <c r="O133" s="74">
        <f t="shared" si="115"/>
        <v>2598130.2800000003</v>
      </c>
      <c r="P133" s="74"/>
      <c r="Q133" s="74">
        <f t="shared" si="115"/>
        <v>0</v>
      </c>
      <c r="R133" s="74"/>
      <c r="S133" s="74"/>
      <c r="T133" s="74">
        <f t="shared" si="115"/>
        <v>0</v>
      </c>
      <c r="U133" s="74">
        <f t="shared" si="115"/>
        <v>2598130.2800000003</v>
      </c>
      <c r="V133" s="74">
        <f t="shared" si="115"/>
        <v>2598130.2800000003</v>
      </c>
    </row>
    <row r="134" spans="1:22" x14ac:dyDescent="0.25">
      <c r="A134" s="230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90" x14ac:dyDescent="0.25">
      <c r="A135" s="230" t="s">
        <v>113</v>
      </c>
      <c r="B135" s="231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 t="shared" si="97"/>
        <v>10465570.17</v>
      </c>
      <c r="V135" s="75">
        <f t="shared" si="98"/>
        <v>10465570.17</v>
      </c>
    </row>
    <row r="136" spans="1:22" ht="135" x14ac:dyDescent="0.25">
      <c r="A136" s="230"/>
      <c r="B136" s="231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 x14ac:dyDescent="0.25">
      <c r="A137" s="230"/>
      <c r="B137" s="231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 t="shared" ref="J137:J141" si="116">K137</f>
        <v>69362.66</v>
      </c>
      <c r="K137" s="71">
        <v>69362.66</v>
      </c>
      <c r="L137" s="59"/>
      <c r="M137" s="59"/>
      <c r="N137" s="71">
        <f t="shared" ref="N137:N141" si="117">O137</f>
        <v>416175.96</v>
      </c>
      <c r="O137" s="146">
        <f t="shared" ref="O137:O142" si="118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 t="shared" ref="U137:U141" si="119">H137*K137</f>
        <v>416175.96</v>
      </c>
      <c r="V137" s="75">
        <f t="shared" ref="V137:V141" si="120">I137*K137</f>
        <v>416175.96</v>
      </c>
    </row>
    <row r="138" spans="1:22" x14ac:dyDescent="0.25">
      <c r="A138" s="230"/>
      <c r="B138" s="231"/>
      <c r="C138" s="63" t="s">
        <v>166</v>
      </c>
      <c r="D138" s="64" t="s">
        <v>101</v>
      </c>
      <c r="E138" s="59">
        <v>8</v>
      </c>
      <c r="F138" s="59">
        <v>8</v>
      </c>
      <c r="G138" s="59">
        <f t="shared" ref="G138:G141" si="121">((E138*8)+(F138*4))/12</f>
        <v>8</v>
      </c>
      <c r="H138" s="59">
        <v>8</v>
      </c>
      <c r="I138" s="59">
        <v>8</v>
      </c>
      <c r="J138" s="75">
        <f t="shared" si="116"/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118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 t="shared" si="119"/>
        <v>530890.56000000006</v>
      </c>
      <c r="V138" s="75">
        <f t="shared" si="120"/>
        <v>530890.56000000006</v>
      </c>
    </row>
    <row r="139" spans="1:22" x14ac:dyDescent="0.25">
      <c r="A139" s="230"/>
      <c r="B139" s="231"/>
      <c r="C139" s="63" t="s">
        <v>167</v>
      </c>
      <c r="D139" s="64" t="s">
        <v>101</v>
      </c>
      <c r="E139" s="59">
        <v>4</v>
      </c>
      <c r="F139" s="59">
        <v>4</v>
      </c>
      <c r="G139" s="59">
        <f t="shared" si="121"/>
        <v>4</v>
      </c>
      <c r="H139" s="59">
        <v>4</v>
      </c>
      <c r="I139" s="59">
        <v>4</v>
      </c>
      <c r="J139" s="75">
        <f t="shared" si="116"/>
        <v>174890.83</v>
      </c>
      <c r="K139" s="75">
        <v>174890.83</v>
      </c>
      <c r="L139" s="59" t="s">
        <v>104</v>
      </c>
      <c r="M139" s="59" t="s">
        <v>104</v>
      </c>
      <c r="N139" s="71">
        <f t="shared" si="117"/>
        <v>699563.32</v>
      </c>
      <c r="O139" s="146">
        <f t="shared" si="118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 t="shared" si="119"/>
        <v>699563.32</v>
      </c>
      <c r="V139" s="75">
        <f t="shared" si="120"/>
        <v>699563.32</v>
      </c>
    </row>
    <row r="140" spans="1:22" x14ac:dyDescent="0.25">
      <c r="A140" s="230"/>
      <c r="B140" s="231"/>
      <c r="C140" s="63" t="s">
        <v>170</v>
      </c>
      <c r="D140" s="64" t="s">
        <v>101</v>
      </c>
      <c r="E140" s="59">
        <v>1</v>
      </c>
      <c r="F140" s="59">
        <v>1</v>
      </c>
      <c r="G140" s="59">
        <f t="shared" si="121"/>
        <v>1</v>
      </c>
      <c r="H140" s="59">
        <v>1</v>
      </c>
      <c r="I140" s="59">
        <v>1</v>
      </c>
      <c r="J140" s="75">
        <f t="shared" si="116"/>
        <v>99648.29</v>
      </c>
      <c r="K140" s="75">
        <v>99648.29</v>
      </c>
      <c r="L140" s="59"/>
      <c r="M140" s="59"/>
      <c r="N140" s="71">
        <f t="shared" si="117"/>
        <v>99648.29</v>
      </c>
      <c r="O140" s="146">
        <f t="shared" si="118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 t="shared" si="119"/>
        <v>99648.29</v>
      </c>
      <c r="V140" s="75">
        <f t="shared" si="120"/>
        <v>99648.29</v>
      </c>
    </row>
    <row r="141" spans="1:22" x14ac:dyDescent="0.25">
      <c r="A141" s="230"/>
      <c r="B141" s="231"/>
      <c r="C141" s="63" t="s">
        <v>168</v>
      </c>
      <c r="D141" s="64" t="s">
        <v>101</v>
      </c>
      <c r="E141" s="59">
        <v>1</v>
      </c>
      <c r="F141" s="59">
        <v>1</v>
      </c>
      <c r="G141" s="59">
        <f t="shared" si="121"/>
        <v>1</v>
      </c>
      <c r="H141" s="59">
        <v>1</v>
      </c>
      <c r="I141" s="59">
        <v>1</v>
      </c>
      <c r="J141" s="75">
        <f t="shared" si="116"/>
        <v>23553.439999999999</v>
      </c>
      <c r="K141" s="75">
        <v>23553.439999999999</v>
      </c>
      <c r="L141" s="59" t="s">
        <v>104</v>
      </c>
      <c r="M141" s="59" t="s">
        <v>104</v>
      </c>
      <c r="N141" s="71">
        <f t="shared" si="117"/>
        <v>23553.439999999999</v>
      </c>
      <c r="O141" s="146">
        <f t="shared" si="118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 t="shared" si="119"/>
        <v>23553.439999999999</v>
      </c>
      <c r="V141" s="75">
        <f t="shared" si="120"/>
        <v>23553.439999999999</v>
      </c>
    </row>
    <row r="142" spans="1:22" ht="120" x14ac:dyDescent="0.25">
      <c r="A142" s="230"/>
      <c r="B142" s="231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118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 t="shared" si="97"/>
        <v>0</v>
      </c>
      <c r="V142" s="75">
        <f t="shared" si="98"/>
        <v>0</v>
      </c>
    </row>
    <row r="143" spans="1:22" x14ac:dyDescent="0.25">
      <c r="A143" s="230"/>
      <c r="B143" s="231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122">SUM(N135:N142)</f>
        <v>12235401.74</v>
      </c>
      <c r="O143" s="71">
        <f t="shared" si="122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122"/>
        <v>3034185.03</v>
      </c>
      <c r="U143" s="75">
        <f>SUM(U135:U142)</f>
        <v>12235401.74</v>
      </c>
      <c r="V143" s="75">
        <f>SUM(V135:V142)</f>
        <v>12235401.74</v>
      </c>
    </row>
    <row r="144" spans="1:22" ht="90" x14ac:dyDescent="0.25">
      <c r="A144" s="230"/>
      <c r="B144" s="231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 t="shared" ref="G144" si="123"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 t="shared" si="97"/>
        <v>11563534.08</v>
      </c>
      <c r="V144" s="75">
        <f t="shared" si="98"/>
        <v>11563534.08</v>
      </c>
    </row>
    <row r="145" spans="1:24" ht="120" x14ac:dyDescent="0.25">
      <c r="A145" s="230"/>
      <c r="B145" s="231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 x14ac:dyDescent="0.25">
      <c r="A146" s="230"/>
      <c r="B146" s="231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124">((E146*8)+(F146*4))/12</f>
        <v>1</v>
      </c>
      <c r="H146" s="60">
        <v>1</v>
      </c>
      <c r="I146" s="60">
        <v>1</v>
      </c>
      <c r="J146" s="75">
        <f t="shared" ref="J146:J148" si="125"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 t="shared" ref="N146:N148" si="126"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 t="shared" ref="U146:U148" si="127">H146*K146</f>
        <v>266106.15000000002</v>
      </c>
      <c r="V146" s="75">
        <f t="shared" ref="V146:V148" si="128">I146*K146</f>
        <v>266106.15000000002</v>
      </c>
    </row>
    <row r="147" spans="1:24" x14ac:dyDescent="0.25">
      <c r="A147" s="230"/>
      <c r="B147" s="231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124"/>
        <v>2</v>
      </c>
      <c r="H147" s="60">
        <v>2</v>
      </c>
      <c r="I147" s="60">
        <v>2</v>
      </c>
      <c r="J147" s="75">
        <f t="shared" si="125"/>
        <v>32769.75</v>
      </c>
      <c r="K147" s="75">
        <v>32769.75</v>
      </c>
      <c r="L147" s="59" t="s">
        <v>104</v>
      </c>
      <c r="M147" s="59" t="s">
        <v>104</v>
      </c>
      <c r="N147" s="71">
        <f t="shared" si="126"/>
        <v>65539.5</v>
      </c>
      <c r="O147" s="146">
        <f t="shared" ref="O147:O148" si="129"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 t="shared" si="127"/>
        <v>65539.5</v>
      </c>
      <c r="V147" s="75">
        <f t="shared" si="128"/>
        <v>65539.5</v>
      </c>
    </row>
    <row r="148" spans="1:24" x14ac:dyDescent="0.25">
      <c r="A148" s="230"/>
      <c r="B148" s="231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124"/>
        <v>5</v>
      </c>
      <c r="H148" s="60">
        <v>5</v>
      </c>
      <c r="I148" s="60">
        <v>5</v>
      </c>
      <c r="J148" s="75">
        <f t="shared" si="125"/>
        <v>23553.439999999999</v>
      </c>
      <c r="K148" s="75">
        <v>23553.439999999999</v>
      </c>
      <c r="L148" s="59" t="s">
        <v>104</v>
      </c>
      <c r="M148" s="59" t="s">
        <v>104</v>
      </c>
      <c r="N148" s="71">
        <f t="shared" si="126"/>
        <v>117767.2</v>
      </c>
      <c r="O148" s="146">
        <f t="shared" si="129"/>
        <v>117767.2</v>
      </c>
      <c r="P148" s="146"/>
      <c r="Q148" s="59" t="s">
        <v>104</v>
      </c>
      <c r="R148" s="59"/>
      <c r="S148" s="59"/>
      <c r="T148" s="59" t="s">
        <v>104</v>
      </c>
      <c r="U148" s="75">
        <f t="shared" si="127"/>
        <v>117767.2</v>
      </c>
      <c r="V148" s="75">
        <f t="shared" si="128"/>
        <v>117767.2</v>
      </c>
    </row>
    <row r="149" spans="1:24" ht="120" x14ac:dyDescent="0.25">
      <c r="A149" s="230"/>
      <c r="B149" s="231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124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 t="shared" si="97"/>
        <v>337369</v>
      </c>
      <c r="V149" s="75">
        <f t="shared" si="98"/>
        <v>337369</v>
      </c>
    </row>
    <row r="150" spans="1:24" x14ac:dyDescent="0.25">
      <c r="A150" s="230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130">SUM(N144:N149)</f>
        <v>12350315.93</v>
      </c>
      <c r="O150" s="74">
        <f t="shared" si="130"/>
        <v>8818564.2100000009</v>
      </c>
      <c r="P150" s="74"/>
      <c r="Q150" s="74">
        <f t="shared" si="130"/>
        <v>904449.74</v>
      </c>
      <c r="R150" s="74"/>
      <c r="S150" s="74"/>
      <c r="T150" s="74">
        <f t="shared" si="130"/>
        <v>2627301.98</v>
      </c>
      <c r="U150" s="75">
        <f t="shared" si="130"/>
        <v>12350315.93</v>
      </c>
      <c r="V150" s="75">
        <f t="shared" si="130"/>
        <v>12350315.93</v>
      </c>
    </row>
    <row r="151" spans="1:24" ht="90" x14ac:dyDescent="0.25">
      <c r="A151" s="230"/>
      <c r="B151" s="231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124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 t="shared" si="97"/>
        <v>2290513.6799999997</v>
      </c>
      <c r="V151" s="75">
        <f t="shared" si="98"/>
        <v>2290513.6799999997</v>
      </c>
    </row>
    <row r="152" spans="1:24" ht="120" x14ac:dyDescent="0.25">
      <c r="A152" s="230"/>
      <c r="B152" s="231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 x14ac:dyDescent="0.25">
      <c r="A153" s="230"/>
      <c r="B153" s="231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124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20" x14ac:dyDescent="0.25">
      <c r="A154" s="230"/>
      <c r="B154" s="231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 x14ac:dyDescent="0.25">
      <c r="A155" s="230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131">SUM(N151:N154)</f>
        <v>2314067.1199999996</v>
      </c>
      <c r="O155" s="74">
        <f t="shared" si="131"/>
        <v>1704605.54</v>
      </c>
      <c r="P155" s="74"/>
      <c r="Q155" s="74">
        <f t="shared" si="131"/>
        <v>156077.60999999999</v>
      </c>
      <c r="R155" s="74"/>
      <c r="S155" s="74"/>
      <c r="T155" s="74">
        <f t="shared" si="131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105" x14ac:dyDescent="0.25">
      <c r="A156" s="230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 t="shared" ref="G156" si="132"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 t="shared" si="97"/>
        <v>3087517.7600000002</v>
      </c>
      <c r="V156" s="75">
        <f t="shared" si="98"/>
        <v>3087517.7600000002</v>
      </c>
    </row>
    <row r="157" spans="1:24" x14ac:dyDescent="0.25">
      <c r="A157" s="230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133">SUM(M156:M156)</f>
        <v>0</v>
      </c>
      <c r="N157" s="74">
        <f t="shared" si="133"/>
        <v>3087517.7600000002</v>
      </c>
      <c r="O157" s="74">
        <f t="shared" si="133"/>
        <v>3087517.7600000002</v>
      </c>
      <c r="P157" s="74"/>
      <c r="Q157" s="74">
        <f t="shared" si="133"/>
        <v>0</v>
      </c>
      <c r="R157" s="74"/>
      <c r="S157" s="74"/>
      <c r="T157" s="74">
        <f t="shared" si="133"/>
        <v>0</v>
      </c>
      <c r="U157" s="75">
        <f t="shared" si="133"/>
        <v>3087517.7600000002</v>
      </c>
      <c r="V157" s="75">
        <f t="shared" si="133"/>
        <v>3087517.7600000002</v>
      </c>
    </row>
    <row r="158" spans="1:24" x14ac:dyDescent="0.25">
      <c r="A158" s="230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90" x14ac:dyDescent="0.25">
      <c r="A159" s="230" t="s">
        <v>114</v>
      </c>
      <c r="B159" s="231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134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 t="shared" si="97"/>
        <v>8460671.6699999999</v>
      </c>
      <c r="V159" s="75">
        <f t="shared" si="98"/>
        <v>8460671.6699999999</v>
      </c>
    </row>
    <row r="160" spans="1:24" ht="135" x14ac:dyDescent="0.25">
      <c r="A160" s="230"/>
      <c r="B160" s="231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 x14ac:dyDescent="0.25">
      <c r="A161" s="230"/>
      <c r="B161" s="231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134"/>
        <v>1</v>
      </c>
      <c r="H161" s="59">
        <v>1</v>
      </c>
      <c r="I161" s="59">
        <v>1</v>
      </c>
      <c r="J161" s="75">
        <f t="shared" ref="J161:J165" si="135"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 x14ac:dyDescent="0.25">
      <c r="A162" s="230"/>
      <c r="B162" s="231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134"/>
        <v>4</v>
      </c>
      <c r="H162" s="59">
        <v>4</v>
      </c>
      <c r="I162" s="59">
        <v>4</v>
      </c>
      <c r="J162" s="75">
        <f t="shared" si="135"/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ref="O162:O166" si="136">G162*K162</f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 x14ac:dyDescent="0.25">
      <c r="A163" s="230"/>
      <c r="B163" s="231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134"/>
        <v>7</v>
      </c>
      <c r="H163" s="59">
        <v>7</v>
      </c>
      <c r="I163" s="59">
        <v>7</v>
      </c>
      <c r="J163" s="75">
        <f t="shared" si="135"/>
        <v>69362.66</v>
      </c>
      <c r="K163" s="75">
        <v>69362.66</v>
      </c>
      <c r="L163" s="59" t="s">
        <v>104</v>
      </c>
      <c r="M163" s="59" t="s">
        <v>104</v>
      </c>
      <c r="N163" s="71">
        <f t="shared" ref="N163:N165" si="137">O163</f>
        <v>485538.62</v>
      </c>
      <c r="O163" s="146">
        <f t="shared" si="136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 t="shared" ref="U163:U165" si="138">H163*K163</f>
        <v>485538.62</v>
      </c>
      <c r="V163" s="75">
        <f t="shared" ref="V163:V165" si="139">I163*K163</f>
        <v>485538.62</v>
      </c>
    </row>
    <row r="164" spans="1:22" x14ac:dyDescent="0.25">
      <c r="A164" s="230"/>
      <c r="B164" s="231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134"/>
        <v>4</v>
      </c>
      <c r="H164" s="59">
        <v>4</v>
      </c>
      <c r="I164" s="59">
        <v>4</v>
      </c>
      <c r="J164" s="75">
        <f t="shared" si="135"/>
        <v>66361.320000000007</v>
      </c>
      <c r="K164" s="75">
        <v>66361.320000000007</v>
      </c>
      <c r="L164" s="59" t="s">
        <v>104</v>
      </c>
      <c r="M164" s="59" t="s">
        <v>104</v>
      </c>
      <c r="N164" s="71">
        <f t="shared" si="137"/>
        <v>265445.28000000003</v>
      </c>
      <c r="O164" s="146">
        <f t="shared" si="136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 t="shared" si="138"/>
        <v>265445.28000000003</v>
      </c>
      <c r="V164" s="75">
        <f t="shared" si="139"/>
        <v>265445.28000000003</v>
      </c>
    </row>
    <row r="165" spans="1:22" x14ac:dyDescent="0.25">
      <c r="A165" s="230"/>
      <c r="B165" s="231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134"/>
        <v>1</v>
      </c>
      <c r="H165" s="59">
        <v>1</v>
      </c>
      <c r="I165" s="59">
        <v>1</v>
      </c>
      <c r="J165" s="75">
        <f t="shared" si="135"/>
        <v>23553.439999999999</v>
      </c>
      <c r="K165" s="75">
        <v>23553.439999999999</v>
      </c>
      <c r="L165" s="59" t="s">
        <v>104</v>
      </c>
      <c r="M165" s="59" t="s">
        <v>104</v>
      </c>
      <c r="N165" s="71">
        <f t="shared" si="137"/>
        <v>23553.439999999999</v>
      </c>
      <c r="O165" s="146">
        <f t="shared" si="136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 t="shared" si="138"/>
        <v>23553.439999999999</v>
      </c>
      <c r="V165" s="75">
        <f t="shared" si="139"/>
        <v>23553.439999999999</v>
      </c>
    </row>
    <row r="166" spans="1:22" ht="120" x14ac:dyDescent="0.25">
      <c r="A166" s="230"/>
      <c r="B166" s="231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134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136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 t="shared" si="97"/>
        <v>138391.77000000002</v>
      </c>
      <c r="V166" s="75">
        <f t="shared" si="98"/>
        <v>138391.77000000002</v>
      </c>
    </row>
    <row r="167" spans="1:22" x14ac:dyDescent="0.25">
      <c r="A167" s="230"/>
      <c r="B167" s="231"/>
      <c r="C167" s="66" t="s">
        <v>106</v>
      </c>
      <c r="D167" s="67"/>
      <c r="E167" s="59">
        <f>E159+E166</f>
        <v>212</v>
      </c>
      <c r="F167" s="59">
        <f t="shared" ref="F167:I167" si="140">F159+F166</f>
        <v>212</v>
      </c>
      <c r="G167" s="59">
        <f>G159+G166</f>
        <v>212</v>
      </c>
      <c r="H167" s="59">
        <f t="shared" si="140"/>
        <v>212</v>
      </c>
      <c r="I167" s="59">
        <f t="shared" si="140"/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141">SUM(N159:N166)</f>
        <v>9545322.3199999984</v>
      </c>
      <c r="O167" s="71">
        <f t="shared" si="141"/>
        <v>6232351.6800000006</v>
      </c>
      <c r="P167" s="71"/>
      <c r="Q167" s="71">
        <f t="shared" si="141"/>
        <v>848421.87999999989</v>
      </c>
      <c r="R167" s="71"/>
      <c r="S167" s="71"/>
      <c r="T167" s="71">
        <f t="shared" si="141"/>
        <v>2464548.7599999998</v>
      </c>
      <c r="U167" s="71">
        <f t="shared" si="141"/>
        <v>9545322.3199999984</v>
      </c>
      <c r="V167" s="71">
        <f t="shared" si="141"/>
        <v>9545322.3199999984</v>
      </c>
    </row>
    <row r="168" spans="1:22" ht="90" x14ac:dyDescent="0.25">
      <c r="A168" s="230"/>
      <c r="B168" s="231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134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 t="shared" si="97"/>
        <v>11511911.16</v>
      </c>
      <c r="V168" s="75">
        <f t="shared" si="98"/>
        <v>11511911.16</v>
      </c>
    </row>
    <row r="169" spans="1:22" ht="135" x14ac:dyDescent="0.25">
      <c r="A169" s="230"/>
      <c r="B169" s="231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 x14ac:dyDescent="0.25">
      <c r="A170" s="230"/>
      <c r="B170" s="231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134"/>
        <v>1</v>
      </c>
      <c r="H170" s="60">
        <v>1</v>
      </c>
      <c r="I170" s="60">
        <v>1</v>
      </c>
      <c r="J170" s="75">
        <f t="shared" ref="J170:J171" si="142">K170</f>
        <v>69362.66</v>
      </c>
      <c r="K170" s="75">
        <v>69362.66</v>
      </c>
      <c r="L170" s="59" t="s">
        <v>104</v>
      </c>
      <c r="M170" s="59" t="s">
        <v>104</v>
      </c>
      <c r="N170" s="71">
        <f t="shared" ref="N170:N171" si="143"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 x14ac:dyDescent="0.25">
      <c r="A171" s="230"/>
      <c r="B171" s="231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134"/>
        <v>1</v>
      </c>
      <c r="H171" s="60">
        <v>1</v>
      </c>
      <c r="I171" s="60">
        <v>1</v>
      </c>
      <c r="J171" s="75">
        <f t="shared" si="142"/>
        <v>92468.25</v>
      </c>
      <c r="K171" s="75">
        <v>92468.25</v>
      </c>
      <c r="L171" s="59" t="s">
        <v>104</v>
      </c>
      <c r="M171" s="59" t="s">
        <v>104</v>
      </c>
      <c r="N171" s="71">
        <f t="shared" si="143"/>
        <v>92468.25</v>
      </c>
      <c r="O171" s="146">
        <f t="shared" ref="O171:O173" si="144"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 t="shared" ref="U171:U172" si="145">H171*K171</f>
        <v>92468.25</v>
      </c>
      <c r="V171" s="75">
        <f t="shared" ref="V171:V172" si="146">I171*K171</f>
        <v>92468.25</v>
      </c>
    </row>
    <row r="172" spans="1:22" x14ac:dyDescent="0.25">
      <c r="A172" s="230"/>
      <c r="B172" s="231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134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 t="shared" si="144"/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 t="shared" si="145"/>
        <v>141320.63999999998</v>
      </c>
      <c r="V172" s="75">
        <f t="shared" si="146"/>
        <v>141320.63999999998</v>
      </c>
    </row>
    <row r="173" spans="1:22" ht="120" x14ac:dyDescent="0.25">
      <c r="A173" s="230"/>
      <c r="B173" s="231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134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 t="shared" si="144"/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 t="shared" si="97"/>
        <v>506053.5</v>
      </c>
      <c r="V173" s="75">
        <f t="shared" si="98"/>
        <v>506053.5</v>
      </c>
    </row>
    <row r="174" spans="1:22" x14ac:dyDescent="0.25">
      <c r="A174" s="230"/>
      <c r="B174" s="110"/>
      <c r="C174" s="66" t="s">
        <v>106</v>
      </c>
      <c r="D174" s="64"/>
      <c r="E174" s="60">
        <f>E168+E173</f>
        <v>226</v>
      </c>
      <c r="F174" s="60">
        <f t="shared" ref="F174:I174" si="147">F168+F173</f>
        <v>226</v>
      </c>
      <c r="G174" s="60">
        <f t="shared" si="147"/>
        <v>226</v>
      </c>
      <c r="H174" s="60">
        <f t="shared" si="147"/>
        <v>226</v>
      </c>
      <c r="I174" s="60">
        <f t="shared" si="147"/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148">SUM(N168:N173)</f>
        <v>12321116.210000001</v>
      </c>
      <c r="O174" s="74">
        <f t="shared" si="148"/>
        <v>8789364.4900000002</v>
      </c>
      <c r="P174" s="74"/>
      <c r="Q174" s="74">
        <f t="shared" si="148"/>
        <v>904449.73999999987</v>
      </c>
      <c r="R174" s="74"/>
      <c r="S174" s="74"/>
      <c r="T174" s="74">
        <f t="shared" si="148"/>
        <v>2627301.98</v>
      </c>
      <c r="U174" s="74">
        <f t="shared" si="148"/>
        <v>12321116.210000001</v>
      </c>
      <c r="V174" s="74">
        <f t="shared" si="148"/>
        <v>12321116.210000001</v>
      </c>
    </row>
    <row r="175" spans="1:22" ht="90" x14ac:dyDescent="0.25">
      <c r="A175" s="230"/>
      <c r="B175" s="231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134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 t="shared" si="97"/>
        <v>3993716.1599999997</v>
      </c>
      <c r="V175" s="75">
        <f t="shared" si="98"/>
        <v>3993716.1599999997</v>
      </c>
    </row>
    <row r="176" spans="1:22" ht="135" x14ac:dyDescent="0.25">
      <c r="A176" s="230"/>
      <c r="B176" s="231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 x14ac:dyDescent="0.25">
      <c r="A177" s="230"/>
      <c r="B177" s="231"/>
      <c r="C177" s="63" t="s">
        <v>165</v>
      </c>
      <c r="D177" s="64" t="s">
        <v>101</v>
      </c>
      <c r="E177" s="60"/>
      <c r="F177" s="60"/>
      <c r="G177" s="59">
        <f t="shared" si="134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 x14ac:dyDescent="0.25">
      <c r="A178" s="230"/>
      <c r="B178" s="231"/>
      <c r="C178" s="63" t="s">
        <v>168</v>
      </c>
      <c r="D178" s="64" t="s">
        <v>101</v>
      </c>
      <c r="E178" s="60"/>
      <c r="F178" s="60"/>
      <c r="G178" s="59">
        <f t="shared" si="134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20" x14ac:dyDescent="0.25">
      <c r="A179" s="230"/>
      <c r="B179" s="231"/>
      <c r="C179" s="61" t="s">
        <v>105</v>
      </c>
      <c r="D179" s="64" t="s">
        <v>101</v>
      </c>
      <c r="E179" s="60"/>
      <c r="F179" s="60"/>
      <c r="G179" s="59">
        <f t="shared" si="134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 t="shared" si="97"/>
        <v>0</v>
      </c>
      <c r="V179" s="75">
        <f t="shared" si="98"/>
        <v>0</v>
      </c>
    </row>
    <row r="180" spans="1:22" x14ac:dyDescent="0.25">
      <c r="A180" s="230"/>
      <c r="B180" s="110"/>
      <c r="C180" s="66" t="s">
        <v>106</v>
      </c>
      <c r="D180" s="64"/>
      <c r="E180" s="60">
        <f>E175+E179</f>
        <v>68</v>
      </c>
      <c r="F180" s="60">
        <f t="shared" ref="F180:I180" si="149">F175+F179</f>
        <v>68</v>
      </c>
      <c r="G180" s="60">
        <f t="shared" si="149"/>
        <v>68</v>
      </c>
      <c r="H180" s="60">
        <f t="shared" si="149"/>
        <v>68</v>
      </c>
      <c r="I180" s="60">
        <f t="shared" si="149"/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150">SUM(N175:N179)</f>
        <v>3993716.16</v>
      </c>
      <c r="O180" s="74">
        <f t="shared" si="150"/>
        <v>2931065.2</v>
      </c>
      <c r="P180" s="74"/>
      <c r="Q180" s="74">
        <f t="shared" si="150"/>
        <v>272135.32</v>
      </c>
      <c r="R180" s="74"/>
      <c r="S180" s="74"/>
      <c r="T180" s="74">
        <f t="shared" si="150"/>
        <v>790515.64</v>
      </c>
      <c r="U180" s="74">
        <f t="shared" si="150"/>
        <v>3993716.1599999997</v>
      </c>
      <c r="V180" s="74">
        <f t="shared" si="150"/>
        <v>3993716.1599999997</v>
      </c>
    </row>
    <row r="181" spans="1:22" ht="105" x14ac:dyDescent="0.25">
      <c r="A181" s="230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134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 t="shared" si="97"/>
        <v>1694951.76</v>
      </c>
      <c r="V181" s="75">
        <f t="shared" si="98"/>
        <v>1694951.76</v>
      </c>
    </row>
    <row r="182" spans="1:22" x14ac:dyDescent="0.25">
      <c r="A182" s="230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151">SUM(M181:M181)</f>
        <v>0</v>
      </c>
      <c r="N182" s="74">
        <f t="shared" si="151"/>
        <v>1694951.76</v>
      </c>
      <c r="O182" s="74">
        <f t="shared" si="151"/>
        <v>1694951.76</v>
      </c>
      <c r="P182" s="74"/>
      <c r="Q182" s="74">
        <f t="shared" si="151"/>
        <v>0</v>
      </c>
      <c r="R182" s="74"/>
      <c r="S182" s="74"/>
      <c r="T182" s="74">
        <f t="shared" si="151"/>
        <v>0</v>
      </c>
      <c r="U182" s="75">
        <f t="shared" si="151"/>
        <v>1694951.76</v>
      </c>
      <c r="V182" s="75">
        <f t="shared" si="151"/>
        <v>1694951.76</v>
      </c>
    </row>
    <row r="183" spans="1:22" x14ac:dyDescent="0.25">
      <c r="A183" s="230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90" x14ac:dyDescent="0.25">
      <c r="A184" s="230" t="s">
        <v>115</v>
      </c>
      <c r="B184" s="231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152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 t="shared" si="97"/>
        <v>8300279.79</v>
      </c>
      <c r="V184" s="75">
        <f t="shared" si="98"/>
        <v>8300279.79</v>
      </c>
    </row>
    <row r="185" spans="1:22" ht="135" x14ac:dyDescent="0.25">
      <c r="A185" s="230"/>
      <c r="B185" s="231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 x14ac:dyDescent="0.25">
      <c r="A186" s="230"/>
      <c r="B186" s="231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152"/>
        <v>1</v>
      </c>
      <c r="H186" s="59">
        <v>1</v>
      </c>
      <c r="I186" s="59">
        <v>1</v>
      </c>
      <c r="J186" s="75">
        <f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88" si="153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88" si="154">H186*K186</f>
        <v>25589.72</v>
      </c>
      <c r="V186" s="75">
        <f t="shared" ref="V186:V188" si="155">I186*K186</f>
        <v>25589.72</v>
      </c>
    </row>
    <row r="187" spans="1:22" x14ac:dyDescent="0.25">
      <c r="A187" s="230"/>
      <c r="B187" s="231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152"/>
        <v>10</v>
      </c>
      <c r="H187" s="59">
        <v>10</v>
      </c>
      <c r="I187" s="59">
        <v>10</v>
      </c>
      <c r="J187" s="75">
        <f>K187</f>
        <v>69362.66</v>
      </c>
      <c r="K187" s="71">
        <v>69362.66</v>
      </c>
      <c r="L187" s="59" t="s">
        <v>104</v>
      </c>
      <c r="M187" s="59" t="s">
        <v>104</v>
      </c>
      <c r="N187" s="71">
        <f t="shared" si="153"/>
        <v>693626.60000000009</v>
      </c>
      <c r="O187" s="146">
        <f t="shared" ref="O187:O192" si="156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154"/>
        <v>693626.60000000009</v>
      </c>
      <c r="V187" s="75">
        <f t="shared" si="155"/>
        <v>693626.60000000009</v>
      </c>
    </row>
    <row r="188" spans="1:22" x14ac:dyDescent="0.25">
      <c r="A188" s="230"/>
      <c r="B188" s="231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152"/>
        <v>1</v>
      </c>
      <c r="H188" s="59">
        <v>1</v>
      </c>
      <c r="I188" s="59">
        <v>1</v>
      </c>
      <c r="J188" s="75">
        <f>K188</f>
        <v>92468.25</v>
      </c>
      <c r="K188" s="71">
        <v>92468.25</v>
      </c>
      <c r="L188" s="59" t="s">
        <v>104</v>
      </c>
      <c r="M188" s="59" t="s">
        <v>104</v>
      </c>
      <c r="N188" s="71">
        <f t="shared" si="153"/>
        <v>92468.25</v>
      </c>
      <c r="O188" s="146">
        <f t="shared" si="156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154"/>
        <v>92468.25</v>
      </c>
      <c r="V188" s="75">
        <f t="shared" si="155"/>
        <v>92468.25</v>
      </c>
    </row>
    <row r="189" spans="1:22" x14ac:dyDescent="0.25">
      <c r="A189" s="230"/>
      <c r="B189" s="231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152"/>
        <v>14</v>
      </c>
      <c r="H189" s="59">
        <v>14</v>
      </c>
      <c r="I189" s="59">
        <v>14</v>
      </c>
      <c r="J189" s="75">
        <f>K189</f>
        <v>66361.320000000007</v>
      </c>
      <c r="K189" s="75">
        <v>66361.320000000007</v>
      </c>
      <c r="L189" s="59" t="s">
        <v>104</v>
      </c>
      <c r="M189" s="59" t="s">
        <v>104</v>
      </c>
      <c r="N189" s="71">
        <f>O189</f>
        <v>929058.4800000001</v>
      </c>
      <c r="O189" s="146">
        <f t="shared" si="156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>H189*K189</f>
        <v>929058.4800000001</v>
      </c>
      <c r="V189" s="75">
        <f>I189*K189</f>
        <v>929058.4800000001</v>
      </c>
    </row>
    <row r="190" spans="1:22" x14ac:dyDescent="0.25">
      <c r="A190" s="230"/>
      <c r="B190" s="231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152"/>
        <v>3</v>
      </c>
      <c r="H190" s="59">
        <v>3</v>
      </c>
      <c r="I190" s="59">
        <v>3</v>
      </c>
      <c r="J190" s="75">
        <f>K190</f>
        <v>174890.83</v>
      </c>
      <c r="K190" s="75">
        <v>174890.83</v>
      </c>
      <c r="L190" s="59" t="s">
        <v>104</v>
      </c>
      <c r="M190" s="59" t="s">
        <v>104</v>
      </c>
      <c r="N190" s="71">
        <f>O190</f>
        <v>524672.49</v>
      </c>
      <c r="O190" s="146">
        <f t="shared" si="156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>H190*K190</f>
        <v>524672.49</v>
      </c>
      <c r="V190" s="75">
        <f>I190*K190</f>
        <v>524672.49</v>
      </c>
    </row>
    <row r="191" spans="1:22" x14ac:dyDescent="0.25">
      <c r="A191" s="230"/>
      <c r="B191" s="231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152"/>
        <v>1</v>
      </c>
      <c r="H191" s="59">
        <v>1</v>
      </c>
      <c r="I191" s="59">
        <v>1</v>
      </c>
      <c r="J191" s="75">
        <f t="shared" ref="J191:J192" si="157">K191</f>
        <v>99648.29</v>
      </c>
      <c r="K191" s="75">
        <v>99648.29</v>
      </c>
      <c r="L191" s="59" t="s">
        <v>104</v>
      </c>
      <c r="M191" s="59" t="s">
        <v>104</v>
      </c>
      <c r="N191" s="71">
        <f t="shared" ref="N191:N192" si="158">O191</f>
        <v>99648.29</v>
      </c>
      <c r="O191" s="146">
        <f t="shared" si="156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ref="U191:U192" si="159">H191*K191</f>
        <v>99648.29</v>
      </c>
      <c r="V191" s="75">
        <f t="shared" ref="V191:V192" si="160">I191*K191</f>
        <v>99648.29</v>
      </c>
    </row>
    <row r="192" spans="1:22" x14ac:dyDescent="0.25">
      <c r="A192" s="230"/>
      <c r="B192" s="231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152"/>
        <v>2</v>
      </c>
      <c r="H192" s="59">
        <v>2</v>
      </c>
      <c r="I192" s="59">
        <v>2</v>
      </c>
      <c r="J192" s="75">
        <f t="shared" si="157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158"/>
        <v>47106.879999999997</v>
      </c>
      <c r="O192" s="146">
        <f t="shared" si="156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159"/>
        <v>47106.879999999997</v>
      </c>
      <c r="V192" s="75">
        <f t="shared" si="160"/>
        <v>47106.879999999997</v>
      </c>
    </row>
    <row r="193" spans="1:22" ht="120" x14ac:dyDescent="0.25">
      <c r="A193" s="230"/>
      <c r="B193" s="231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152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 t="shared" si="97"/>
        <v>276783.54000000004</v>
      </c>
      <c r="V193" s="75">
        <f t="shared" si="98"/>
        <v>276783.54000000004</v>
      </c>
    </row>
    <row r="194" spans="1:22" x14ac:dyDescent="0.25">
      <c r="A194" s="230"/>
      <c r="B194" s="231"/>
      <c r="C194" s="66" t="s">
        <v>106</v>
      </c>
      <c r="D194" s="67"/>
      <c r="E194" s="59">
        <f>E184+E193</f>
        <v>209</v>
      </c>
      <c r="F194" s="59">
        <f t="shared" ref="F194:I194" si="161">F184+F193</f>
        <v>209</v>
      </c>
      <c r="G194" s="59">
        <f t="shared" si="161"/>
        <v>209</v>
      </c>
      <c r="H194" s="59">
        <f t="shared" si="161"/>
        <v>209</v>
      </c>
      <c r="I194" s="59">
        <f t="shared" si="161"/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 t="shared" ref="T194:V194" si="162">SUM(T184:T193)</f>
        <v>2429673.0699999998</v>
      </c>
      <c r="U194" s="71">
        <f t="shared" si="162"/>
        <v>10989234.039999999</v>
      </c>
      <c r="V194" s="71">
        <f t="shared" si="162"/>
        <v>10989234.039999999</v>
      </c>
    </row>
    <row r="195" spans="1:22" ht="90" x14ac:dyDescent="0.25">
      <c r="A195" s="230"/>
      <c r="B195" s="231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152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 t="shared" si="97"/>
        <v>11821648.68</v>
      </c>
      <c r="V195" s="75">
        <f t="shared" si="98"/>
        <v>11821648.68</v>
      </c>
    </row>
    <row r="196" spans="1:22" ht="135" x14ac:dyDescent="0.25">
      <c r="A196" s="230"/>
      <c r="B196" s="231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 x14ac:dyDescent="0.25">
      <c r="A197" s="230"/>
      <c r="B197" s="231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152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 t="shared" ref="V197:V201" si="163">I197*K197</f>
        <v>51179.44</v>
      </c>
    </row>
    <row r="198" spans="1:22" x14ac:dyDescent="0.25">
      <c r="A198" s="230"/>
      <c r="B198" s="231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152"/>
        <v>2</v>
      </c>
      <c r="H198" s="60">
        <v>2</v>
      </c>
      <c r="I198" s="60">
        <v>2</v>
      </c>
      <c r="J198" s="75">
        <f t="shared" ref="J198:J201" si="164">K198</f>
        <v>92468.25</v>
      </c>
      <c r="K198" s="75">
        <v>92468.25</v>
      </c>
      <c r="L198" s="59" t="s">
        <v>104</v>
      </c>
      <c r="M198" s="59" t="s">
        <v>104</v>
      </c>
      <c r="N198" s="71">
        <f t="shared" ref="N198:N201" si="165">O198</f>
        <v>184936.5</v>
      </c>
      <c r="O198" s="146">
        <f t="shared" ref="O198:O201" si="166">G198*K198</f>
        <v>184936.5</v>
      </c>
      <c r="P198" s="146"/>
      <c r="Q198" s="59" t="s">
        <v>104</v>
      </c>
      <c r="R198" s="59"/>
      <c r="S198" s="59"/>
      <c r="T198" s="59" t="s">
        <v>104</v>
      </c>
      <c r="U198" s="75">
        <f t="shared" ref="U198:U201" si="167">H198*K198</f>
        <v>184936.5</v>
      </c>
      <c r="V198" s="75">
        <f t="shared" si="163"/>
        <v>184936.5</v>
      </c>
    </row>
    <row r="199" spans="1:22" x14ac:dyDescent="0.25">
      <c r="A199" s="230"/>
      <c r="B199" s="231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152"/>
        <v>2</v>
      </c>
      <c r="H199" s="60">
        <v>2</v>
      </c>
      <c r="I199" s="60">
        <v>2</v>
      </c>
      <c r="J199" s="75">
        <f t="shared" si="164"/>
        <v>266106.15000000002</v>
      </c>
      <c r="K199" s="75">
        <v>266106.15000000002</v>
      </c>
      <c r="L199" s="59"/>
      <c r="M199" s="59"/>
      <c r="N199" s="71">
        <f t="shared" si="165"/>
        <v>532212.30000000005</v>
      </c>
      <c r="O199" s="146">
        <f t="shared" si="166"/>
        <v>532212.30000000005</v>
      </c>
      <c r="P199" s="146"/>
      <c r="Q199" s="59" t="s">
        <v>104</v>
      </c>
      <c r="R199" s="59"/>
      <c r="S199" s="59"/>
      <c r="T199" s="59"/>
      <c r="U199" s="75">
        <f t="shared" si="167"/>
        <v>532212.30000000005</v>
      </c>
      <c r="V199" s="75">
        <f t="shared" si="163"/>
        <v>532212.30000000005</v>
      </c>
    </row>
    <row r="200" spans="1:22" x14ac:dyDescent="0.25">
      <c r="A200" s="230"/>
      <c r="B200" s="231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152"/>
        <v>1</v>
      </c>
      <c r="H200" s="60">
        <v>1</v>
      </c>
      <c r="I200" s="60">
        <v>1</v>
      </c>
      <c r="J200" s="75">
        <f t="shared" si="164"/>
        <v>32769.75</v>
      </c>
      <c r="K200" s="75">
        <v>32769.75</v>
      </c>
      <c r="L200" s="59"/>
      <c r="M200" s="59"/>
      <c r="N200" s="71">
        <f t="shared" si="165"/>
        <v>32769.75</v>
      </c>
      <c r="O200" s="146">
        <f t="shared" si="166"/>
        <v>32769.75</v>
      </c>
      <c r="P200" s="146"/>
      <c r="Q200" s="59" t="s">
        <v>104</v>
      </c>
      <c r="R200" s="59"/>
      <c r="S200" s="59"/>
      <c r="T200" s="59"/>
      <c r="U200" s="75">
        <f t="shared" si="167"/>
        <v>32769.75</v>
      </c>
      <c r="V200" s="75">
        <f t="shared" si="163"/>
        <v>32769.75</v>
      </c>
    </row>
    <row r="201" spans="1:22" x14ac:dyDescent="0.25">
      <c r="A201" s="230"/>
      <c r="B201" s="231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152"/>
        <v>1</v>
      </c>
      <c r="H201" s="60">
        <v>1</v>
      </c>
      <c r="I201" s="60">
        <v>1</v>
      </c>
      <c r="J201" s="75">
        <f t="shared" si="164"/>
        <v>23553.439999999999</v>
      </c>
      <c r="K201" s="75">
        <v>23553.439999999999</v>
      </c>
      <c r="L201" s="59" t="s">
        <v>104</v>
      </c>
      <c r="M201" s="59" t="s">
        <v>104</v>
      </c>
      <c r="N201" s="71">
        <f t="shared" si="165"/>
        <v>23553.439999999999</v>
      </c>
      <c r="O201" s="146">
        <f t="shared" si="166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 t="shared" si="167"/>
        <v>23553.439999999999</v>
      </c>
      <c r="V201" s="75">
        <f t="shared" si="163"/>
        <v>23553.439999999999</v>
      </c>
    </row>
    <row r="202" spans="1:22" ht="120" x14ac:dyDescent="0.25">
      <c r="A202" s="230"/>
      <c r="B202" s="231"/>
      <c r="C202" s="61" t="s">
        <v>105</v>
      </c>
      <c r="D202" s="64" t="s">
        <v>101</v>
      </c>
      <c r="E202" s="60"/>
      <c r="F202" s="60"/>
      <c r="G202" s="59">
        <f t="shared" si="152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>G202*K202</f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 t="shared" si="97"/>
        <v>0</v>
      </c>
      <c r="V202" s="75">
        <f t="shared" si="98"/>
        <v>0</v>
      </c>
    </row>
    <row r="203" spans="1:22" x14ac:dyDescent="0.25">
      <c r="A203" s="230"/>
      <c r="B203" s="110"/>
      <c r="C203" s="66" t="s">
        <v>106</v>
      </c>
      <c r="D203" s="64"/>
      <c r="E203" s="60">
        <f>E195+E202</f>
        <v>229</v>
      </c>
      <c r="F203" s="60">
        <f t="shared" ref="F203:I203" si="168">F195+F202</f>
        <v>229</v>
      </c>
      <c r="G203" s="60">
        <f t="shared" si="168"/>
        <v>229</v>
      </c>
      <c r="H203" s="60">
        <f t="shared" si="168"/>
        <v>229</v>
      </c>
      <c r="I203" s="60">
        <f t="shared" si="168"/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 t="shared" ref="T203:V203" si="169">SUM(T195:T202)</f>
        <v>2662177.67</v>
      </c>
      <c r="U203" s="74">
        <f t="shared" si="169"/>
        <v>12646300.109999999</v>
      </c>
      <c r="V203" s="74">
        <f t="shared" si="169"/>
        <v>12646300.109999999</v>
      </c>
    </row>
    <row r="204" spans="1:22" ht="90" x14ac:dyDescent="0.25">
      <c r="A204" s="230"/>
      <c r="B204" s="231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152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 t="shared" si="97"/>
        <v>2055589.1999999997</v>
      </c>
      <c r="V204" s="75">
        <f t="shared" si="98"/>
        <v>2055589.1999999997</v>
      </c>
    </row>
    <row r="205" spans="1:22" ht="135" x14ac:dyDescent="0.25">
      <c r="A205" s="230"/>
      <c r="B205" s="231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 x14ac:dyDescent="0.25">
      <c r="A206" s="230"/>
      <c r="B206" s="231"/>
      <c r="C206" s="63" t="s">
        <v>165</v>
      </c>
      <c r="D206" s="64" t="s">
        <v>101</v>
      </c>
      <c r="E206" s="60">
        <v>0</v>
      </c>
      <c r="F206" s="60"/>
      <c r="G206" s="59">
        <f t="shared" si="152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20" x14ac:dyDescent="0.25">
      <c r="A207" s="230"/>
      <c r="B207" s="231"/>
      <c r="C207" s="61" t="s">
        <v>105</v>
      </c>
      <c r="D207" s="64" t="s">
        <v>101</v>
      </c>
      <c r="E207" s="60"/>
      <c r="F207" s="60">
        <v>0</v>
      </c>
      <c r="G207" s="157">
        <f t="shared" ref="G207:G209" si="170"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 t="shared" si="97"/>
        <v>0</v>
      </c>
      <c r="V207" s="75">
        <f t="shared" si="98"/>
        <v>0</v>
      </c>
    </row>
    <row r="208" spans="1:22" x14ac:dyDescent="0.25">
      <c r="A208" s="230"/>
      <c r="B208" s="110"/>
      <c r="C208" s="66" t="s">
        <v>106</v>
      </c>
      <c r="D208" s="64"/>
      <c r="E208" s="60">
        <f>E204+E207</f>
        <v>35</v>
      </c>
      <c r="F208" s="60">
        <f t="shared" ref="F208:I208" si="171">F204+F207</f>
        <v>35</v>
      </c>
      <c r="G208" s="60">
        <f t="shared" si="171"/>
        <v>35</v>
      </c>
      <c r="H208" s="60">
        <f t="shared" si="171"/>
        <v>35</v>
      </c>
      <c r="I208" s="60">
        <f t="shared" si="171"/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 t="shared" ref="T208:V208" si="172">SUM(T204:T207)</f>
        <v>406883.05</v>
      </c>
      <c r="U208" s="74">
        <f t="shared" si="172"/>
        <v>2055589.1999999997</v>
      </c>
      <c r="V208" s="74">
        <f t="shared" si="172"/>
        <v>2055589.1999999997</v>
      </c>
    </row>
    <row r="209" spans="1:22" ht="105" x14ac:dyDescent="0.25">
      <c r="A209" s="230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 t="shared" si="170"/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 t="shared" si="97"/>
        <v>1655164.1600000001</v>
      </c>
      <c r="V209" s="75">
        <f t="shared" si="98"/>
        <v>1655164.1600000001</v>
      </c>
    </row>
    <row r="210" spans="1:22" x14ac:dyDescent="0.25">
      <c r="A210" s="230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173">SUM(M209:M209)</f>
        <v>0</v>
      </c>
      <c r="N210" s="74">
        <f t="shared" si="173"/>
        <v>1655164.1600000001</v>
      </c>
      <c r="O210" s="74">
        <f t="shared" si="173"/>
        <v>1655164.1600000001</v>
      </c>
      <c r="P210" s="74"/>
      <c r="Q210" s="74">
        <f t="shared" si="173"/>
        <v>0</v>
      </c>
      <c r="R210" s="74"/>
      <c r="S210" s="74"/>
      <c r="T210" s="74">
        <f t="shared" si="173"/>
        <v>0</v>
      </c>
      <c r="U210" s="75">
        <f t="shared" si="173"/>
        <v>1655164.1600000001</v>
      </c>
      <c r="V210" s="75">
        <f t="shared" si="173"/>
        <v>1655164.1600000001</v>
      </c>
    </row>
    <row r="211" spans="1:22" x14ac:dyDescent="0.25">
      <c r="A211" s="230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90" x14ac:dyDescent="0.25">
      <c r="A212" s="230" t="s">
        <v>116</v>
      </c>
      <c r="B212" s="232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174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 t="shared" si="97"/>
        <v>13071938.220000001</v>
      </c>
      <c r="V212" s="75">
        <f t="shared" si="98"/>
        <v>13071938.220000001</v>
      </c>
    </row>
    <row r="213" spans="1:22" ht="135" x14ac:dyDescent="0.25">
      <c r="A213" s="230"/>
      <c r="B213" s="233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 x14ac:dyDescent="0.25">
      <c r="A214" s="230"/>
      <c r="B214" s="233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174"/>
        <v>1</v>
      </c>
      <c r="H214" s="59">
        <v>1</v>
      </c>
      <c r="I214" s="59">
        <v>1</v>
      </c>
      <c r="J214" s="75">
        <f t="shared" ref="J214:J219" si="175">K214</f>
        <v>25589.72</v>
      </c>
      <c r="K214" s="71">
        <v>25589.72</v>
      </c>
      <c r="L214" s="59"/>
      <c r="M214" s="59"/>
      <c r="N214" s="71">
        <f t="shared" ref="N214:N215" si="176">O214</f>
        <v>25589.72</v>
      </c>
      <c r="O214" s="146">
        <f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177">H214*K214</f>
        <v>25589.72</v>
      </c>
      <c r="V214" s="75">
        <f t="shared" ref="V214:V215" si="178">I214*K214</f>
        <v>25589.72</v>
      </c>
    </row>
    <row r="215" spans="1:22" x14ac:dyDescent="0.25">
      <c r="A215" s="230"/>
      <c r="B215" s="233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174"/>
        <v>3</v>
      </c>
      <c r="H215" s="59">
        <v>3</v>
      </c>
      <c r="I215" s="59">
        <v>3</v>
      </c>
      <c r="J215" s="75">
        <f t="shared" si="175"/>
        <v>69362.66</v>
      </c>
      <c r="K215" s="71">
        <v>69362.66</v>
      </c>
      <c r="L215" s="59" t="s">
        <v>104</v>
      </c>
      <c r="M215" s="59" t="s">
        <v>104</v>
      </c>
      <c r="N215" s="71">
        <f t="shared" si="176"/>
        <v>208087.98</v>
      </c>
      <c r="O215" s="146">
        <f t="shared" ref="O215:O219" si="179">G215*K215</f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177"/>
        <v>208087.98</v>
      </c>
      <c r="V215" s="75">
        <f t="shared" si="178"/>
        <v>208087.98</v>
      </c>
    </row>
    <row r="216" spans="1:22" x14ac:dyDescent="0.25">
      <c r="A216" s="230"/>
      <c r="B216" s="233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174"/>
        <v>1</v>
      </c>
      <c r="H216" s="59">
        <v>1</v>
      </c>
      <c r="I216" s="59">
        <v>1</v>
      </c>
      <c r="J216" s="75">
        <f t="shared" si="175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>O216</f>
        <v>66361.320000000007</v>
      </c>
      <c r="O216" s="146">
        <f t="shared" si="17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177"/>
        <v>66361.320000000007</v>
      </c>
      <c r="V216" s="75">
        <f>I216*K216</f>
        <v>66361.320000000007</v>
      </c>
    </row>
    <row r="217" spans="1:22" x14ac:dyDescent="0.25">
      <c r="A217" s="230"/>
      <c r="B217" s="233"/>
      <c r="C217" s="63" t="s">
        <v>167</v>
      </c>
      <c r="D217" s="64" t="s">
        <v>101</v>
      </c>
      <c r="E217" s="59"/>
      <c r="F217" s="59"/>
      <c r="G217" s="59">
        <f t="shared" si="174"/>
        <v>0</v>
      </c>
      <c r="H217" s="59"/>
      <c r="I217" s="59"/>
      <c r="J217" s="75">
        <f t="shared" si="175"/>
        <v>174890.83</v>
      </c>
      <c r="K217" s="75">
        <v>174890.83</v>
      </c>
      <c r="L217" s="59" t="s">
        <v>104</v>
      </c>
      <c r="M217" s="59" t="s">
        <v>104</v>
      </c>
      <c r="N217" s="71">
        <f>O217</f>
        <v>0</v>
      </c>
      <c r="O217" s="146">
        <f t="shared" si="17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177"/>
        <v>0</v>
      </c>
      <c r="V217" s="75">
        <f>I217*K217</f>
        <v>0</v>
      </c>
    </row>
    <row r="218" spans="1:22" x14ac:dyDescent="0.25">
      <c r="A218" s="230"/>
      <c r="B218" s="233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174"/>
        <v>1</v>
      </c>
      <c r="H218" s="59">
        <v>1</v>
      </c>
      <c r="I218" s="59">
        <v>1</v>
      </c>
      <c r="J218" s="75">
        <f t="shared" si="175"/>
        <v>99648.29</v>
      </c>
      <c r="K218" s="75">
        <v>99648.29</v>
      </c>
      <c r="L218" s="59" t="s">
        <v>104</v>
      </c>
      <c r="M218" s="59" t="s">
        <v>104</v>
      </c>
      <c r="N218" s="71">
        <f>O218</f>
        <v>99648.29</v>
      </c>
      <c r="O218" s="146">
        <f t="shared" si="17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177"/>
        <v>99648.29</v>
      </c>
      <c r="V218" s="75">
        <f>I218*K218</f>
        <v>99648.29</v>
      </c>
    </row>
    <row r="219" spans="1:22" x14ac:dyDescent="0.25">
      <c r="A219" s="230"/>
      <c r="B219" s="233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174"/>
        <v>1</v>
      </c>
      <c r="H219" s="59">
        <v>1</v>
      </c>
      <c r="I219" s="59">
        <v>1</v>
      </c>
      <c r="J219" s="75">
        <f t="shared" si="175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>O219</f>
        <v>23553.439999999999</v>
      </c>
      <c r="O219" s="146">
        <f t="shared" si="17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177"/>
        <v>23553.439999999999</v>
      </c>
      <c r="V219" s="75">
        <f>I219*K219</f>
        <v>23553.439999999999</v>
      </c>
    </row>
    <row r="220" spans="1:22" ht="120" x14ac:dyDescent="0.25">
      <c r="A220" s="230"/>
      <c r="B220" s="233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174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>G220*K220</f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180">H220*J220</f>
        <v>276783.54000000004</v>
      </c>
      <c r="V220" s="75">
        <f t="shared" ref="V220:V238" si="181">I220*J220</f>
        <v>276783.54000000004</v>
      </c>
    </row>
    <row r="221" spans="1:22" ht="105" x14ac:dyDescent="0.25">
      <c r="A221" s="230"/>
      <c r="B221" s="233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174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>G221*K221</f>
        <v>0</v>
      </c>
      <c r="P221" s="146"/>
      <c r="Q221" s="71"/>
      <c r="R221" s="71"/>
      <c r="S221" s="71"/>
      <c r="T221" s="71"/>
      <c r="U221" s="75">
        <f t="shared" si="180"/>
        <v>0</v>
      </c>
      <c r="V221" s="75">
        <f t="shared" si="181"/>
        <v>0</v>
      </c>
    </row>
    <row r="222" spans="1:22" x14ac:dyDescent="0.25">
      <c r="A222" s="230"/>
      <c r="B222" s="234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182">SUM(O212:O221)</f>
        <v>8646234.3499999996</v>
      </c>
      <c r="P222" s="71"/>
      <c r="Q222" s="71">
        <f t="shared" si="182"/>
        <v>1312652.72</v>
      </c>
      <c r="R222" s="71"/>
      <c r="S222" s="71"/>
      <c r="T222" s="71">
        <f t="shared" si="182"/>
        <v>3813075.44</v>
      </c>
      <c r="U222" s="71">
        <f t="shared" si="182"/>
        <v>13771962.510000002</v>
      </c>
      <c r="V222" s="71">
        <f t="shared" si="182"/>
        <v>13771962.510000002</v>
      </c>
    </row>
    <row r="223" spans="1:22" ht="90" x14ac:dyDescent="0.25">
      <c r="A223" s="230"/>
      <c r="B223" s="232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174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180"/>
        <v>8982388.0800000001</v>
      </c>
      <c r="V223" s="75">
        <f t="shared" si="181"/>
        <v>8982388.0800000001</v>
      </c>
    </row>
    <row r="224" spans="1:22" ht="120" x14ac:dyDescent="0.25">
      <c r="A224" s="230"/>
      <c r="B224" s="233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174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180"/>
        <v>12003021.139999999</v>
      </c>
      <c r="V224" s="75">
        <f t="shared" si="181"/>
        <v>12003021.139999999</v>
      </c>
    </row>
    <row r="225" spans="1:22" ht="120" x14ac:dyDescent="0.25">
      <c r="A225" s="230"/>
      <c r="B225" s="233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 x14ac:dyDescent="0.25">
      <c r="A226" s="230"/>
      <c r="B226" s="233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174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 x14ac:dyDescent="0.25">
      <c r="A227" s="230"/>
      <c r="B227" s="233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174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 t="shared" ref="O227:O228" si="183"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 x14ac:dyDescent="0.25">
      <c r="A228" s="230"/>
      <c r="B228" s="233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174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 t="shared" si="183"/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20" x14ac:dyDescent="0.25">
      <c r="A229" s="230"/>
      <c r="B229" s="233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174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180"/>
        <v>168684.5</v>
      </c>
      <c r="V229" s="75">
        <f t="shared" si="181"/>
        <v>168684.5</v>
      </c>
    </row>
    <row r="230" spans="1:22" ht="105" x14ac:dyDescent="0.25">
      <c r="A230" s="230"/>
      <c r="B230" s="233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174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180"/>
        <v>0</v>
      </c>
      <c r="V230" s="75">
        <f t="shared" si="181"/>
        <v>0</v>
      </c>
    </row>
    <row r="231" spans="1:22" x14ac:dyDescent="0.25">
      <c r="A231" s="230"/>
      <c r="B231" s="234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184">SUM(O223:O230)</f>
        <v>15178208.960000001</v>
      </c>
      <c r="P231" s="74"/>
      <c r="Q231" s="74">
        <f t="shared" si="184"/>
        <v>1572782.07</v>
      </c>
      <c r="R231" s="74"/>
      <c r="S231" s="74"/>
      <c r="T231" s="74">
        <f t="shared" si="184"/>
        <v>4568715.3900000006</v>
      </c>
      <c r="U231" s="74">
        <f t="shared" si="184"/>
        <v>21319706.419999998</v>
      </c>
      <c r="V231" s="74">
        <f t="shared" si="184"/>
        <v>21319706.419999998</v>
      </c>
    </row>
    <row r="232" spans="1:22" ht="90" x14ac:dyDescent="0.25">
      <c r="A232" s="230"/>
      <c r="B232" s="232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174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181"/>
        <v>3112749.36</v>
      </c>
    </row>
    <row r="233" spans="1:22" ht="119.25" x14ac:dyDescent="0.25">
      <c r="A233" s="230"/>
      <c r="B233" s="233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174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180"/>
        <v>5253381.6400000006</v>
      </c>
      <c r="V233" s="75">
        <f t="shared" si="181"/>
        <v>5253381.6400000006</v>
      </c>
    </row>
    <row r="234" spans="1:22" ht="120" x14ac:dyDescent="0.25">
      <c r="A234" s="230"/>
      <c r="B234" s="233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 x14ac:dyDescent="0.25">
      <c r="A235" s="230"/>
      <c r="B235" s="233"/>
      <c r="C235" s="63" t="s">
        <v>168</v>
      </c>
      <c r="D235" s="64" t="s">
        <v>101</v>
      </c>
      <c r="E235" s="60"/>
      <c r="F235" s="60"/>
      <c r="G235" s="59">
        <f t="shared" si="174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20" x14ac:dyDescent="0.25">
      <c r="A236" s="230"/>
      <c r="B236" s="233"/>
      <c r="C236" s="61" t="s">
        <v>105</v>
      </c>
      <c r="D236" s="64" t="s">
        <v>101</v>
      </c>
      <c r="E236" s="60"/>
      <c r="F236" s="60"/>
      <c r="G236" s="59">
        <f t="shared" si="174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180"/>
        <v>0</v>
      </c>
      <c r="V236" s="75">
        <f t="shared" si="181"/>
        <v>0</v>
      </c>
    </row>
    <row r="237" spans="1:22" x14ac:dyDescent="0.25">
      <c r="A237" s="230"/>
      <c r="B237" s="234"/>
      <c r="C237" s="66" t="s">
        <v>106</v>
      </c>
      <c r="D237" s="64"/>
      <c r="E237" s="60">
        <f>E232+E236</f>
        <v>53</v>
      </c>
      <c r="F237" s="60">
        <f t="shared" ref="F237:I237" si="185">F232+F236</f>
        <v>53</v>
      </c>
      <c r="G237" s="60">
        <f t="shared" si="185"/>
        <v>53</v>
      </c>
      <c r="H237" s="60">
        <f t="shared" si="185"/>
        <v>53</v>
      </c>
      <c r="I237" s="60">
        <f t="shared" si="185"/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186">SUM(O232:O236)</f>
        <v>6725272.9000000004</v>
      </c>
      <c r="P237" s="74"/>
      <c r="Q237" s="74">
        <f t="shared" si="186"/>
        <v>420208.94999999995</v>
      </c>
      <c r="R237" s="74"/>
      <c r="S237" s="74"/>
      <c r="T237" s="74">
        <f t="shared" si="186"/>
        <v>1220649.1499999999</v>
      </c>
      <c r="U237" s="74">
        <f t="shared" si="186"/>
        <v>8366131</v>
      </c>
      <c r="V237" s="74">
        <f t="shared" si="186"/>
        <v>8366131</v>
      </c>
    </row>
    <row r="238" spans="1:22" ht="105" x14ac:dyDescent="0.25">
      <c r="A238" s="230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174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180"/>
        <v>4913768.6000000006</v>
      </c>
      <c r="V238" s="75">
        <f t="shared" si="181"/>
        <v>4913768.6000000006</v>
      </c>
    </row>
    <row r="239" spans="1:22" x14ac:dyDescent="0.25">
      <c r="A239" s="230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187">SUM(M238:M238)</f>
        <v>0</v>
      </c>
      <c r="N239" s="74">
        <f t="shared" si="187"/>
        <v>4913768.6000000006</v>
      </c>
      <c r="O239" s="74">
        <f t="shared" si="187"/>
        <v>4913768.6000000006</v>
      </c>
      <c r="P239" s="74"/>
      <c r="Q239" s="74">
        <f t="shared" si="187"/>
        <v>0</v>
      </c>
      <c r="R239" s="74"/>
      <c r="S239" s="74"/>
      <c r="T239" s="74">
        <f t="shared" si="187"/>
        <v>0</v>
      </c>
      <c r="U239" s="75">
        <f t="shared" si="187"/>
        <v>4913768.6000000006</v>
      </c>
      <c r="V239" s="75">
        <f t="shared" si="187"/>
        <v>4913768.6000000006</v>
      </c>
    </row>
    <row r="240" spans="1:22" x14ac:dyDescent="0.25">
      <c r="A240" s="230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188">N222+N231+N237+N239</f>
        <v>48371568.530000001</v>
      </c>
      <c r="O240" s="103">
        <f t="shared" si="188"/>
        <v>35463484.810000002</v>
      </c>
      <c r="P240" s="103"/>
      <c r="Q240" s="103">
        <f t="shared" si="188"/>
        <v>3305643.74</v>
      </c>
      <c r="R240" s="103"/>
      <c r="S240" s="103"/>
      <c r="T240" s="103">
        <f t="shared" si="188"/>
        <v>9602439.9800000004</v>
      </c>
      <c r="U240" s="103">
        <f t="shared" si="188"/>
        <v>48371568.530000001</v>
      </c>
      <c r="V240" s="103">
        <f t="shared" si="188"/>
        <v>48371568.530000001</v>
      </c>
    </row>
    <row r="241" spans="1:23" ht="187.15" customHeight="1" x14ac:dyDescent="0.25">
      <c r="A241" s="230" t="s">
        <v>119</v>
      </c>
      <c r="B241" s="231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15" customHeight="1" x14ac:dyDescent="0.25">
      <c r="A242" s="230"/>
      <c r="B242" s="231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18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120" x14ac:dyDescent="0.25">
      <c r="A243" s="230"/>
      <c r="B243" s="231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 x14ac:dyDescent="0.25">
      <c r="A244" s="230"/>
      <c r="B244" s="231"/>
      <c r="C244" s="63" t="s">
        <v>166</v>
      </c>
      <c r="D244" s="64" t="s">
        <v>101</v>
      </c>
      <c r="E244" s="59">
        <v>2</v>
      </c>
      <c r="F244" s="59">
        <v>2</v>
      </c>
      <c r="G244" s="59">
        <f t="shared" ref="G244:G245" si="190"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105" x14ac:dyDescent="0.25">
      <c r="A245" s="230"/>
      <c r="B245" s="231"/>
      <c r="C245" s="61" t="s">
        <v>174</v>
      </c>
      <c r="D245" s="64" t="s">
        <v>101</v>
      </c>
      <c r="E245" s="59"/>
      <c r="F245" s="59"/>
      <c r="G245" s="59">
        <f t="shared" si="190"/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 x14ac:dyDescent="0.25">
      <c r="A246" s="230"/>
      <c r="B246" s="231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 t="shared" ref="T246:V246" si="191">SUM(T241:T245)</f>
        <v>1112824.1100000001</v>
      </c>
      <c r="U246" s="71">
        <f t="shared" si="191"/>
        <v>4368241.84</v>
      </c>
      <c r="V246" s="71">
        <f t="shared" si="191"/>
        <v>4368241.84</v>
      </c>
    </row>
    <row r="247" spans="1:23" ht="225" x14ac:dyDescent="0.25">
      <c r="A247" s="230"/>
      <c r="B247" s="231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18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240" x14ac:dyDescent="0.25">
      <c r="A248" s="230"/>
      <c r="B248" s="231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18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135" x14ac:dyDescent="0.25">
      <c r="A249" s="230"/>
      <c r="B249" s="231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 x14ac:dyDescent="0.25">
      <c r="A250" s="230"/>
      <c r="B250" s="110"/>
      <c r="C250" s="63" t="s">
        <v>165</v>
      </c>
      <c r="D250" s="64"/>
      <c r="E250" s="60">
        <v>1</v>
      </c>
      <c r="F250" s="60">
        <v>1</v>
      </c>
      <c r="G250" s="59">
        <f t="shared" ref="G250:G253" si="192"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 x14ac:dyDescent="0.25">
      <c r="A251" s="230"/>
      <c r="B251" s="110"/>
      <c r="C251" s="63" t="s">
        <v>168</v>
      </c>
      <c r="D251" s="64"/>
      <c r="E251" s="60">
        <v>1</v>
      </c>
      <c r="F251" s="60">
        <v>1</v>
      </c>
      <c r="G251" s="59">
        <f t="shared" si="192"/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20" x14ac:dyDescent="0.25">
      <c r="A252" s="230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 t="shared" si="192"/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105" x14ac:dyDescent="0.25">
      <c r="A253" s="230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 t="shared" si="192"/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 x14ac:dyDescent="0.25">
      <c r="A254" s="230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 t="shared" ref="T254:V254" si="193">SUM(T247:T253)</f>
        <v>1280860.3999999999</v>
      </c>
      <c r="U254" s="74">
        <f t="shared" si="193"/>
        <v>7891436.080000001</v>
      </c>
      <c r="V254" s="74">
        <f t="shared" si="193"/>
        <v>7891436.080000001</v>
      </c>
    </row>
    <row r="255" spans="1:23" ht="205.9" customHeight="1" x14ac:dyDescent="0.25">
      <c r="A255" s="230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 x14ac:dyDescent="0.25">
      <c r="A256" s="230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5" customHeight="1" x14ac:dyDescent="0.25">
      <c r="A257" s="230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149999999999999" customHeight="1" x14ac:dyDescent="0.25">
      <c r="A258" s="230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 t="shared" ref="G258:G260" si="194"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 x14ac:dyDescent="0.25">
      <c r="A259" s="230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195">SUM(Q255:Q258)</f>
        <v>60029.850000000006</v>
      </c>
      <c r="R259" s="74"/>
      <c r="S259" s="74"/>
      <c r="T259" s="74">
        <f t="shared" si="195"/>
        <v>165628.5</v>
      </c>
      <c r="U259" s="74">
        <f t="shared" si="195"/>
        <v>2078344.5399999998</v>
      </c>
      <c r="V259" s="74">
        <f t="shared" si="195"/>
        <v>2078344.5399999998</v>
      </c>
    </row>
    <row r="260" spans="1:24" ht="105" x14ac:dyDescent="0.25">
      <c r="A260" s="230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 t="shared" si="194"/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 t="shared" ref="U260" si="196">H260*J260</f>
        <v>1529704.25</v>
      </c>
      <c r="V260" s="75">
        <f t="shared" ref="V260" si="197">I260*J260</f>
        <v>1529704.25</v>
      </c>
    </row>
    <row r="261" spans="1:24" x14ac:dyDescent="0.25">
      <c r="A261" s="230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198">SUM(M260:M260)</f>
        <v>0</v>
      </c>
      <c r="N261" s="74">
        <f t="shared" si="198"/>
        <v>1529704.25</v>
      </c>
      <c r="O261" s="74">
        <f t="shared" si="198"/>
        <v>1529704.25</v>
      </c>
      <c r="P261" s="74"/>
      <c r="Q261" s="74">
        <f t="shared" si="198"/>
        <v>0</v>
      </c>
      <c r="R261" s="74"/>
      <c r="S261" s="74"/>
      <c r="T261" s="74">
        <f t="shared" si="198"/>
        <v>0</v>
      </c>
      <c r="U261" s="74">
        <f t="shared" si="198"/>
        <v>1529704.25</v>
      </c>
      <c r="V261" s="74">
        <f t="shared" si="198"/>
        <v>1529704.25</v>
      </c>
    </row>
    <row r="262" spans="1:24" x14ac:dyDescent="0.25">
      <c r="A262" s="230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199">N246+N254+N259+N261</f>
        <v>15867726.709999999</v>
      </c>
      <c r="O262" s="103">
        <f t="shared" si="199"/>
        <v>12439981.869999999</v>
      </c>
      <c r="P262" s="103"/>
      <c r="Q262" s="103">
        <f t="shared" si="199"/>
        <v>868431.83</v>
      </c>
      <c r="R262" s="103"/>
      <c r="S262" s="103"/>
      <c r="T262" s="103">
        <f t="shared" si="199"/>
        <v>2559313.0099999998</v>
      </c>
      <c r="U262" s="103">
        <f t="shared" si="199"/>
        <v>15867726.710000001</v>
      </c>
      <c r="V262" s="103">
        <f t="shared" si="199"/>
        <v>15867726.710000001</v>
      </c>
      <c r="X262" s="85"/>
    </row>
    <row r="263" spans="1:24" x14ac:dyDescent="0.25">
      <c r="A263" s="96" t="s">
        <v>156</v>
      </c>
    </row>
    <row r="264" spans="1:24" ht="30" x14ac:dyDescent="0.25">
      <c r="A264" s="109" t="s">
        <v>3</v>
      </c>
      <c r="B264" s="109" t="s">
        <v>81</v>
      </c>
      <c r="C264" s="109" t="s">
        <v>4</v>
      </c>
      <c r="D264" s="228" t="s">
        <v>5</v>
      </c>
      <c r="E264" s="228"/>
      <c r="F264" s="228"/>
      <c r="G264" s="228"/>
      <c r="H264" s="228"/>
      <c r="I264" s="229" t="s">
        <v>6</v>
      </c>
      <c r="J264" s="229" t="s">
        <v>7</v>
      </c>
      <c r="K264" s="229"/>
      <c r="L264" s="229"/>
    </row>
    <row r="265" spans="1:24" ht="30" x14ac:dyDescent="0.25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229"/>
      <c r="J265" s="154" t="s">
        <v>176</v>
      </c>
      <c r="K265" s="154" t="s">
        <v>183</v>
      </c>
      <c r="L265" s="154" t="s">
        <v>205</v>
      </c>
    </row>
    <row r="266" spans="1:24" ht="94.5" customHeight="1" x14ac:dyDescent="0.25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105" x14ac:dyDescent="0.25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105" x14ac:dyDescent="0.25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 t="shared" ref="L268" si="200">K268</f>
        <v>6590626.5599999996</v>
      </c>
      <c r="M268" s="85"/>
    </row>
    <row r="271" spans="1:24" x14ac:dyDescent="0.25">
      <c r="A271" s="80" t="s">
        <v>178</v>
      </c>
    </row>
  </sheetData>
  <mergeCells count="41"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9"/>
  <sheetViews>
    <sheetView topLeftCell="A168" workbookViewId="0">
      <selection sqref="A1:U182"/>
    </sheetView>
  </sheetViews>
  <sheetFormatPr defaultColWidth="9.140625" defaultRowHeight="15" x14ac:dyDescent="0.25"/>
  <cols>
    <col min="1" max="1" width="19.42578125" style="80" customWidth="1"/>
    <col min="2" max="2" width="28.7109375" style="80" customWidth="1"/>
    <col min="3" max="3" width="24.570312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8.28515625" style="80" bestFit="1" customWidth="1"/>
    <col min="8" max="9" width="12" style="80" bestFit="1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5" width="15.42578125" style="80" customWidth="1"/>
    <col min="16" max="17" width="14.7109375" style="80" customWidth="1"/>
    <col min="18" max="19" width="14.28515625" style="80" customWidth="1"/>
    <col min="20" max="20" width="16.140625" style="80" customWidth="1"/>
    <col min="21" max="21" width="14.85546875" style="80" bestFit="1" customWidth="1"/>
    <col min="22" max="22" width="15.28515625" style="80" customWidth="1"/>
    <col min="23" max="23" width="13.5703125" style="80" bestFit="1" customWidth="1"/>
    <col min="24" max="24" width="9.42578125" style="80" bestFit="1" customWidth="1"/>
    <col min="25" max="16384" width="9.140625" style="80"/>
  </cols>
  <sheetData>
    <row r="1" spans="1:21" x14ac:dyDescent="0.25">
      <c r="R1" s="117"/>
      <c r="S1" s="117"/>
      <c r="T1" s="117" t="s">
        <v>175</v>
      </c>
      <c r="U1" s="117"/>
    </row>
    <row r="2" spans="1:21" x14ac:dyDescent="0.25">
      <c r="R2" s="117"/>
      <c r="S2" s="117"/>
      <c r="T2" s="117" t="s">
        <v>236</v>
      </c>
      <c r="U2" s="117"/>
    </row>
    <row r="3" spans="1:21" hidden="1" x14ac:dyDescent="0.25">
      <c r="R3" s="117" t="s">
        <v>175</v>
      </c>
      <c r="S3" s="117"/>
    </row>
    <row r="4" spans="1:21" hidden="1" x14ac:dyDescent="0.25">
      <c r="R4" s="117" t="s">
        <v>189</v>
      </c>
      <c r="S4" s="117"/>
    </row>
    <row r="5" spans="1:21" x14ac:dyDescent="0.25">
      <c r="A5" s="236" t="s">
        <v>207</v>
      </c>
      <c r="B5" s="236"/>
      <c r="C5" s="237"/>
      <c r="D5" s="236"/>
      <c r="E5" s="236"/>
      <c r="F5" s="237"/>
      <c r="G5" s="237"/>
      <c r="H5" s="236"/>
      <c r="I5" s="236"/>
      <c r="J5" s="236"/>
      <c r="K5" s="237"/>
      <c r="L5" s="236"/>
      <c r="M5" s="236"/>
      <c r="N5" s="236"/>
      <c r="O5" s="236"/>
      <c r="P5" s="237"/>
      <c r="Q5" s="237"/>
      <c r="R5" s="236"/>
      <c r="S5" s="237"/>
      <c r="T5" s="236"/>
      <c r="U5" s="236"/>
    </row>
    <row r="6" spans="1:21" x14ac:dyDescent="0.25">
      <c r="A6" s="242" t="s">
        <v>154</v>
      </c>
      <c r="B6" s="242"/>
      <c r="C6" s="242"/>
      <c r="D6" s="86"/>
      <c r="E6" s="87"/>
      <c r="F6" s="87"/>
      <c r="G6" s="87"/>
      <c r="H6" s="87"/>
      <c r="I6" s="87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ht="30" x14ac:dyDescent="0.25">
      <c r="A7" s="246" t="s">
        <v>3</v>
      </c>
      <c r="B7" s="246" t="s">
        <v>86</v>
      </c>
      <c r="C7" s="199" t="s">
        <v>87</v>
      </c>
      <c r="D7" s="246" t="s">
        <v>4</v>
      </c>
      <c r="E7" s="247" t="s">
        <v>5</v>
      </c>
      <c r="F7" s="247"/>
      <c r="G7" s="247"/>
      <c r="H7" s="247"/>
      <c r="I7" s="247"/>
      <c r="J7" s="235" t="s">
        <v>6</v>
      </c>
      <c r="K7" s="235"/>
      <c r="L7" s="235"/>
      <c r="M7" s="235"/>
      <c r="N7" s="235" t="s">
        <v>7</v>
      </c>
      <c r="O7" s="235"/>
      <c r="P7" s="235"/>
      <c r="Q7" s="235"/>
      <c r="R7" s="235"/>
      <c r="S7" s="235"/>
      <c r="T7" s="235"/>
      <c r="U7" s="235"/>
    </row>
    <row r="8" spans="1:21" ht="120" x14ac:dyDescent="0.25">
      <c r="A8" s="246"/>
      <c r="B8" s="246"/>
      <c r="C8" s="199"/>
      <c r="D8" s="246"/>
      <c r="E8" s="200" t="s">
        <v>176</v>
      </c>
      <c r="F8" s="200" t="s">
        <v>208</v>
      </c>
      <c r="G8" s="200" t="s">
        <v>212</v>
      </c>
      <c r="H8" s="200" t="s">
        <v>183</v>
      </c>
      <c r="I8" s="200" t="s">
        <v>205</v>
      </c>
      <c r="J8" s="195" t="s">
        <v>88</v>
      </c>
      <c r="K8" s="195" t="s">
        <v>89</v>
      </c>
      <c r="L8" s="195" t="s">
        <v>90</v>
      </c>
      <c r="M8" s="195" t="s">
        <v>91</v>
      </c>
      <c r="N8" s="195" t="s">
        <v>209</v>
      </c>
      <c r="O8" s="195" t="s">
        <v>93</v>
      </c>
      <c r="P8" s="195" t="s">
        <v>94</v>
      </c>
      <c r="Q8" s="195" t="s">
        <v>222</v>
      </c>
      <c r="R8" s="209" t="s">
        <v>95</v>
      </c>
      <c r="S8" s="195" t="s">
        <v>223</v>
      </c>
      <c r="T8" s="195" t="s">
        <v>184</v>
      </c>
      <c r="U8" s="195" t="s">
        <v>210</v>
      </c>
    </row>
    <row r="9" spans="1:21" ht="60" x14ac:dyDescent="0.25">
      <c r="A9" s="98" t="s">
        <v>13</v>
      </c>
      <c r="B9" s="98" t="s">
        <v>13</v>
      </c>
      <c r="C9" s="98"/>
      <c r="D9" s="98" t="s">
        <v>15</v>
      </c>
      <c r="E9" s="99" t="s">
        <v>16</v>
      </c>
      <c r="F9" s="99" t="s">
        <v>16</v>
      </c>
      <c r="G9" s="99"/>
      <c r="H9" s="99" t="s">
        <v>16</v>
      </c>
      <c r="I9" s="99" t="s">
        <v>16</v>
      </c>
      <c r="J9" s="195" t="s">
        <v>17</v>
      </c>
      <c r="K9" s="195" t="s">
        <v>17</v>
      </c>
      <c r="L9" s="195" t="s">
        <v>17</v>
      </c>
      <c r="M9" s="195" t="s">
        <v>17</v>
      </c>
      <c r="N9" s="195" t="s">
        <v>17</v>
      </c>
      <c r="O9" s="195" t="s">
        <v>17</v>
      </c>
      <c r="P9" s="195" t="s">
        <v>17</v>
      </c>
      <c r="Q9" s="195"/>
      <c r="R9" s="209" t="s">
        <v>17</v>
      </c>
      <c r="S9" s="195"/>
      <c r="T9" s="195" t="s">
        <v>17</v>
      </c>
      <c r="U9" s="195" t="s">
        <v>17</v>
      </c>
    </row>
    <row r="10" spans="1:21" ht="90" x14ac:dyDescent="0.25">
      <c r="A10" s="230" t="s">
        <v>98</v>
      </c>
      <c r="B10" s="232" t="s">
        <v>249</v>
      </c>
      <c r="C10" s="61" t="s">
        <v>100</v>
      </c>
      <c r="D10" s="62" t="s">
        <v>101</v>
      </c>
      <c r="E10" s="59">
        <v>268</v>
      </c>
      <c r="F10" s="59">
        <v>268</v>
      </c>
      <c r="G10" s="59">
        <f>((E10*8)+(F10*4))/12</f>
        <v>268</v>
      </c>
      <c r="H10" s="59">
        <v>268</v>
      </c>
      <c r="I10" s="59">
        <v>268</v>
      </c>
      <c r="J10" s="107">
        <f>SUM(K10:M10)</f>
        <v>41517.257145999996</v>
      </c>
      <c r="K10" s="107">
        <f>22687.5+1342.39</f>
        <v>24029.89</v>
      </c>
      <c r="L10" s="70">
        <f>4001.99*2.3654</f>
        <v>9466.307146000001</v>
      </c>
      <c r="M10" s="70">
        <v>8021.06</v>
      </c>
      <c r="N10" s="71">
        <f>SUM(O10:R10)</f>
        <v>11126624.405128</v>
      </c>
      <c r="O10" s="71">
        <f>G10*K10-0.51</f>
        <v>6440010.0099999998</v>
      </c>
      <c r="P10" s="71">
        <f>G10*L10</f>
        <v>2536970.3151280005</v>
      </c>
      <c r="Q10" s="71"/>
      <c r="R10" s="75">
        <f>G10*M10</f>
        <v>2149644.08</v>
      </c>
      <c r="S10" s="75"/>
      <c r="T10" s="75">
        <f>N10</f>
        <v>11126624.405128</v>
      </c>
      <c r="U10" s="75">
        <f>T10</f>
        <v>11126624.405128</v>
      </c>
    </row>
    <row r="11" spans="1:21" ht="90" x14ac:dyDescent="0.25">
      <c r="A11" s="230"/>
      <c r="B11" s="233"/>
      <c r="C11" s="63" t="s">
        <v>163</v>
      </c>
      <c r="D11" s="64" t="s">
        <v>101</v>
      </c>
      <c r="E11" s="59" t="s">
        <v>104</v>
      </c>
      <c r="F11" s="59" t="s">
        <v>104</v>
      </c>
      <c r="G11" s="59"/>
      <c r="H11" s="59" t="s">
        <v>104</v>
      </c>
      <c r="I11" s="59" t="s">
        <v>104</v>
      </c>
      <c r="J11" s="59" t="s">
        <v>104</v>
      </c>
      <c r="K11" s="59" t="s">
        <v>104</v>
      </c>
      <c r="L11" s="72" t="s">
        <v>104</v>
      </c>
      <c r="M11" s="72" t="s">
        <v>104</v>
      </c>
      <c r="N11" s="195"/>
      <c r="O11" s="71"/>
      <c r="P11" s="72" t="s">
        <v>104</v>
      </c>
      <c r="Q11" s="72"/>
      <c r="R11" s="72" t="s">
        <v>104</v>
      </c>
      <c r="S11" s="72"/>
      <c r="T11" s="100"/>
      <c r="U11" s="100"/>
    </row>
    <row r="12" spans="1:21" x14ac:dyDescent="0.25">
      <c r="A12" s="230"/>
      <c r="B12" s="233"/>
      <c r="C12" s="63" t="s">
        <v>164</v>
      </c>
      <c r="D12" s="64"/>
      <c r="E12" s="59"/>
      <c r="F12" s="59"/>
      <c r="G12" s="59">
        <f>((E12*8)+(F12*4))/12</f>
        <v>0</v>
      </c>
      <c r="H12" s="59"/>
      <c r="I12" s="59"/>
      <c r="J12" s="71">
        <f>K12</f>
        <v>25589.72</v>
      </c>
      <c r="K12" s="75">
        <v>25589.72</v>
      </c>
      <c r="L12" s="72" t="s">
        <v>104</v>
      </c>
      <c r="M12" s="72" t="s">
        <v>104</v>
      </c>
      <c r="N12" s="195">
        <f>O12</f>
        <v>0</v>
      </c>
      <c r="O12" s="71">
        <f>G12*K12</f>
        <v>0</v>
      </c>
      <c r="P12" s="72" t="s">
        <v>104</v>
      </c>
      <c r="Q12" s="72"/>
      <c r="R12" s="72" t="s">
        <v>104</v>
      </c>
      <c r="S12" s="72"/>
      <c r="T12" s="100">
        <f>H12*K12</f>
        <v>0</v>
      </c>
      <c r="U12" s="100">
        <f>I12*K12</f>
        <v>0</v>
      </c>
    </row>
    <row r="13" spans="1:21" x14ac:dyDescent="0.25">
      <c r="A13" s="230"/>
      <c r="B13" s="233"/>
      <c r="C13" s="63" t="s">
        <v>169</v>
      </c>
      <c r="D13" s="64"/>
      <c r="E13" s="59">
        <v>7</v>
      </c>
      <c r="F13" s="59">
        <v>7</v>
      </c>
      <c r="G13" s="59">
        <f t="shared" ref="G13:G20" si="0">((E13*8)+(F13*4))/12</f>
        <v>7</v>
      </c>
      <c r="H13" s="59">
        <v>7</v>
      </c>
      <c r="I13" s="59">
        <v>7</v>
      </c>
      <c r="J13" s="71">
        <f>K13</f>
        <v>69362.66</v>
      </c>
      <c r="K13" s="71">
        <v>69362.66</v>
      </c>
      <c r="L13" s="72" t="s">
        <v>104</v>
      </c>
      <c r="M13" s="72" t="s">
        <v>104</v>
      </c>
      <c r="N13" s="195">
        <f>O13</f>
        <v>485538.62</v>
      </c>
      <c r="O13" s="71">
        <f t="shared" ref="O13:O19" si="1">G13*K13</f>
        <v>485538.62</v>
      </c>
      <c r="P13" s="72" t="s">
        <v>104</v>
      </c>
      <c r="Q13" s="72"/>
      <c r="R13" s="72" t="s">
        <v>104</v>
      </c>
      <c r="S13" s="72"/>
      <c r="T13" s="100">
        <f>H13*K13</f>
        <v>485538.62</v>
      </c>
      <c r="U13" s="100">
        <f>I13*K13</f>
        <v>485538.62</v>
      </c>
    </row>
    <row r="14" spans="1:21" x14ac:dyDescent="0.25">
      <c r="A14" s="230"/>
      <c r="B14" s="233"/>
      <c r="C14" s="63" t="s">
        <v>165</v>
      </c>
      <c r="D14" s="64"/>
      <c r="E14" s="59">
        <v>4</v>
      </c>
      <c r="F14" s="59">
        <v>4</v>
      </c>
      <c r="G14" s="59">
        <f t="shared" si="0"/>
        <v>4</v>
      </c>
      <c r="H14" s="59">
        <v>4</v>
      </c>
      <c r="I14" s="59">
        <v>4</v>
      </c>
      <c r="J14" s="71">
        <f t="shared" ref="J14:J19" si="2">K14</f>
        <v>92468.25</v>
      </c>
      <c r="K14" s="75">
        <v>92468.25</v>
      </c>
      <c r="L14" s="72" t="s">
        <v>104</v>
      </c>
      <c r="M14" s="72" t="s">
        <v>104</v>
      </c>
      <c r="N14" s="195">
        <f t="shared" ref="N14:N19" si="3">O14</f>
        <v>369873</v>
      </c>
      <c r="O14" s="71">
        <f t="shared" si="1"/>
        <v>369873</v>
      </c>
      <c r="P14" s="72" t="s">
        <v>104</v>
      </c>
      <c r="Q14" s="72"/>
      <c r="R14" s="72" t="s">
        <v>104</v>
      </c>
      <c r="S14" s="72"/>
      <c r="T14" s="100">
        <f t="shared" ref="T14:T19" si="4">H14*K14</f>
        <v>369873</v>
      </c>
      <c r="U14" s="100">
        <f t="shared" ref="U14:U19" si="5">I14*K14</f>
        <v>369873</v>
      </c>
    </row>
    <row r="15" spans="1:21" x14ac:dyDescent="0.25">
      <c r="A15" s="230"/>
      <c r="B15" s="233"/>
      <c r="C15" s="63" t="s">
        <v>166</v>
      </c>
      <c r="D15" s="64"/>
      <c r="E15" s="59">
        <v>17</v>
      </c>
      <c r="F15" s="59">
        <v>17</v>
      </c>
      <c r="G15" s="59">
        <f t="shared" si="0"/>
        <v>17</v>
      </c>
      <c r="H15" s="59">
        <v>17</v>
      </c>
      <c r="I15" s="59">
        <v>17</v>
      </c>
      <c r="J15" s="71">
        <f t="shared" si="2"/>
        <v>66361.320000000007</v>
      </c>
      <c r="K15" s="75">
        <v>66361.320000000007</v>
      </c>
      <c r="L15" s="72" t="s">
        <v>104</v>
      </c>
      <c r="M15" s="72" t="s">
        <v>104</v>
      </c>
      <c r="N15" s="195">
        <f t="shared" si="3"/>
        <v>1128142.4400000002</v>
      </c>
      <c r="O15" s="71">
        <f t="shared" si="1"/>
        <v>1128142.4400000002</v>
      </c>
      <c r="P15" s="72" t="s">
        <v>104</v>
      </c>
      <c r="Q15" s="72"/>
      <c r="R15" s="72" t="s">
        <v>104</v>
      </c>
      <c r="S15" s="72"/>
      <c r="T15" s="100">
        <f t="shared" si="4"/>
        <v>1128142.4400000002</v>
      </c>
      <c r="U15" s="100">
        <f t="shared" si="5"/>
        <v>1128142.4400000002</v>
      </c>
    </row>
    <row r="16" spans="1:21" x14ac:dyDescent="0.25">
      <c r="A16" s="230"/>
      <c r="B16" s="233"/>
      <c r="C16" s="63" t="s">
        <v>167</v>
      </c>
      <c r="D16" s="64"/>
      <c r="E16" s="59">
        <v>1</v>
      </c>
      <c r="F16" s="59">
        <v>1</v>
      </c>
      <c r="G16" s="59">
        <f t="shared" si="0"/>
        <v>1</v>
      </c>
      <c r="H16" s="59">
        <v>1</v>
      </c>
      <c r="I16" s="59">
        <v>1</v>
      </c>
      <c r="J16" s="71">
        <f t="shared" si="2"/>
        <v>174890.83</v>
      </c>
      <c r="K16" s="75">
        <v>174890.83</v>
      </c>
      <c r="L16" s="72" t="s">
        <v>104</v>
      </c>
      <c r="M16" s="72" t="s">
        <v>104</v>
      </c>
      <c r="N16" s="195">
        <f t="shared" si="3"/>
        <v>174890.83</v>
      </c>
      <c r="O16" s="71">
        <f t="shared" si="1"/>
        <v>174890.83</v>
      </c>
      <c r="P16" s="72" t="s">
        <v>104</v>
      </c>
      <c r="Q16" s="72"/>
      <c r="R16" s="72" t="s">
        <v>104</v>
      </c>
      <c r="S16" s="72"/>
      <c r="T16" s="100">
        <f t="shared" si="4"/>
        <v>174890.83</v>
      </c>
      <c r="U16" s="100">
        <f t="shared" si="5"/>
        <v>174890.83</v>
      </c>
    </row>
    <row r="17" spans="1:24" x14ac:dyDescent="0.25">
      <c r="A17" s="230"/>
      <c r="B17" s="233"/>
      <c r="C17" s="63" t="s">
        <v>190</v>
      </c>
      <c r="D17" s="64"/>
      <c r="E17" s="59">
        <v>1</v>
      </c>
      <c r="F17" s="59">
        <v>1</v>
      </c>
      <c r="G17" s="157">
        <f t="shared" si="0"/>
        <v>1</v>
      </c>
      <c r="H17" s="59">
        <v>1</v>
      </c>
      <c r="I17" s="59">
        <v>1</v>
      </c>
      <c r="J17" s="71">
        <f t="shared" si="2"/>
        <v>178794.98</v>
      </c>
      <c r="K17" s="75">
        <v>178794.98</v>
      </c>
      <c r="L17" s="72"/>
      <c r="M17" s="72"/>
      <c r="N17" s="195">
        <f t="shared" si="3"/>
        <v>178794.98</v>
      </c>
      <c r="O17" s="71">
        <f t="shared" si="1"/>
        <v>178794.98</v>
      </c>
      <c r="P17" s="72" t="s">
        <v>104</v>
      </c>
      <c r="Q17" s="72"/>
      <c r="R17" s="72" t="s">
        <v>104</v>
      </c>
      <c r="S17" s="72"/>
      <c r="T17" s="100">
        <f t="shared" si="4"/>
        <v>178794.98</v>
      </c>
      <c r="U17" s="100">
        <f t="shared" si="5"/>
        <v>178794.98</v>
      </c>
    </row>
    <row r="18" spans="1:24" x14ac:dyDescent="0.25">
      <c r="A18" s="230"/>
      <c r="B18" s="233"/>
      <c r="C18" s="63" t="s">
        <v>170</v>
      </c>
      <c r="D18" s="64"/>
      <c r="E18" s="59">
        <v>1</v>
      </c>
      <c r="F18" s="59">
        <v>1</v>
      </c>
      <c r="G18" s="59">
        <f t="shared" si="0"/>
        <v>1</v>
      </c>
      <c r="H18" s="59">
        <v>1</v>
      </c>
      <c r="I18" s="59">
        <v>1</v>
      </c>
      <c r="J18" s="71">
        <f t="shared" si="2"/>
        <v>99648.29</v>
      </c>
      <c r="K18" s="75">
        <v>99648.29</v>
      </c>
      <c r="L18" s="72" t="s">
        <v>104</v>
      </c>
      <c r="M18" s="72" t="s">
        <v>104</v>
      </c>
      <c r="N18" s="195">
        <f t="shared" si="3"/>
        <v>99648.29</v>
      </c>
      <c r="O18" s="71">
        <f t="shared" si="1"/>
        <v>99648.29</v>
      </c>
      <c r="P18" s="72" t="s">
        <v>104</v>
      </c>
      <c r="Q18" s="72"/>
      <c r="R18" s="72" t="s">
        <v>104</v>
      </c>
      <c r="S18" s="72"/>
      <c r="T18" s="100">
        <f t="shared" si="4"/>
        <v>99648.29</v>
      </c>
      <c r="U18" s="100">
        <f t="shared" si="5"/>
        <v>99648.29</v>
      </c>
    </row>
    <row r="19" spans="1:24" x14ac:dyDescent="0.25">
      <c r="A19" s="230"/>
      <c r="B19" s="233"/>
      <c r="C19" s="63" t="s">
        <v>168</v>
      </c>
      <c r="D19" s="64"/>
      <c r="E19" s="59">
        <v>1</v>
      </c>
      <c r="F19" s="59">
        <v>1</v>
      </c>
      <c r="G19" s="157">
        <f t="shared" si="0"/>
        <v>1</v>
      </c>
      <c r="H19" s="59">
        <v>1</v>
      </c>
      <c r="I19" s="59">
        <v>1</v>
      </c>
      <c r="J19" s="71">
        <f t="shared" si="2"/>
        <v>23553.439999999999</v>
      </c>
      <c r="K19" s="75">
        <v>23553.439999999999</v>
      </c>
      <c r="L19" s="72" t="s">
        <v>104</v>
      </c>
      <c r="M19" s="72" t="s">
        <v>104</v>
      </c>
      <c r="N19" s="195">
        <f t="shared" si="3"/>
        <v>23553.439999999999</v>
      </c>
      <c r="O19" s="71">
        <f t="shared" si="1"/>
        <v>23553.439999999999</v>
      </c>
      <c r="P19" s="72" t="s">
        <v>104</v>
      </c>
      <c r="Q19" s="72"/>
      <c r="R19" s="72" t="s">
        <v>104</v>
      </c>
      <c r="S19" s="72"/>
      <c r="T19" s="100">
        <f t="shared" si="4"/>
        <v>23553.439999999999</v>
      </c>
      <c r="U19" s="100">
        <f t="shared" si="5"/>
        <v>23553.439999999999</v>
      </c>
    </row>
    <row r="20" spans="1:24" ht="120" x14ac:dyDescent="0.25">
      <c r="A20" s="230"/>
      <c r="B20" s="233"/>
      <c r="C20" s="61" t="s">
        <v>105</v>
      </c>
      <c r="D20" s="64" t="s">
        <v>101</v>
      </c>
      <c r="E20" s="59">
        <v>4</v>
      </c>
      <c r="F20" s="59">
        <v>4</v>
      </c>
      <c r="G20" s="59">
        <f t="shared" si="0"/>
        <v>4</v>
      </c>
      <c r="H20" s="59">
        <v>4</v>
      </c>
      <c r="I20" s="59">
        <v>4</v>
      </c>
      <c r="J20" s="75">
        <f>SUM(K20:M20)</f>
        <v>140242.677146</v>
      </c>
      <c r="K20" s="75">
        <f>121412.92+1342.39</f>
        <v>122755.31</v>
      </c>
      <c r="L20" s="72">
        <f>4001.99*2.3654</f>
        <v>9466.307146000001</v>
      </c>
      <c r="M20" s="70">
        <v>8021.06</v>
      </c>
      <c r="N20" s="71">
        <f>SUM(O20:R20)</f>
        <v>560970.70858400001</v>
      </c>
      <c r="O20" s="71">
        <f>G20*K20</f>
        <v>491021.24</v>
      </c>
      <c r="P20" s="71">
        <f>G20*L20</f>
        <v>37865.228584000004</v>
      </c>
      <c r="Q20" s="71"/>
      <c r="R20" s="75">
        <f>G20*M20</f>
        <v>32084.240000000002</v>
      </c>
      <c r="S20" s="75"/>
      <c r="T20" s="100">
        <f>H20*J20</f>
        <v>560970.70858400001</v>
      </c>
      <c r="U20" s="100">
        <f t="shared" ref="U20:U115" si="6">I20*J20</f>
        <v>560970.70858400001</v>
      </c>
    </row>
    <row r="21" spans="1:24" x14ac:dyDescent="0.25">
      <c r="A21" s="230"/>
      <c r="B21" s="234"/>
      <c r="C21" s="66" t="s">
        <v>106</v>
      </c>
      <c r="D21" s="67"/>
      <c r="E21" s="59">
        <f>E10+E20</f>
        <v>272</v>
      </c>
      <c r="F21" s="59">
        <f>F10+F20</f>
        <v>272</v>
      </c>
      <c r="G21" s="59">
        <f>G10+G20</f>
        <v>272</v>
      </c>
      <c r="H21" s="59">
        <f t="shared" ref="H21:I21" si="7">H10+H20</f>
        <v>272</v>
      </c>
      <c r="I21" s="59">
        <f t="shared" si="7"/>
        <v>272</v>
      </c>
      <c r="J21" s="71" t="s">
        <v>104</v>
      </c>
      <c r="K21" s="71" t="s">
        <v>104</v>
      </c>
      <c r="L21" s="71" t="s">
        <v>104</v>
      </c>
      <c r="M21" s="71" t="s">
        <v>104</v>
      </c>
      <c r="N21" s="71">
        <f>SUM(N10:N20)</f>
        <v>14148036.713711997</v>
      </c>
      <c r="O21" s="71">
        <f t="shared" ref="O21:R21" si="8">SUM(O10:O20)</f>
        <v>9391472.8499999996</v>
      </c>
      <c r="P21" s="71">
        <f t="shared" si="8"/>
        <v>2574835.5437120004</v>
      </c>
      <c r="Q21" s="71"/>
      <c r="R21" s="71">
        <f t="shared" si="8"/>
        <v>2181728.3200000003</v>
      </c>
      <c r="S21" s="71"/>
      <c r="T21" s="75">
        <f>N21</f>
        <v>14148036.713711997</v>
      </c>
      <c r="U21" s="75">
        <f>T21</f>
        <v>14148036.713711997</v>
      </c>
    </row>
    <row r="22" spans="1:24" ht="90" x14ac:dyDescent="0.25">
      <c r="A22" s="230"/>
      <c r="B22" s="231" t="s">
        <v>250</v>
      </c>
      <c r="C22" s="61" t="s">
        <v>100</v>
      </c>
      <c r="D22" s="62" t="s">
        <v>101</v>
      </c>
      <c r="E22" s="59">
        <v>226</v>
      </c>
      <c r="F22" s="59">
        <v>226</v>
      </c>
      <c r="G22" s="59">
        <f>((E22*8)+(F22*4))/12</f>
        <v>226</v>
      </c>
      <c r="H22" s="59">
        <v>226</v>
      </c>
      <c r="I22" s="59">
        <v>226</v>
      </c>
      <c r="J22" s="107">
        <f>SUM(K22:M22)</f>
        <v>53471.797145999997</v>
      </c>
      <c r="K22" s="107">
        <f>34346.05+1638.38</f>
        <v>35984.43</v>
      </c>
      <c r="L22" s="70">
        <f>4001.99*2.3654</f>
        <v>9466.307146000001</v>
      </c>
      <c r="M22" s="70">
        <v>8021.06</v>
      </c>
      <c r="N22" s="71">
        <f>SUM(O22:R22)</f>
        <v>12084626.154996</v>
      </c>
      <c r="O22" s="71">
        <f>G22*K22</f>
        <v>8132481.1799999997</v>
      </c>
      <c r="P22" s="73">
        <f>G22*L22</f>
        <v>2139385.414996</v>
      </c>
      <c r="Q22" s="73"/>
      <c r="R22" s="75">
        <f>G22*M22</f>
        <v>1812759.56</v>
      </c>
      <c r="S22" s="75"/>
      <c r="T22" s="75">
        <f t="shared" ref="T22:T115" si="9">H22*J22</f>
        <v>12084626.154996</v>
      </c>
      <c r="U22" s="75">
        <f t="shared" si="6"/>
        <v>12084626.154996</v>
      </c>
      <c r="X22" s="85"/>
    </row>
    <row r="23" spans="1:24" ht="111.75" customHeight="1" x14ac:dyDescent="0.25">
      <c r="A23" s="230"/>
      <c r="B23" s="231"/>
      <c r="C23" s="63" t="s">
        <v>102</v>
      </c>
      <c r="D23" s="64" t="s">
        <v>101</v>
      </c>
      <c r="E23" s="59" t="s">
        <v>104</v>
      </c>
      <c r="F23" s="59" t="s">
        <v>104</v>
      </c>
      <c r="G23" s="59" t="s">
        <v>104</v>
      </c>
      <c r="H23" s="59" t="s">
        <v>104</v>
      </c>
      <c r="I23" s="59" t="s">
        <v>104</v>
      </c>
      <c r="J23" s="59" t="s">
        <v>104</v>
      </c>
      <c r="K23" s="59" t="s">
        <v>104</v>
      </c>
      <c r="L23" s="59" t="s">
        <v>104</v>
      </c>
      <c r="M23" s="59" t="s">
        <v>104</v>
      </c>
      <c r="N23" s="71"/>
      <c r="O23" s="71"/>
      <c r="P23" s="59" t="s">
        <v>104</v>
      </c>
      <c r="Q23" s="59"/>
      <c r="R23" s="59" t="s">
        <v>104</v>
      </c>
      <c r="S23" s="59"/>
      <c r="T23" s="75"/>
      <c r="U23" s="75"/>
    </row>
    <row r="24" spans="1:24" ht="20.25" customHeight="1" x14ac:dyDescent="0.25">
      <c r="A24" s="230"/>
      <c r="B24" s="231"/>
      <c r="C24" s="63" t="s">
        <v>165</v>
      </c>
      <c r="D24" s="64" t="s">
        <v>101</v>
      </c>
      <c r="E24" s="60">
        <v>2</v>
      </c>
      <c r="F24" s="60">
        <v>2</v>
      </c>
      <c r="G24" s="59">
        <f>((E24*8)+(F24*4))/12</f>
        <v>2</v>
      </c>
      <c r="H24" s="60">
        <v>2</v>
      </c>
      <c r="I24" s="60">
        <v>2</v>
      </c>
      <c r="J24" s="71">
        <f>K24</f>
        <v>92468.25</v>
      </c>
      <c r="K24" s="75">
        <v>92468.25</v>
      </c>
      <c r="L24" s="59" t="s">
        <v>104</v>
      </c>
      <c r="M24" s="59" t="s">
        <v>104</v>
      </c>
      <c r="N24" s="71">
        <f>O24</f>
        <v>184936.5</v>
      </c>
      <c r="O24" s="71">
        <f>G24*K24</f>
        <v>184936.5</v>
      </c>
      <c r="P24" s="59" t="s">
        <v>104</v>
      </c>
      <c r="Q24" s="59"/>
      <c r="R24" s="59" t="s">
        <v>104</v>
      </c>
      <c r="S24" s="59"/>
      <c r="T24" s="75">
        <f>H24*K24</f>
        <v>184936.5</v>
      </c>
      <c r="U24" s="75">
        <f>I24*K24</f>
        <v>184936.5</v>
      </c>
    </row>
    <row r="25" spans="1:24" ht="21" customHeight="1" x14ac:dyDescent="0.25">
      <c r="A25" s="230"/>
      <c r="B25" s="231"/>
      <c r="C25" s="63" t="s">
        <v>167</v>
      </c>
      <c r="D25" s="64" t="s">
        <v>101</v>
      </c>
      <c r="E25" s="60">
        <v>1</v>
      </c>
      <c r="F25" s="60">
        <v>1</v>
      </c>
      <c r="G25" s="157">
        <f t="shared" ref="G25:G27" si="10">((E25*8)+(F25*4))/12</f>
        <v>1</v>
      </c>
      <c r="H25" s="60">
        <v>1</v>
      </c>
      <c r="I25" s="60">
        <v>1</v>
      </c>
      <c r="J25" s="71">
        <f t="shared" ref="J25:J26" si="11">K25</f>
        <v>266106.15000000002</v>
      </c>
      <c r="K25" s="75">
        <v>266106.15000000002</v>
      </c>
      <c r="L25" s="59" t="s">
        <v>104</v>
      </c>
      <c r="M25" s="59" t="s">
        <v>104</v>
      </c>
      <c r="N25" s="71">
        <f t="shared" ref="N25:N26" si="12">O25</f>
        <v>266106.15000000002</v>
      </c>
      <c r="O25" s="71">
        <f t="shared" ref="O25:O26" si="13">G25*K25</f>
        <v>266106.15000000002</v>
      </c>
      <c r="P25" s="59" t="s">
        <v>104</v>
      </c>
      <c r="Q25" s="59"/>
      <c r="R25" s="59" t="s">
        <v>104</v>
      </c>
      <c r="S25" s="59"/>
      <c r="T25" s="75">
        <f t="shared" ref="T25:T26" si="14">H25*K25</f>
        <v>266106.15000000002</v>
      </c>
      <c r="U25" s="75">
        <f t="shared" ref="U25:U26" si="15">I25*K25</f>
        <v>266106.15000000002</v>
      </c>
    </row>
    <row r="26" spans="1:24" ht="21" customHeight="1" x14ac:dyDescent="0.25">
      <c r="A26" s="230"/>
      <c r="B26" s="231"/>
      <c r="C26" s="63" t="s">
        <v>168</v>
      </c>
      <c r="D26" s="64" t="s">
        <v>101</v>
      </c>
      <c r="E26" s="60">
        <v>3</v>
      </c>
      <c r="F26" s="60">
        <v>3</v>
      </c>
      <c r="G26" s="59">
        <f t="shared" si="10"/>
        <v>3</v>
      </c>
      <c r="H26" s="60">
        <v>3</v>
      </c>
      <c r="I26" s="60">
        <v>3</v>
      </c>
      <c r="J26" s="71">
        <f t="shared" si="11"/>
        <v>23553.439999999999</v>
      </c>
      <c r="K26" s="75">
        <v>23553.439999999999</v>
      </c>
      <c r="L26" s="59" t="s">
        <v>104</v>
      </c>
      <c r="M26" s="59" t="s">
        <v>104</v>
      </c>
      <c r="N26" s="71">
        <f t="shared" si="12"/>
        <v>70660.319999999992</v>
      </c>
      <c r="O26" s="71">
        <f t="shared" si="13"/>
        <v>70660.319999999992</v>
      </c>
      <c r="P26" s="59" t="s">
        <v>104</v>
      </c>
      <c r="Q26" s="59"/>
      <c r="R26" s="59" t="s">
        <v>104</v>
      </c>
      <c r="S26" s="59"/>
      <c r="T26" s="75">
        <f t="shared" si="14"/>
        <v>70660.319999999992</v>
      </c>
      <c r="U26" s="75">
        <f t="shared" si="15"/>
        <v>70660.319999999992</v>
      </c>
    </row>
    <row r="27" spans="1:24" ht="120" x14ac:dyDescent="0.25">
      <c r="A27" s="230"/>
      <c r="B27" s="231"/>
      <c r="C27" s="61" t="s">
        <v>105</v>
      </c>
      <c r="D27" s="64" t="s">
        <v>101</v>
      </c>
      <c r="E27" s="60"/>
      <c r="F27" s="60">
        <v>0</v>
      </c>
      <c r="G27" s="59">
        <f t="shared" si="10"/>
        <v>0</v>
      </c>
      <c r="H27" s="60"/>
      <c r="I27" s="60"/>
      <c r="J27" s="71">
        <f>K27</f>
        <v>153046.01</v>
      </c>
      <c r="K27" s="73">
        <f>151407.63+1638.38</f>
        <v>153046.01</v>
      </c>
      <c r="L27" s="70">
        <f>4001.99*2.3654</f>
        <v>9466.307146000001</v>
      </c>
      <c r="M27" s="70">
        <v>8021.06</v>
      </c>
      <c r="N27" s="71">
        <f>SUM(O27:R27)</f>
        <v>0</v>
      </c>
      <c r="O27" s="71">
        <f>G27*K27</f>
        <v>0</v>
      </c>
      <c r="P27" s="73">
        <f>G27*L27</f>
        <v>0</v>
      </c>
      <c r="Q27" s="73"/>
      <c r="R27" s="75">
        <f>G27*M27</f>
        <v>0</v>
      </c>
      <c r="S27" s="75"/>
      <c r="T27" s="75">
        <f>N27</f>
        <v>0</v>
      </c>
      <c r="U27" s="75">
        <f>T27</f>
        <v>0</v>
      </c>
    </row>
    <row r="28" spans="1:24" x14ac:dyDescent="0.25">
      <c r="A28" s="230"/>
      <c r="B28" s="201"/>
      <c r="C28" s="66" t="s">
        <v>106</v>
      </c>
      <c r="D28" s="64"/>
      <c r="E28" s="60">
        <f>E22+E27</f>
        <v>226</v>
      </c>
      <c r="F28" s="60">
        <f>F22+F27</f>
        <v>226</v>
      </c>
      <c r="G28" s="60">
        <f>G22+G27</f>
        <v>226</v>
      </c>
      <c r="H28" s="60">
        <f t="shared" ref="H28:I28" si="16">H22+H27</f>
        <v>226</v>
      </c>
      <c r="I28" s="60">
        <f t="shared" si="16"/>
        <v>226</v>
      </c>
      <c r="J28" s="59" t="s">
        <v>104</v>
      </c>
      <c r="K28" s="59" t="s">
        <v>104</v>
      </c>
      <c r="L28" s="59" t="s">
        <v>104</v>
      </c>
      <c r="M28" s="59" t="s">
        <v>104</v>
      </c>
      <c r="N28" s="74">
        <f>SUM(N22:N27)</f>
        <v>12606329.124996001</v>
      </c>
      <c r="O28" s="74">
        <f t="shared" ref="O28:U28" si="17">SUM(O22:O27)</f>
        <v>8654184.1500000004</v>
      </c>
      <c r="P28" s="74">
        <f t="shared" si="17"/>
        <v>2139385.414996</v>
      </c>
      <c r="Q28" s="74"/>
      <c r="R28" s="74">
        <f t="shared" si="17"/>
        <v>1812759.56</v>
      </c>
      <c r="S28" s="74"/>
      <c r="T28" s="74">
        <f t="shared" si="17"/>
        <v>12606329.124996001</v>
      </c>
      <c r="U28" s="74">
        <f t="shared" si="17"/>
        <v>12606329.124996001</v>
      </c>
    </row>
    <row r="29" spans="1:24" ht="90" x14ac:dyDescent="0.25">
      <c r="A29" s="230"/>
      <c r="B29" s="231" t="s">
        <v>251</v>
      </c>
      <c r="C29" s="61" t="s">
        <v>100</v>
      </c>
      <c r="D29" s="62" t="s">
        <v>101</v>
      </c>
      <c r="E29" s="60">
        <v>50</v>
      </c>
      <c r="F29" s="60">
        <v>50</v>
      </c>
      <c r="G29" s="59">
        <f>((E29*8)+(F29*4))/12</f>
        <v>50</v>
      </c>
      <c r="H29" s="60">
        <v>50</v>
      </c>
      <c r="I29" s="60">
        <v>50</v>
      </c>
      <c r="J29" s="107">
        <f>SUM(K29:M29)</f>
        <v>60577.607146000002</v>
      </c>
      <c r="K29" s="107">
        <f>41105.12+1985.12</f>
        <v>43090.240000000005</v>
      </c>
      <c r="L29" s="70">
        <f>4001.99*2.3654</f>
        <v>9466.307146000001</v>
      </c>
      <c r="M29" s="70">
        <v>8021.06</v>
      </c>
      <c r="N29" s="73">
        <f>SUM(O29:R29)</f>
        <v>3028880.4373000003</v>
      </c>
      <c r="O29" s="73">
        <f>G29*K29</f>
        <v>2154512.0000000005</v>
      </c>
      <c r="P29" s="73">
        <f>G29*L29+0.08</f>
        <v>473315.43730000005</v>
      </c>
      <c r="Q29" s="73"/>
      <c r="R29" s="75">
        <f>G29*M29</f>
        <v>401053</v>
      </c>
      <c r="S29" s="75"/>
      <c r="T29" s="75">
        <f>N29</f>
        <v>3028880.4373000003</v>
      </c>
      <c r="U29" s="75">
        <f>T29</f>
        <v>3028880.4373000003</v>
      </c>
    </row>
    <row r="30" spans="1:24" ht="90" x14ac:dyDescent="0.25">
      <c r="A30" s="230"/>
      <c r="B30" s="231"/>
      <c r="C30" s="63" t="s">
        <v>102</v>
      </c>
      <c r="D30" s="64" t="s">
        <v>101</v>
      </c>
      <c r="E30" s="59" t="s">
        <v>104</v>
      </c>
      <c r="F30" s="59" t="s">
        <v>104</v>
      </c>
      <c r="G30" s="59" t="s">
        <v>104</v>
      </c>
      <c r="H30" s="59" t="s">
        <v>104</v>
      </c>
      <c r="I30" s="59" t="s">
        <v>104</v>
      </c>
      <c r="J30" s="59" t="s">
        <v>104</v>
      </c>
      <c r="K30" s="59" t="s">
        <v>104</v>
      </c>
      <c r="L30" s="59" t="s">
        <v>104</v>
      </c>
      <c r="M30" s="59" t="s">
        <v>104</v>
      </c>
      <c r="N30" s="71"/>
      <c r="O30" s="71"/>
      <c r="P30" s="59" t="s">
        <v>104</v>
      </c>
      <c r="Q30" s="59"/>
      <c r="R30" s="59" t="s">
        <v>104</v>
      </c>
      <c r="S30" s="59"/>
      <c r="T30" s="75"/>
      <c r="U30" s="75"/>
    </row>
    <row r="31" spans="1:24" x14ac:dyDescent="0.25">
      <c r="A31" s="230"/>
      <c r="B31" s="231"/>
      <c r="C31" s="63" t="s">
        <v>168</v>
      </c>
      <c r="D31" s="64" t="s">
        <v>101</v>
      </c>
      <c r="E31" s="59"/>
      <c r="F31" s="59"/>
      <c r="G31" s="59">
        <f>((E31*8)+(F31*4))/12</f>
        <v>0</v>
      </c>
      <c r="H31" s="59"/>
      <c r="I31" s="59"/>
      <c r="J31" s="71">
        <f t="shared" ref="J31" si="18">K31</f>
        <v>23553.439999999999</v>
      </c>
      <c r="K31" s="75">
        <v>23553.439999999999</v>
      </c>
      <c r="L31" s="59" t="s">
        <v>104</v>
      </c>
      <c r="M31" s="59" t="s">
        <v>104</v>
      </c>
      <c r="N31" s="71">
        <f t="shared" ref="N31" si="19">O31</f>
        <v>0</v>
      </c>
      <c r="O31" s="71">
        <f>G31*K31</f>
        <v>0</v>
      </c>
      <c r="P31" s="59" t="s">
        <v>104</v>
      </c>
      <c r="Q31" s="59"/>
      <c r="R31" s="59" t="s">
        <v>104</v>
      </c>
      <c r="S31" s="59"/>
      <c r="T31" s="75">
        <f t="shared" ref="T31" si="20">H31*K31</f>
        <v>0</v>
      </c>
      <c r="U31" s="75">
        <f t="shared" ref="U31" si="21">I31*K31</f>
        <v>0</v>
      </c>
    </row>
    <row r="32" spans="1:24" ht="120" x14ac:dyDescent="0.25">
      <c r="A32" s="230"/>
      <c r="B32" s="231"/>
      <c r="C32" s="61" t="s">
        <v>105</v>
      </c>
      <c r="D32" s="64" t="s">
        <v>101</v>
      </c>
      <c r="E32" s="60"/>
      <c r="F32" s="60"/>
      <c r="G32" s="60"/>
      <c r="H32" s="60"/>
      <c r="I32" s="60"/>
      <c r="J32" s="73"/>
      <c r="K32" s="73"/>
      <c r="L32" s="74"/>
      <c r="M32" s="73"/>
      <c r="N32" s="73"/>
      <c r="O32" s="73"/>
      <c r="P32" s="73"/>
      <c r="Q32" s="73"/>
      <c r="R32" s="73"/>
      <c r="S32" s="73"/>
      <c r="T32" s="75">
        <f t="shared" si="9"/>
        <v>0</v>
      </c>
      <c r="U32" s="75">
        <f t="shared" si="6"/>
        <v>0</v>
      </c>
    </row>
    <row r="33" spans="1:21" x14ac:dyDescent="0.25">
      <c r="A33" s="230"/>
      <c r="B33" s="201"/>
      <c r="C33" s="66" t="s">
        <v>106</v>
      </c>
      <c r="D33" s="64"/>
      <c r="E33" s="60">
        <f>E29</f>
        <v>50</v>
      </c>
      <c r="F33" s="60">
        <f>F29</f>
        <v>50</v>
      </c>
      <c r="G33" s="59">
        <f t="shared" ref="G33" si="22">((E33*8)+(F33*4))/12</f>
        <v>50</v>
      </c>
      <c r="H33" s="60">
        <f>H29</f>
        <v>50</v>
      </c>
      <c r="I33" s="60">
        <f>I29</f>
        <v>50</v>
      </c>
      <c r="J33" s="73" t="s">
        <v>104</v>
      </c>
      <c r="K33" s="73" t="s">
        <v>104</v>
      </c>
      <c r="L33" s="73" t="s">
        <v>104</v>
      </c>
      <c r="M33" s="73" t="s">
        <v>104</v>
      </c>
      <c r="N33" s="74">
        <f t="shared" ref="N33:U33" si="23">SUM(N29:N32)</f>
        <v>3028880.4373000003</v>
      </c>
      <c r="O33" s="74">
        <f t="shared" si="23"/>
        <v>2154512.0000000005</v>
      </c>
      <c r="P33" s="74">
        <f t="shared" si="23"/>
        <v>473315.43730000005</v>
      </c>
      <c r="Q33" s="74"/>
      <c r="R33" s="74">
        <f t="shared" si="23"/>
        <v>401053</v>
      </c>
      <c r="S33" s="74"/>
      <c r="T33" s="74">
        <f t="shared" si="23"/>
        <v>3028880.4373000003</v>
      </c>
      <c r="U33" s="74">
        <f t="shared" si="23"/>
        <v>3028880.4373000003</v>
      </c>
    </row>
    <row r="34" spans="1:21" ht="100.9" customHeight="1" x14ac:dyDescent="0.25">
      <c r="A34" s="230"/>
      <c r="B34" s="137" t="s">
        <v>252</v>
      </c>
      <c r="C34" s="61" t="s">
        <v>187</v>
      </c>
      <c r="D34" s="64" t="s">
        <v>101</v>
      </c>
      <c r="E34" s="60">
        <v>653</v>
      </c>
      <c r="F34" s="60">
        <v>653</v>
      </c>
      <c r="G34" s="59">
        <f>((E34*8)+(F34*4))/12</f>
        <v>653</v>
      </c>
      <c r="H34" s="60">
        <v>653</v>
      </c>
      <c r="I34" s="60">
        <v>653</v>
      </c>
      <c r="J34" s="75">
        <f>K34</f>
        <v>2807.3</v>
      </c>
      <c r="K34" s="75">
        <v>2807.3</v>
      </c>
      <c r="L34" s="73" t="s">
        <v>104</v>
      </c>
      <c r="M34" s="73" t="s">
        <v>104</v>
      </c>
      <c r="N34" s="73">
        <f>SUM(O34:R34)</f>
        <v>1833167.0000000002</v>
      </c>
      <c r="O34" s="73">
        <f>J34*G34+0.1</f>
        <v>1833167.0000000002</v>
      </c>
      <c r="P34" s="73" t="s">
        <v>104</v>
      </c>
      <c r="Q34" s="73"/>
      <c r="R34" s="73" t="s">
        <v>104</v>
      </c>
      <c r="S34" s="73"/>
      <c r="T34" s="75">
        <f>N34</f>
        <v>1833167.0000000002</v>
      </c>
      <c r="U34" s="75">
        <f>T34</f>
        <v>1833167.0000000002</v>
      </c>
    </row>
    <row r="35" spans="1:21" x14ac:dyDescent="0.25">
      <c r="A35" s="230"/>
      <c r="B35" s="69"/>
      <c r="C35" s="66" t="s">
        <v>106</v>
      </c>
      <c r="D35" s="69"/>
      <c r="E35" s="60">
        <f>SUM(E34:E34)</f>
        <v>653</v>
      </c>
      <c r="F35" s="60">
        <f>SUM(F34:F34)</f>
        <v>653</v>
      </c>
      <c r="G35" s="59">
        <f>G34</f>
        <v>653</v>
      </c>
      <c r="H35" s="60">
        <f>SUM(H34:H34)</f>
        <v>653</v>
      </c>
      <c r="I35" s="60">
        <f>SUM(I34:I34)</f>
        <v>653</v>
      </c>
      <c r="J35" s="73" t="s">
        <v>104</v>
      </c>
      <c r="K35" s="73" t="s">
        <v>104</v>
      </c>
      <c r="L35" s="73" t="s">
        <v>104</v>
      </c>
      <c r="M35" s="74">
        <f t="shared" ref="M35:U35" si="24">SUM(M34:M34)</f>
        <v>0</v>
      </c>
      <c r="N35" s="74">
        <f t="shared" si="24"/>
        <v>1833167.0000000002</v>
      </c>
      <c r="O35" s="74">
        <f t="shared" si="24"/>
        <v>1833167.0000000002</v>
      </c>
      <c r="P35" s="74">
        <f t="shared" si="24"/>
        <v>0</v>
      </c>
      <c r="Q35" s="74"/>
      <c r="R35" s="74">
        <f t="shared" si="24"/>
        <v>0</v>
      </c>
      <c r="S35" s="74"/>
      <c r="T35" s="74">
        <f t="shared" si="24"/>
        <v>1833167.0000000002</v>
      </c>
      <c r="U35" s="74">
        <f t="shared" si="24"/>
        <v>1833167.0000000002</v>
      </c>
    </row>
    <row r="36" spans="1:21" x14ac:dyDescent="0.25">
      <c r="A36" s="230"/>
      <c r="B36" s="89" t="s">
        <v>225</v>
      </c>
      <c r="C36" s="189" t="s">
        <v>219</v>
      </c>
      <c r="D36" s="64" t="s">
        <v>101</v>
      </c>
      <c r="E36" s="60"/>
      <c r="F36" s="60"/>
      <c r="G36" s="59">
        <v>17</v>
      </c>
      <c r="H36" s="60">
        <v>17</v>
      </c>
      <c r="I36" s="60">
        <v>17</v>
      </c>
      <c r="J36" s="73"/>
      <c r="K36" s="73"/>
      <c r="L36" s="73"/>
      <c r="M36" s="74"/>
      <c r="N36" s="74">
        <f>O36+P36+Q36+R36+S36</f>
        <v>1302680</v>
      </c>
      <c r="O36" s="74"/>
      <c r="P36" s="74"/>
      <c r="Q36" s="74"/>
      <c r="R36" s="74"/>
      <c r="S36" s="74">
        <v>1302680</v>
      </c>
      <c r="T36" s="74">
        <f>S36</f>
        <v>1302680</v>
      </c>
      <c r="U36" s="74">
        <f>T36</f>
        <v>1302680</v>
      </c>
    </row>
    <row r="37" spans="1:21" x14ac:dyDescent="0.25">
      <c r="A37" s="230"/>
      <c r="B37" s="89" t="s">
        <v>225</v>
      </c>
      <c r="C37" s="189" t="s">
        <v>226</v>
      </c>
      <c r="D37" s="64" t="s">
        <v>101</v>
      </c>
      <c r="E37" s="60"/>
      <c r="F37" s="60"/>
      <c r="G37" s="59"/>
      <c r="H37" s="60"/>
      <c r="I37" s="60"/>
      <c r="J37" s="73"/>
      <c r="K37" s="73"/>
      <c r="L37" s="73"/>
      <c r="M37" s="74"/>
      <c r="N37" s="74"/>
      <c r="O37" s="74"/>
      <c r="P37" s="74"/>
      <c r="Q37" s="74"/>
      <c r="R37" s="74"/>
      <c r="S37" s="74"/>
      <c r="T37" s="74">
        <f>Q37</f>
        <v>0</v>
      </c>
      <c r="U37" s="74">
        <f>T37</f>
        <v>0</v>
      </c>
    </row>
    <row r="38" spans="1:21" x14ac:dyDescent="0.25">
      <c r="A38" s="230"/>
      <c r="B38" s="101" t="s">
        <v>112</v>
      </c>
      <c r="C38" s="101"/>
      <c r="D38" s="69"/>
      <c r="E38" s="102"/>
      <c r="F38" s="102"/>
      <c r="G38" s="102"/>
      <c r="H38" s="102"/>
      <c r="I38" s="102"/>
      <c r="J38" s="104"/>
      <c r="K38" s="104"/>
      <c r="L38" s="103"/>
      <c r="M38" s="103"/>
      <c r="N38" s="103">
        <f>SUM(O38:S38)</f>
        <v>32919093.276008002</v>
      </c>
      <c r="O38" s="103">
        <f>O21+O28+O33+O35</f>
        <v>22033336</v>
      </c>
      <c r="P38" s="103">
        <f>P21+P28+P33+P35</f>
        <v>5187536.3960080007</v>
      </c>
      <c r="Q38" s="103">
        <f>Q37</f>
        <v>0</v>
      </c>
      <c r="R38" s="103">
        <f>R21+R28+R33+R35</f>
        <v>4395540.8800000008</v>
      </c>
      <c r="S38" s="103">
        <f>S36</f>
        <v>1302680</v>
      </c>
      <c r="T38" s="103">
        <f>T21+T28+T33+T35+T36+T37</f>
        <v>32919093.276007999</v>
      </c>
      <c r="U38" s="103">
        <f>U21+U28+U33+U35+U36+U37</f>
        <v>32919093.276007999</v>
      </c>
    </row>
    <row r="39" spans="1:21" ht="90" x14ac:dyDescent="0.25">
      <c r="A39" s="230" t="s">
        <v>113</v>
      </c>
      <c r="B39" s="231" t="s">
        <v>249</v>
      </c>
      <c r="C39" s="61" t="s">
        <v>100</v>
      </c>
      <c r="D39" s="62" t="s">
        <v>101</v>
      </c>
      <c r="E39" s="59">
        <v>261</v>
      </c>
      <c r="F39" s="59">
        <v>261</v>
      </c>
      <c r="G39" s="59">
        <f>((E39*8)+(F39*4))/12</f>
        <v>261</v>
      </c>
      <c r="H39" s="59">
        <v>261</v>
      </c>
      <c r="I39" s="59">
        <v>261</v>
      </c>
      <c r="J39" s="107">
        <f>SUM(K39:M39)</f>
        <v>41517.257145999996</v>
      </c>
      <c r="K39" s="107">
        <f>22687.5+1342.39</f>
        <v>24029.89</v>
      </c>
      <c r="L39" s="70">
        <f>4001.99*2.3654</f>
        <v>9466.307146000001</v>
      </c>
      <c r="M39" s="70">
        <v>8021.06</v>
      </c>
      <c r="N39" s="71">
        <f>SUM(O39:R39)</f>
        <v>10836004.265106</v>
      </c>
      <c r="O39" s="71">
        <f>G39*K39+0.15</f>
        <v>6271801.4400000004</v>
      </c>
      <c r="P39" s="71">
        <f>G39*L39</f>
        <v>2470706.1651060004</v>
      </c>
      <c r="Q39" s="71"/>
      <c r="R39" s="75">
        <f>G39*M39</f>
        <v>2093496.6600000001</v>
      </c>
      <c r="S39" s="75"/>
      <c r="T39" s="75">
        <f>N39</f>
        <v>10836004.265106</v>
      </c>
      <c r="U39" s="75">
        <f>T39</f>
        <v>10836004.265106</v>
      </c>
    </row>
    <row r="40" spans="1:21" ht="90" x14ac:dyDescent="0.25">
      <c r="A40" s="230"/>
      <c r="B40" s="231"/>
      <c r="C40" s="63" t="s">
        <v>163</v>
      </c>
      <c r="D40" s="64" t="s">
        <v>101</v>
      </c>
      <c r="E40" s="59" t="s">
        <v>104</v>
      </c>
      <c r="F40" s="59" t="s">
        <v>104</v>
      </c>
      <c r="G40" s="59" t="s">
        <v>104</v>
      </c>
      <c r="H40" s="59" t="s">
        <v>104</v>
      </c>
      <c r="I40" s="59" t="s">
        <v>104</v>
      </c>
      <c r="J40" s="59" t="s">
        <v>104</v>
      </c>
      <c r="K40" s="59" t="s">
        <v>104</v>
      </c>
      <c r="L40" s="59" t="s">
        <v>104</v>
      </c>
      <c r="M40" s="59" t="s">
        <v>104</v>
      </c>
      <c r="N40" s="71"/>
      <c r="O40" s="71"/>
      <c r="P40" s="59" t="s">
        <v>104</v>
      </c>
      <c r="Q40" s="59"/>
      <c r="R40" s="59" t="s">
        <v>104</v>
      </c>
      <c r="S40" s="59"/>
      <c r="T40" s="75"/>
      <c r="U40" s="75"/>
    </row>
    <row r="41" spans="1:21" x14ac:dyDescent="0.25">
      <c r="A41" s="230"/>
      <c r="B41" s="231"/>
      <c r="C41" s="63" t="s">
        <v>169</v>
      </c>
      <c r="D41" s="64" t="s">
        <v>101</v>
      </c>
      <c r="E41" s="59">
        <v>6</v>
      </c>
      <c r="F41" s="59">
        <v>6</v>
      </c>
      <c r="G41" s="59">
        <f>((E41*8)+(F41*4))/12</f>
        <v>6</v>
      </c>
      <c r="H41" s="59">
        <v>6</v>
      </c>
      <c r="I41" s="59">
        <v>6</v>
      </c>
      <c r="J41" s="75">
        <f t="shared" ref="J41:J45" si="25">K41</f>
        <v>69362.66</v>
      </c>
      <c r="K41" s="71">
        <v>69362.66</v>
      </c>
      <c r="L41" s="59"/>
      <c r="M41" s="59"/>
      <c r="N41" s="71">
        <f t="shared" ref="N41:N45" si="26">O41</f>
        <v>416175.96</v>
      </c>
      <c r="O41" s="71">
        <f t="shared" ref="O41:O46" si="27">G41*K41</f>
        <v>416175.96</v>
      </c>
      <c r="P41" s="59" t="s">
        <v>104</v>
      </c>
      <c r="Q41" s="59"/>
      <c r="R41" s="59" t="s">
        <v>104</v>
      </c>
      <c r="S41" s="59"/>
      <c r="T41" s="75">
        <f t="shared" ref="T41:T45" si="28">H41*K41</f>
        <v>416175.96</v>
      </c>
      <c r="U41" s="75">
        <f t="shared" ref="U41:U45" si="29">I41*K41</f>
        <v>416175.96</v>
      </c>
    </row>
    <row r="42" spans="1:21" x14ac:dyDescent="0.25">
      <c r="A42" s="230"/>
      <c r="B42" s="231"/>
      <c r="C42" s="63" t="s">
        <v>166</v>
      </c>
      <c r="D42" s="64" t="s">
        <v>101</v>
      </c>
      <c r="E42" s="59">
        <v>8</v>
      </c>
      <c r="F42" s="59">
        <v>8</v>
      </c>
      <c r="G42" s="59">
        <f t="shared" ref="G42:G45" si="30">((E42*8)+(F42*4))/12</f>
        <v>8</v>
      </c>
      <c r="H42" s="59">
        <v>8</v>
      </c>
      <c r="I42" s="59">
        <v>8</v>
      </c>
      <c r="J42" s="75">
        <f t="shared" si="25"/>
        <v>66361.320000000007</v>
      </c>
      <c r="K42" s="75">
        <v>66361.320000000007</v>
      </c>
      <c r="L42" s="59" t="s">
        <v>104</v>
      </c>
      <c r="M42" s="59" t="s">
        <v>104</v>
      </c>
      <c r="N42" s="71">
        <f>O42</f>
        <v>530890.56000000006</v>
      </c>
      <c r="O42" s="71">
        <f t="shared" si="27"/>
        <v>530890.56000000006</v>
      </c>
      <c r="P42" s="59" t="s">
        <v>104</v>
      </c>
      <c r="Q42" s="59"/>
      <c r="R42" s="59" t="s">
        <v>104</v>
      </c>
      <c r="S42" s="59"/>
      <c r="T42" s="75">
        <f t="shared" si="28"/>
        <v>530890.56000000006</v>
      </c>
      <c r="U42" s="75">
        <f t="shared" si="29"/>
        <v>530890.56000000006</v>
      </c>
    </row>
    <row r="43" spans="1:21" x14ac:dyDescent="0.25">
      <c r="A43" s="230"/>
      <c r="B43" s="231"/>
      <c r="C43" s="63" t="s">
        <v>167</v>
      </c>
      <c r="D43" s="64" t="s">
        <v>101</v>
      </c>
      <c r="E43" s="59">
        <v>4</v>
      </c>
      <c r="F43" s="59">
        <v>4</v>
      </c>
      <c r="G43" s="59">
        <f t="shared" si="30"/>
        <v>4</v>
      </c>
      <c r="H43" s="59">
        <v>4</v>
      </c>
      <c r="I43" s="59">
        <v>4</v>
      </c>
      <c r="J43" s="75">
        <f t="shared" si="25"/>
        <v>174890.83</v>
      </c>
      <c r="K43" s="75">
        <v>174890.83</v>
      </c>
      <c r="L43" s="59" t="s">
        <v>104</v>
      </c>
      <c r="M43" s="59" t="s">
        <v>104</v>
      </c>
      <c r="N43" s="71">
        <f t="shared" si="26"/>
        <v>699563.32</v>
      </c>
      <c r="O43" s="71">
        <f t="shared" si="27"/>
        <v>699563.32</v>
      </c>
      <c r="P43" s="59" t="s">
        <v>104</v>
      </c>
      <c r="Q43" s="59"/>
      <c r="R43" s="59" t="s">
        <v>104</v>
      </c>
      <c r="S43" s="59"/>
      <c r="T43" s="75">
        <f t="shared" si="28"/>
        <v>699563.32</v>
      </c>
      <c r="U43" s="75">
        <f t="shared" si="29"/>
        <v>699563.32</v>
      </c>
    </row>
    <row r="44" spans="1:21" x14ac:dyDescent="0.25">
      <c r="A44" s="230"/>
      <c r="B44" s="231"/>
      <c r="C44" s="63" t="s">
        <v>170</v>
      </c>
      <c r="D44" s="64" t="s">
        <v>101</v>
      </c>
      <c r="E44" s="59">
        <v>1</v>
      </c>
      <c r="F44" s="59">
        <v>1</v>
      </c>
      <c r="G44" s="59">
        <f t="shared" si="30"/>
        <v>1</v>
      </c>
      <c r="H44" s="59">
        <v>1</v>
      </c>
      <c r="I44" s="59">
        <v>1</v>
      </c>
      <c r="J44" s="75">
        <f t="shared" si="25"/>
        <v>99648.29</v>
      </c>
      <c r="K44" s="75">
        <v>99648.29</v>
      </c>
      <c r="L44" s="59"/>
      <c r="M44" s="59"/>
      <c r="N44" s="71">
        <f t="shared" si="26"/>
        <v>99648.29</v>
      </c>
      <c r="O44" s="71">
        <f t="shared" si="27"/>
        <v>99648.29</v>
      </c>
      <c r="P44" s="59" t="s">
        <v>104</v>
      </c>
      <c r="Q44" s="59"/>
      <c r="R44" s="59" t="s">
        <v>104</v>
      </c>
      <c r="S44" s="59"/>
      <c r="T44" s="75">
        <f t="shared" si="28"/>
        <v>99648.29</v>
      </c>
      <c r="U44" s="75">
        <f t="shared" si="29"/>
        <v>99648.29</v>
      </c>
    </row>
    <row r="45" spans="1:21" x14ac:dyDescent="0.25">
      <c r="A45" s="230"/>
      <c r="B45" s="231"/>
      <c r="C45" s="63" t="s">
        <v>168</v>
      </c>
      <c r="D45" s="64" t="s">
        <v>101</v>
      </c>
      <c r="E45" s="59">
        <v>1</v>
      </c>
      <c r="F45" s="59">
        <v>1</v>
      </c>
      <c r="G45" s="59">
        <f t="shared" si="30"/>
        <v>1</v>
      </c>
      <c r="H45" s="59">
        <v>1</v>
      </c>
      <c r="I45" s="59">
        <v>1</v>
      </c>
      <c r="J45" s="75">
        <f t="shared" si="25"/>
        <v>23553.439999999999</v>
      </c>
      <c r="K45" s="75">
        <v>23553.439999999999</v>
      </c>
      <c r="L45" s="59" t="s">
        <v>104</v>
      </c>
      <c r="M45" s="59" t="s">
        <v>104</v>
      </c>
      <c r="N45" s="71">
        <f t="shared" si="26"/>
        <v>23553.439999999999</v>
      </c>
      <c r="O45" s="71">
        <f t="shared" si="27"/>
        <v>23553.439999999999</v>
      </c>
      <c r="P45" s="59" t="s">
        <v>104</v>
      </c>
      <c r="Q45" s="59"/>
      <c r="R45" s="59" t="s">
        <v>104</v>
      </c>
      <c r="S45" s="59"/>
      <c r="T45" s="75">
        <f t="shared" si="28"/>
        <v>23553.439999999999</v>
      </c>
      <c r="U45" s="75">
        <f t="shared" si="29"/>
        <v>23553.439999999999</v>
      </c>
    </row>
    <row r="46" spans="1:21" ht="120" x14ac:dyDescent="0.25">
      <c r="A46" s="230"/>
      <c r="B46" s="231"/>
      <c r="C46" s="61" t="s">
        <v>105</v>
      </c>
      <c r="D46" s="64" t="s">
        <v>101</v>
      </c>
      <c r="E46" s="59"/>
      <c r="F46" s="59"/>
      <c r="G46" s="59"/>
      <c r="H46" s="59"/>
      <c r="I46" s="59"/>
      <c r="J46" s="75">
        <f>SUM(K46:M46)</f>
        <v>140242.677146</v>
      </c>
      <c r="K46" s="75">
        <f>121412.92+1342.39</f>
        <v>122755.31</v>
      </c>
      <c r="L46" s="72">
        <f>4001.99*2.3654</f>
        <v>9466.307146000001</v>
      </c>
      <c r="M46" s="70">
        <v>8021.06</v>
      </c>
      <c r="N46" s="71">
        <f>SUM(O46:R46)</f>
        <v>0</v>
      </c>
      <c r="O46" s="71">
        <f t="shared" si="27"/>
        <v>0</v>
      </c>
      <c r="P46" s="71">
        <f>G46*L46</f>
        <v>0</v>
      </c>
      <c r="Q46" s="71"/>
      <c r="R46" s="75">
        <f>G46*M46</f>
        <v>0</v>
      </c>
      <c r="S46" s="75"/>
      <c r="T46" s="75">
        <f t="shared" si="9"/>
        <v>0</v>
      </c>
      <c r="U46" s="75">
        <f t="shared" si="6"/>
        <v>0</v>
      </c>
    </row>
    <row r="47" spans="1:21" x14ac:dyDescent="0.25">
      <c r="A47" s="230"/>
      <c r="B47" s="231"/>
      <c r="C47" s="66" t="s">
        <v>106</v>
      </c>
      <c r="D47" s="67"/>
      <c r="E47" s="59">
        <f>E39+E46</f>
        <v>261</v>
      </c>
      <c r="F47" s="59">
        <f>F39+F46</f>
        <v>261</v>
      </c>
      <c r="G47" s="59">
        <f>G39+G46</f>
        <v>261</v>
      </c>
      <c r="H47" s="59">
        <f>H39+H46</f>
        <v>261</v>
      </c>
      <c r="I47" s="59">
        <f>I39+I46</f>
        <v>261</v>
      </c>
      <c r="J47" s="71" t="s">
        <v>104</v>
      </c>
      <c r="K47" s="71" t="s">
        <v>104</v>
      </c>
      <c r="L47" s="71" t="s">
        <v>104</v>
      </c>
      <c r="M47" s="71" t="s">
        <v>104</v>
      </c>
      <c r="N47" s="71">
        <f t="shared" ref="N47:R47" si="31">SUM(N39:N46)</f>
        <v>12605835.835106</v>
      </c>
      <c r="O47" s="71">
        <f t="shared" si="31"/>
        <v>8041633.0100000016</v>
      </c>
      <c r="P47" s="71">
        <f>SUM(P39:P46)</f>
        <v>2470706.1651060004</v>
      </c>
      <c r="Q47" s="71"/>
      <c r="R47" s="71">
        <f t="shared" si="31"/>
        <v>2093496.6600000001</v>
      </c>
      <c r="S47" s="71"/>
      <c r="T47" s="75">
        <f>N47</f>
        <v>12605835.835106</v>
      </c>
      <c r="U47" s="75">
        <f>T47</f>
        <v>12605835.835106</v>
      </c>
    </row>
    <row r="48" spans="1:21" ht="90" x14ac:dyDescent="0.25">
      <c r="A48" s="230"/>
      <c r="B48" s="231" t="s">
        <v>250</v>
      </c>
      <c r="C48" s="61" t="s">
        <v>100</v>
      </c>
      <c r="D48" s="62" t="s">
        <v>101</v>
      </c>
      <c r="E48" s="59">
        <v>224</v>
      </c>
      <c r="F48" s="59">
        <v>224</v>
      </c>
      <c r="G48" s="59">
        <f t="shared" ref="G48" si="32">((E48*8)+(F48*4))/12</f>
        <v>224</v>
      </c>
      <c r="H48" s="59">
        <v>224</v>
      </c>
      <c r="I48" s="59">
        <v>224</v>
      </c>
      <c r="J48" s="107">
        <f>SUM(K48:M48)</f>
        <v>53471.797145999997</v>
      </c>
      <c r="K48" s="107">
        <f>34346.05+1638.38</f>
        <v>35984.43</v>
      </c>
      <c r="L48" s="70">
        <f>4001.99*2.3654</f>
        <v>9466.307146000001</v>
      </c>
      <c r="M48" s="70">
        <v>8021.06</v>
      </c>
      <c r="N48" s="71">
        <f>SUM(O48:R48)</f>
        <v>11977682.560704</v>
      </c>
      <c r="O48" s="71">
        <f>G48*K48</f>
        <v>8060512.3200000003</v>
      </c>
      <c r="P48" s="71">
        <f>G48*L48</f>
        <v>2120452.8007040001</v>
      </c>
      <c r="Q48" s="71"/>
      <c r="R48" s="75">
        <f>G48*M48</f>
        <v>1796717.4400000002</v>
      </c>
      <c r="S48" s="75"/>
      <c r="T48" s="75">
        <f t="shared" si="9"/>
        <v>11977682.560704</v>
      </c>
      <c r="U48" s="75">
        <f t="shared" si="6"/>
        <v>11977682.560704</v>
      </c>
    </row>
    <row r="49" spans="1:23" ht="90" x14ac:dyDescent="0.25">
      <c r="A49" s="230"/>
      <c r="B49" s="231"/>
      <c r="C49" s="63" t="s">
        <v>102</v>
      </c>
      <c r="D49" s="64" t="s">
        <v>101</v>
      </c>
      <c r="E49" s="59" t="s">
        <v>104</v>
      </c>
      <c r="F49" s="59" t="s">
        <v>104</v>
      </c>
      <c r="G49" s="59" t="s">
        <v>104</v>
      </c>
      <c r="H49" s="59" t="s">
        <v>104</v>
      </c>
      <c r="I49" s="59" t="s">
        <v>104</v>
      </c>
      <c r="J49" s="59" t="s">
        <v>104</v>
      </c>
      <c r="K49" s="59" t="s">
        <v>191</v>
      </c>
      <c r="L49" s="59" t="s">
        <v>104</v>
      </c>
      <c r="M49" s="59" t="s">
        <v>104</v>
      </c>
      <c r="N49" s="71"/>
      <c r="O49" s="71"/>
      <c r="P49" s="59" t="s">
        <v>104</v>
      </c>
      <c r="Q49" s="59"/>
      <c r="R49" s="59" t="s">
        <v>104</v>
      </c>
      <c r="S49" s="59"/>
      <c r="T49" s="75"/>
      <c r="U49" s="75"/>
    </row>
    <row r="50" spans="1:23" x14ac:dyDescent="0.25">
      <c r="A50" s="230"/>
      <c r="B50" s="231"/>
      <c r="C50" s="63" t="s">
        <v>167</v>
      </c>
      <c r="D50" s="64" t="s">
        <v>101</v>
      </c>
      <c r="E50" s="60">
        <v>1</v>
      </c>
      <c r="F50" s="60">
        <v>1</v>
      </c>
      <c r="G50" s="59">
        <f t="shared" ref="G50:G57" si="33">((E50*8)+(F50*4))/12</f>
        <v>1</v>
      </c>
      <c r="H50" s="60">
        <v>1</v>
      </c>
      <c r="I50" s="60">
        <v>1</v>
      </c>
      <c r="J50" s="75">
        <f t="shared" ref="J50:J52" si="34">K50</f>
        <v>266106.15000000002</v>
      </c>
      <c r="K50" s="75">
        <v>266106.15000000002</v>
      </c>
      <c r="L50" s="59" t="s">
        <v>104</v>
      </c>
      <c r="M50" s="59" t="s">
        <v>104</v>
      </c>
      <c r="N50" s="71">
        <f t="shared" ref="N50:N52" si="35">O50</f>
        <v>266106.15000000002</v>
      </c>
      <c r="O50" s="71">
        <f>G50*K50</f>
        <v>266106.15000000002</v>
      </c>
      <c r="P50" s="59" t="s">
        <v>104</v>
      </c>
      <c r="Q50" s="59"/>
      <c r="R50" s="59" t="s">
        <v>104</v>
      </c>
      <c r="S50" s="59"/>
      <c r="T50" s="75">
        <f t="shared" ref="T50:T52" si="36">H50*K50</f>
        <v>266106.15000000002</v>
      </c>
      <c r="U50" s="75">
        <f t="shared" ref="U50:U52" si="37">I50*K50</f>
        <v>266106.15000000002</v>
      </c>
    </row>
    <row r="51" spans="1:23" x14ac:dyDescent="0.25">
      <c r="A51" s="230"/>
      <c r="B51" s="231"/>
      <c r="C51" s="63" t="s">
        <v>170</v>
      </c>
      <c r="D51" s="64" t="s">
        <v>101</v>
      </c>
      <c r="E51" s="60">
        <v>2</v>
      </c>
      <c r="F51" s="60">
        <v>2</v>
      </c>
      <c r="G51" s="59">
        <f t="shared" si="33"/>
        <v>2</v>
      </c>
      <c r="H51" s="60">
        <v>2</v>
      </c>
      <c r="I51" s="60">
        <v>2</v>
      </c>
      <c r="J51" s="75">
        <f t="shared" si="34"/>
        <v>32769.75</v>
      </c>
      <c r="K51" s="75">
        <v>32769.75</v>
      </c>
      <c r="L51" s="59" t="s">
        <v>104</v>
      </c>
      <c r="M51" s="59" t="s">
        <v>104</v>
      </c>
      <c r="N51" s="71">
        <f t="shared" si="35"/>
        <v>65539.5</v>
      </c>
      <c r="O51" s="71">
        <f t="shared" ref="O51:O52" si="38">G51*K51</f>
        <v>65539.5</v>
      </c>
      <c r="P51" s="59" t="s">
        <v>104</v>
      </c>
      <c r="Q51" s="59"/>
      <c r="R51" s="59" t="s">
        <v>104</v>
      </c>
      <c r="S51" s="59"/>
      <c r="T51" s="75">
        <f t="shared" si="36"/>
        <v>65539.5</v>
      </c>
      <c r="U51" s="75">
        <f t="shared" si="37"/>
        <v>65539.5</v>
      </c>
    </row>
    <row r="52" spans="1:23" x14ac:dyDescent="0.25">
      <c r="A52" s="230"/>
      <c r="B52" s="231"/>
      <c r="C52" s="63" t="s">
        <v>168</v>
      </c>
      <c r="D52" s="64" t="s">
        <v>101</v>
      </c>
      <c r="E52" s="60">
        <v>5</v>
      </c>
      <c r="F52" s="60">
        <v>5</v>
      </c>
      <c r="G52" s="59">
        <f t="shared" si="33"/>
        <v>5</v>
      </c>
      <c r="H52" s="60">
        <v>5</v>
      </c>
      <c r="I52" s="60">
        <v>5</v>
      </c>
      <c r="J52" s="75">
        <f t="shared" si="34"/>
        <v>23553.439999999999</v>
      </c>
      <c r="K52" s="75">
        <v>23553.439999999999</v>
      </c>
      <c r="L52" s="59" t="s">
        <v>104</v>
      </c>
      <c r="M52" s="59" t="s">
        <v>104</v>
      </c>
      <c r="N52" s="71">
        <f t="shared" si="35"/>
        <v>117767.2</v>
      </c>
      <c r="O52" s="71">
        <f t="shared" si="38"/>
        <v>117767.2</v>
      </c>
      <c r="P52" s="59" t="s">
        <v>104</v>
      </c>
      <c r="Q52" s="59"/>
      <c r="R52" s="59" t="s">
        <v>104</v>
      </c>
      <c r="S52" s="59"/>
      <c r="T52" s="75">
        <f t="shared" si="36"/>
        <v>117767.2</v>
      </c>
      <c r="U52" s="75">
        <f t="shared" si="37"/>
        <v>117767.2</v>
      </c>
    </row>
    <row r="53" spans="1:23" ht="120" x14ac:dyDescent="0.25">
      <c r="A53" s="230"/>
      <c r="B53" s="231"/>
      <c r="C53" s="61" t="s">
        <v>105</v>
      </c>
      <c r="D53" s="64" t="s">
        <v>101</v>
      </c>
      <c r="E53" s="60">
        <v>2</v>
      </c>
      <c r="F53" s="60">
        <v>2</v>
      </c>
      <c r="G53" s="59">
        <f t="shared" si="33"/>
        <v>2</v>
      </c>
      <c r="H53" s="60">
        <v>2</v>
      </c>
      <c r="I53" s="60">
        <v>2</v>
      </c>
      <c r="J53" s="75">
        <f>SUM(K53:M53)</f>
        <v>170533.37714600001</v>
      </c>
      <c r="K53" s="75">
        <f>151407.63+1638.38</f>
        <v>153046.01</v>
      </c>
      <c r="L53" s="72">
        <f>4001.99*2.3654</f>
        <v>9466.307146000001</v>
      </c>
      <c r="M53" s="70">
        <v>8021.06</v>
      </c>
      <c r="N53" s="71">
        <f>SUM(O53:R53)</f>
        <v>341066.75429200003</v>
      </c>
      <c r="O53" s="71">
        <f>G53*K53</f>
        <v>306092.02</v>
      </c>
      <c r="P53" s="73">
        <f>G53*L53</f>
        <v>18932.614292000002</v>
      </c>
      <c r="Q53" s="73"/>
      <c r="R53" s="75">
        <f>G53*M53</f>
        <v>16042.12</v>
      </c>
      <c r="S53" s="75"/>
      <c r="T53" s="75">
        <f t="shared" si="9"/>
        <v>341066.75429200003</v>
      </c>
      <c r="U53" s="75">
        <f t="shared" si="6"/>
        <v>341066.75429200003</v>
      </c>
    </row>
    <row r="54" spans="1:23" x14ac:dyDescent="0.25">
      <c r="A54" s="230"/>
      <c r="B54" s="201"/>
      <c r="C54" s="66" t="s">
        <v>106</v>
      </c>
      <c r="D54" s="64"/>
      <c r="E54" s="60">
        <f>E48+E53</f>
        <v>226</v>
      </c>
      <c r="F54" s="60">
        <f>F48+F53</f>
        <v>226</v>
      </c>
      <c r="G54" s="60">
        <f>G48+G53</f>
        <v>226</v>
      </c>
      <c r="H54" s="60">
        <f>H48+H53</f>
        <v>226</v>
      </c>
      <c r="I54" s="60">
        <f>I48+I53</f>
        <v>226</v>
      </c>
      <c r="J54" s="73" t="s">
        <v>104</v>
      </c>
      <c r="K54" s="73" t="s">
        <v>104</v>
      </c>
      <c r="L54" s="74" t="s">
        <v>104</v>
      </c>
      <c r="M54" s="74" t="s">
        <v>104</v>
      </c>
      <c r="N54" s="74">
        <f t="shared" ref="N54:U54" si="39">SUM(N48:N53)</f>
        <v>12768162.164996</v>
      </c>
      <c r="O54" s="74">
        <f t="shared" si="39"/>
        <v>8816017.1899999995</v>
      </c>
      <c r="P54" s="74">
        <f t="shared" si="39"/>
        <v>2139385.414996</v>
      </c>
      <c r="Q54" s="74"/>
      <c r="R54" s="74">
        <f t="shared" si="39"/>
        <v>1812759.5600000003</v>
      </c>
      <c r="S54" s="74"/>
      <c r="T54" s="75">
        <f t="shared" si="39"/>
        <v>12768162.164996</v>
      </c>
      <c r="U54" s="75">
        <f t="shared" si="39"/>
        <v>12768162.164996</v>
      </c>
    </row>
    <row r="55" spans="1:23" ht="90" x14ac:dyDescent="0.25">
      <c r="A55" s="230"/>
      <c r="B55" s="231" t="s">
        <v>251</v>
      </c>
      <c r="C55" s="61" t="s">
        <v>100</v>
      </c>
      <c r="D55" s="62" t="s">
        <v>101</v>
      </c>
      <c r="E55" s="60">
        <v>39</v>
      </c>
      <c r="F55" s="60">
        <v>39</v>
      </c>
      <c r="G55" s="59">
        <f t="shared" si="33"/>
        <v>39</v>
      </c>
      <c r="H55" s="60">
        <v>39</v>
      </c>
      <c r="I55" s="60">
        <v>39</v>
      </c>
      <c r="J55" s="107">
        <f>SUM(K55:M55)</f>
        <v>60577.607146000002</v>
      </c>
      <c r="K55" s="107">
        <f>41105.12+1985.12</f>
        <v>43090.240000000005</v>
      </c>
      <c r="L55" s="70">
        <f>4001.99*2.3654</f>
        <v>9466.307146000001</v>
      </c>
      <c r="M55" s="70">
        <v>8021.06</v>
      </c>
      <c r="N55" s="73">
        <f>SUM(O55:R55)</f>
        <v>2362526.8686939999</v>
      </c>
      <c r="O55" s="73">
        <f>G55*K55</f>
        <v>1680519.36</v>
      </c>
      <c r="P55" s="73">
        <f>G55*L55+0.19</f>
        <v>369186.16869400005</v>
      </c>
      <c r="Q55" s="73"/>
      <c r="R55" s="75">
        <f>G55*M55</f>
        <v>312821.34000000003</v>
      </c>
      <c r="S55" s="75"/>
      <c r="T55" s="75">
        <f>N55</f>
        <v>2362526.8686939999</v>
      </c>
      <c r="U55" s="75">
        <f>T55</f>
        <v>2362526.8686939999</v>
      </c>
    </row>
    <row r="56" spans="1:23" ht="90" x14ac:dyDescent="0.25">
      <c r="A56" s="230"/>
      <c r="B56" s="231"/>
      <c r="C56" s="63" t="s">
        <v>102</v>
      </c>
      <c r="D56" s="64" t="s">
        <v>101</v>
      </c>
      <c r="E56" s="59" t="s">
        <v>104</v>
      </c>
      <c r="F56" s="59" t="s">
        <v>104</v>
      </c>
      <c r="G56" s="59" t="s">
        <v>104</v>
      </c>
      <c r="H56" s="59" t="s">
        <v>104</v>
      </c>
      <c r="I56" s="59" t="s">
        <v>104</v>
      </c>
      <c r="J56" s="59" t="s">
        <v>104</v>
      </c>
      <c r="K56" s="59" t="s">
        <v>104</v>
      </c>
      <c r="L56" s="59" t="s">
        <v>104</v>
      </c>
      <c r="M56" s="59" t="s">
        <v>104</v>
      </c>
      <c r="N56" s="71"/>
      <c r="O56" s="71"/>
      <c r="P56" s="59" t="s">
        <v>104</v>
      </c>
      <c r="Q56" s="59"/>
      <c r="R56" s="59" t="s">
        <v>104</v>
      </c>
      <c r="S56" s="59"/>
      <c r="T56" s="75"/>
      <c r="U56" s="75"/>
    </row>
    <row r="57" spans="1:23" x14ac:dyDescent="0.25">
      <c r="A57" s="230"/>
      <c r="B57" s="231"/>
      <c r="C57" s="63" t="s">
        <v>168</v>
      </c>
      <c r="D57" s="64" t="s">
        <v>101</v>
      </c>
      <c r="E57" s="60">
        <v>1</v>
      </c>
      <c r="F57" s="60">
        <v>1</v>
      </c>
      <c r="G57" s="59">
        <f t="shared" si="33"/>
        <v>1</v>
      </c>
      <c r="H57" s="60">
        <v>1</v>
      </c>
      <c r="I57" s="60">
        <v>1</v>
      </c>
      <c r="J57" s="75">
        <f>K57</f>
        <v>23553.439999999999</v>
      </c>
      <c r="K57" s="75">
        <v>23553.439999999999</v>
      </c>
      <c r="L57" s="59" t="s">
        <v>104</v>
      </c>
      <c r="M57" s="59" t="s">
        <v>104</v>
      </c>
      <c r="N57" s="71">
        <f>O57</f>
        <v>23553.439999999999</v>
      </c>
      <c r="O57" s="71">
        <f>G57*K57</f>
        <v>23553.439999999999</v>
      </c>
      <c r="P57" s="59" t="s">
        <v>104</v>
      </c>
      <c r="Q57" s="59"/>
      <c r="R57" s="59" t="s">
        <v>104</v>
      </c>
      <c r="S57" s="59"/>
      <c r="T57" s="75">
        <f>H57*K57</f>
        <v>23553.439999999999</v>
      </c>
      <c r="U57" s="75">
        <f>I57*K57</f>
        <v>23553.439999999999</v>
      </c>
    </row>
    <row r="58" spans="1:23" ht="120" x14ac:dyDescent="0.25">
      <c r="A58" s="230"/>
      <c r="B58" s="231"/>
      <c r="C58" s="61" t="s">
        <v>105</v>
      </c>
      <c r="D58" s="64" t="s">
        <v>101</v>
      </c>
      <c r="E58" s="60">
        <v>0</v>
      </c>
      <c r="F58" s="60"/>
      <c r="G58" s="60"/>
      <c r="H58" s="60">
        <v>0</v>
      </c>
      <c r="I58" s="60">
        <v>0</v>
      </c>
      <c r="J58" s="73">
        <f>K58</f>
        <v>183387.47</v>
      </c>
      <c r="K58" s="73">
        <f>181402.35+1985.12</f>
        <v>183387.47</v>
      </c>
      <c r="L58" s="70">
        <f>4001.99*2.3654</f>
        <v>9466.307146000001</v>
      </c>
      <c r="M58" s="70">
        <v>8021.06</v>
      </c>
      <c r="N58" s="71">
        <f>SUM(O58:R58)</f>
        <v>0</v>
      </c>
      <c r="O58" s="73">
        <f>G58*K58</f>
        <v>0</v>
      </c>
      <c r="P58" s="73">
        <f>E58*L58</f>
        <v>0</v>
      </c>
      <c r="Q58" s="73"/>
      <c r="R58" s="75">
        <f>G58*M58</f>
        <v>0</v>
      </c>
      <c r="S58" s="75"/>
      <c r="T58" s="75">
        <f>H58*K58</f>
        <v>0</v>
      </c>
      <c r="U58" s="75">
        <f>I58*K58</f>
        <v>0</v>
      </c>
    </row>
    <row r="59" spans="1:23" x14ac:dyDescent="0.25">
      <c r="A59" s="230"/>
      <c r="B59" s="201"/>
      <c r="C59" s="66" t="s">
        <v>106</v>
      </c>
      <c r="D59" s="64"/>
      <c r="E59" s="60">
        <f>E55+E58</f>
        <v>39</v>
      </c>
      <c r="F59" s="60">
        <f>F55+F58</f>
        <v>39</v>
      </c>
      <c r="G59" s="60">
        <f>G55+G58</f>
        <v>39</v>
      </c>
      <c r="H59" s="60">
        <f>H55+H58</f>
        <v>39</v>
      </c>
      <c r="I59" s="60">
        <f>I55+I58</f>
        <v>39</v>
      </c>
      <c r="J59" s="73" t="s">
        <v>104</v>
      </c>
      <c r="K59" s="73" t="s">
        <v>104</v>
      </c>
      <c r="L59" s="74" t="s">
        <v>104</v>
      </c>
      <c r="M59" s="74" t="s">
        <v>104</v>
      </c>
      <c r="N59" s="74">
        <f t="shared" ref="N59:R59" si="40">SUM(N55:N58)</f>
        <v>2386080.3086939999</v>
      </c>
      <c r="O59" s="74">
        <f t="shared" si="40"/>
        <v>1704072.8</v>
      </c>
      <c r="P59" s="74">
        <f t="shared" si="40"/>
        <v>369186.16869400005</v>
      </c>
      <c r="Q59" s="74"/>
      <c r="R59" s="74">
        <f t="shared" si="40"/>
        <v>312821.34000000003</v>
      </c>
      <c r="S59" s="74"/>
      <c r="T59" s="75">
        <f>SUM(T55:T58)</f>
        <v>2386080.3086939999</v>
      </c>
      <c r="U59" s="75">
        <f>SUM(U55:U58)</f>
        <v>2386080.3086939999</v>
      </c>
    </row>
    <row r="60" spans="1:23" ht="100.9" customHeight="1" x14ac:dyDescent="0.25">
      <c r="A60" s="230"/>
      <c r="B60" s="137" t="s">
        <v>252</v>
      </c>
      <c r="C60" s="61" t="s">
        <v>187</v>
      </c>
      <c r="D60" s="64" t="s">
        <v>101</v>
      </c>
      <c r="E60" s="60">
        <v>776</v>
      </c>
      <c r="F60" s="60">
        <v>776</v>
      </c>
      <c r="G60" s="59">
        <f t="shared" ref="G60" si="41">((E60*8)+(F60*4))/12</f>
        <v>776</v>
      </c>
      <c r="H60" s="60">
        <v>776</v>
      </c>
      <c r="I60" s="60">
        <v>776</v>
      </c>
      <c r="J60" s="75">
        <f>K60</f>
        <v>2807.3</v>
      </c>
      <c r="K60" s="75">
        <v>2807.3</v>
      </c>
      <c r="L60" s="72" t="s">
        <v>104</v>
      </c>
      <c r="M60" s="72" t="s">
        <v>104</v>
      </c>
      <c r="N60" s="73">
        <f>SUM(O60:R60)</f>
        <v>2178465.0000000005</v>
      </c>
      <c r="O60" s="73">
        <f>K60*G60+0.2</f>
        <v>2178465.0000000005</v>
      </c>
      <c r="P60" s="73" t="s">
        <v>104</v>
      </c>
      <c r="Q60" s="73"/>
      <c r="R60" s="73" t="s">
        <v>104</v>
      </c>
      <c r="S60" s="73"/>
      <c r="T60" s="75">
        <f>N60</f>
        <v>2178465.0000000005</v>
      </c>
      <c r="U60" s="75">
        <f>T60</f>
        <v>2178465.0000000005</v>
      </c>
    </row>
    <row r="61" spans="1:23" x14ac:dyDescent="0.25">
      <c r="A61" s="230"/>
      <c r="B61" s="69"/>
      <c r="C61" s="66" t="s">
        <v>106</v>
      </c>
      <c r="D61" s="69"/>
      <c r="E61" s="60">
        <f>SUM(E60:E60)</f>
        <v>776</v>
      </c>
      <c r="F61" s="60">
        <f>SUM(F60:F60)</f>
        <v>776</v>
      </c>
      <c r="G61" s="60">
        <f>SUM(G60:G60)</f>
        <v>776</v>
      </c>
      <c r="H61" s="60">
        <f>SUM(H60:H60)</f>
        <v>776</v>
      </c>
      <c r="I61" s="60">
        <f>SUM(I60:I60)</f>
        <v>776</v>
      </c>
      <c r="J61" s="73" t="s">
        <v>104</v>
      </c>
      <c r="K61" s="73" t="s">
        <v>104</v>
      </c>
      <c r="L61" s="74" t="s">
        <v>104</v>
      </c>
      <c r="M61" s="74">
        <f t="shared" ref="M61:R61" si="42">SUM(M60:M60)</f>
        <v>0</v>
      </c>
      <c r="N61" s="74">
        <f t="shared" si="42"/>
        <v>2178465.0000000005</v>
      </c>
      <c r="O61" s="74">
        <f t="shared" si="42"/>
        <v>2178465.0000000005</v>
      </c>
      <c r="P61" s="74">
        <f t="shared" si="42"/>
        <v>0</v>
      </c>
      <c r="Q61" s="74"/>
      <c r="R61" s="74">
        <f t="shared" si="42"/>
        <v>0</v>
      </c>
      <c r="S61" s="74"/>
      <c r="T61" s="75">
        <f>N61</f>
        <v>2178465.0000000005</v>
      </c>
      <c r="U61" s="75">
        <f>T61</f>
        <v>2178465.0000000005</v>
      </c>
    </row>
    <row r="62" spans="1:23" x14ac:dyDescent="0.25">
      <c r="A62" s="230"/>
      <c r="B62" s="89" t="s">
        <v>225</v>
      </c>
      <c r="C62" s="189" t="s">
        <v>219</v>
      </c>
      <c r="D62" s="64" t="s">
        <v>101</v>
      </c>
      <c r="E62" s="60"/>
      <c r="F62" s="60"/>
      <c r="G62" s="60">
        <v>19</v>
      </c>
      <c r="H62" s="60">
        <v>19</v>
      </c>
      <c r="I62" s="60">
        <v>19</v>
      </c>
      <c r="J62" s="73"/>
      <c r="K62" s="73"/>
      <c r="L62" s="74"/>
      <c r="M62" s="74"/>
      <c r="N62" s="74">
        <f>O62+P62+Q62+R62+S62</f>
        <v>1481413</v>
      </c>
      <c r="O62" s="74"/>
      <c r="P62" s="74"/>
      <c r="Q62" s="74"/>
      <c r="R62" s="74"/>
      <c r="S62" s="74">
        <v>1481413</v>
      </c>
      <c r="T62" s="75">
        <f>S62</f>
        <v>1481413</v>
      </c>
      <c r="U62" s="75">
        <f>T62</f>
        <v>1481413</v>
      </c>
    </row>
    <row r="63" spans="1:23" x14ac:dyDescent="0.25">
      <c r="A63" s="230"/>
      <c r="B63" s="89" t="s">
        <v>225</v>
      </c>
      <c r="C63" s="189" t="s">
        <v>226</v>
      </c>
      <c r="D63" s="64" t="s">
        <v>101</v>
      </c>
      <c r="E63" s="60"/>
      <c r="F63" s="60"/>
      <c r="G63" s="60">
        <v>2</v>
      </c>
      <c r="H63" s="60">
        <v>2</v>
      </c>
      <c r="I63" s="60">
        <v>2</v>
      </c>
      <c r="J63" s="73"/>
      <c r="K63" s="73"/>
      <c r="L63" s="74"/>
      <c r="M63" s="74"/>
      <c r="N63" s="74">
        <f>O63+P63+Q63+R63+S63</f>
        <v>321333.33</v>
      </c>
      <c r="O63" s="74"/>
      <c r="P63" s="74"/>
      <c r="Q63" s="74">
        <f>321333.33</f>
        <v>321333.33</v>
      </c>
      <c r="R63" s="74"/>
      <c r="S63" s="74"/>
      <c r="T63" s="75">
        <f>Q63</f>
        <v>321333.33</v>
      </c>
      <c r="U63" s="75">
        <f>T63</f>
        <v>321333.33</v>
      </c>
    </row>
    <row r="64" spans="1:23" x14ac:dyDescent="0.25">
      <c r="A64" s="230"/>
      <c r="B64" s="101" t="s">
        <v>112</v>
      </c>
      <c r="C64" s="101"/>
      <c r="D64" s="69"/>
      <c r="E64" s="102"/>
      <c r="F64" s="102"/>
      <c r="G64" s="102"/>
      <c r="H64" s="102"/>
      <c r="I64" s="102"/>
      <c r="J64" s="104"/>
      <c r="K64" s="104"/>
      <c r="L64" s="103"/>
      <c r="M64" s="103"/>
      <c r="N64" s="103">
        <f>SUM(O64:S64)</f>
        <v>31741289.638796002</v>
      </c>
      <c r="O64" s="103">
        <f>O47+O54+O59+O61</f>
        <v>20740188.000000004</v>
      </c>
      <c r="P64" s="103">
        <f>P47+P54+P59+P61</f>
        <v>4979277.7487960001</v>
      </c>
      <c r="Q64" s="103">
        <f>Q63</f>
        <v>321333.33</v>
      </c>
      <c r="R64" s="103">
        <f>R47+R54+R59+R61</f>
        <v>4219077.5600000005</v>
      </c>
      <c r="S64" s="103">
        <f>S62</f>
        <v>1481413</v>
      </c>
      <c r="T64" s="103">
        <f>T47+T54+T59+T61+T62+T63</f>
        <v>31741289.638795998</v>
      </c>
      <c r="U64" s="103">
        <f>U47+U54+U59+U61+U62+U63</f>
        <v>31741289.638795998</v>
      </c>
      <c r="W64" s="85"/>
    </row>
    <row r="65" spans="1:21" ht="90" x14ac:dyDescent="0.25">
      <c r="A65" s="230" t="s">
        <v>114</v>
      </c>
      <c r="B65" s="231" t="s">
        <v>249</v>
      </c>
      <c r="C65" s="61" t="s">
        <v>100</v>
      </c>
      <c r="D65" s="62" t="s">
        <v>101</v>
      </c>
      <c r="E65" s="59">
        <v>211</v>
      </c>
      <c r="F65" s="59">
        <v>211</v>
      </c>
      <c r="G65" s="59">
        <f t="shared" ref="G65:G87" si="43">((E65*8)+(F65*4))/12</f>
        <v>211</v>
      </c>
      <c r="H65" s="59">
        <v>211</v>
      </c>
      <c r="I65" s="59">
        <v>211</v>
      </c>
      <c r="J65" s="107">
        <f>SUM(K65:M65)</f>
        <v>41517.257145999996</v>
      </c>
      <c r="K65" s="107">
        <f>22687.5+1342.39</f>
        <v>24029.89</v>
      </c>
      <c r="L65" s="70">
        <f>4001.99*2.3654</f>
        <v>9466.307146000001</v>
      </c>
      <c r="M65" s="70">
        <v>8021.06</v>
      </c>
      <c r="N65" s="71">
        <f>SUM(O65:R65)</f>
        <v>8760141.4878059998</v>
      </c>
      <c r="O65" s="71">
        <f>G65*K65+0.23</f>
        <v>5070307.0200000005</v>
      </c>
      <c r="P65" s="71">
        <f>G65*L65</f>
        <v>1997390.8078060001</v>
      </c>
      <c r="Q65" s="71"/>
      <c r="R65" s="75">
        <f>G65*M65</f>
        <v>1692443.6600000001</v>
      </c>
      <c r="S65" s="75"/>
      <c r="T65" s="75">
        <f>N65</f>
        <v>8760141.4878059998</v>
      </c>
      <c r="U65" s="75">
        <f>T65</f>
        <v>8760141.4878059998</v>
      </c>
    </row>
    <row r="66" spans="1:21" ht="90" x14ac:dyDescent="0.25">
      <c r="A66" s="230"/>
      <c r="B66" s="231"/>
      <c r="C66" s="63" t="s">
        <v>163</v>
      </c>
      <c r="D66" s="64" t="s">
        <v>101</v>
      </c>
      <c r="E66" s="59" t="s">
        <v>104</v>
      </c>
      <c r="F66" s="59" t="s">
        <v>104</v>
      </c>
      <c r="G66" s="59" t="s">
        <v>104</v>
      </c>
      <c r="H66" s="59" t="s">
        <v>104</v>
      </c>
      <c r="I66" s="59" t="s">
        <v>104</v>
      </c>
      <c r="J66" s="59" t="s">
        <v>104</v>
      </c>
      <c r="K66" s="59" t="s">
        <v>104</v>
      </c>
      <c r="L66" s="59" t="s">
        <v>104</v>
      </c>
      <c r="M66" s="59" t="s">
        <v>104</v>
      </c>
      <c r="N66" s="59"/>
      <c r="O66" s="59"/>
      <c r="P66" s="59" t="s">
        <v>104</v>
      </c>
      <c r="Q66" s="59"/>
      <c r="R66" s="59" t="s">
        <v>104</v>
      </c>
      <c r="S66" s="59"/>
      <c r="T66" s="75"/>
      <c r="U66" s="75"/>
    </row>
    <row r="67" spans="1:21" x14ac:dyDescent="0.25">
      <c r="A67" s="230"/>
      <c r="B67" s="231"/>
      <c r="C67" s="63" t="s">
        <v>171</v>
      </c>
      <c r="D67" s="64" t="s">
        <v>101</v>
      </c>
      <c r="E67" s="59">
        <v>1</v>
      </c>
      <c r="F67" s="59">
        <v>1</v>
      </c>
      <c r="G67" s="59">
        <f t="shared" si="43"/>
        <v>1</v>
      </c>
      <c r="H67" s="59">
        <v>1</v>
      </c>
      <c r="I67" s="59">
        <v>1</v>
      </c>
      <c r="J67" s="75">
        <f t="shared" ref="J67:J71" si="44">K67</f>
        <v>69362.66</v>
      </c>
      <c r="K67" s="75">
        <v>69362.66</v>
      </c>
      <c r="L67" s="59" t="s">
        <v>104</v>
      </c>
      <c r="M67" s="59" t="s">
        <v>104</v>
      </c>
      <c r="N67" s="71">
        <f>O67</f>
        <v>69362.66</v>
      </c>
      <c r="O67" s="71">
        <f>G67*K67</f>
        <v>69362.66</v>
      </c>
      <c r="P67" s="59" t="s">
        <v>104</v>
      </c>
      <c r="Q67" s="59"/>
      <c r="R67" s="59" t="s">
        <v>104</v>
      </c>
      <c r="S67" s="59"/>
      <c r="T67" s="75">
        <f>H67*K67</f>
        <v>69362.66</v>
      </c>
      <c r="U67" s="75">
        <f>I67*K67</f>
        <v>69362.66</v>
      </c>
    </row>
    <row r="68" spans="1:21" x14ac:dyDescent="0.25">
      <c r="A68" s="230"/>
      <c r="B68" s="231"/>
      <c r="C68" s="63" t="s">
        <v>164</v>
      </c>
      <c r="D68" s="64" t="s">
        <v>101</v>
      </c>
      <c r="E68" s="59">
        <v>4</v>
      </c>
      <c r="F68" s="59">
        <v>4</v>
      </c>
      <c r="G68" s="59">
        <f t="shared" si="43"/>
        <v>4</v>
      </c>
      <c r="H68" s="59">
        <v>4</v>
      </c>
      <c r="I68" s="59">
        <v>4</v>
      </c>
      <c r="J68" s="75">
        <f t="shared" si="44"/>
        <v>25589.72</v>
      </c>
      <c r="K68" s="75">
        <v>25589.72</v>
      </c>
      <c r="L68" s="59" t="s">
        <v>104</v>
      </c>
      <c r="M68" s="59" t="s">
        <v>104</v>
      </c>
      <c r="N68" s="71">
        <f>O68</f>
        <v>102358.88</v>
      </c>
      <c r="O68" s="71">
        <f t="shared" ref="O68:O72" si="45">G68*K68</f>
        <v>102358.88</v>
      </c>
      <c r="P68" s="59" t="s">
        <v>104</v>
      </c>
      <c r="Q68" s="59"/>
      <c r="R68" s="59" t="s">
        <v>104</v>
      </c>
      <c r="S68" s="59"/>
      <c r="T68" s="75">
        <f>H68*K68</f>
        <v>102358.88</v>
      </c>
      <c r="U68" s="75">
        <f>I68*K68</f>
        <v>102358.88</v>
      </c>
    </row>
    <row r="69" spans="1:21" x14ac:dyDescent="0.25">
      <c r="A69" s="230"/>
      <c r="B69" s="231"/>
      <c r="C69" s="63" t="s">
        <v>169</v>
      </c>
      <c r="D69" s="64" t="s">
        <v>101</v>
      </c>
      <c r="E69" s="59">
        <v>7</v>
      </c>
      <c r="F69" s="59">
        <v>7</v>
      </c>
      <c r="G69" s="59">
        <f t="shared" si="43"/>
        <v>7</v>
      </c>
      <c r="H69" s="59">
        <v>7</v>
      </c>
      <c r="I69" s="59">
        <v>7</v>
      </c>
      <c r="J69" s="75">
        <f t="shared" si="44"/>
        <v>69362.66</v>
      </c>
      <c r="K69" s="75">
        <v>69362.66</v>
      </c>
      <c r="L69" s="59" t="s">
        <v>104</v>
      </c>
      <c r="M69" s="59" t="s">
        <v>104</v>
      </c>
      <c r="N69" s="71">
        <f t="shared" ref="N69:N71" si="46">O69</f>
        <v>485538.62</v>
      </c>
      <c r="O69" s="71">
        <f t="shared" si="45"/>
        <v>485538.62</v>
      </c>
      <c r="P69" s="59" t="s">
        <v>104</v>
      </c>
      <c r="Q69" s="59"/>
      <c r="R69" s="59" t="s">
        <v>104</v>
      </c>
      <c r="S69" s="59"/>
      <c r="T69" s="75">
        <f t="shared" ref="T69:T71" si="47">H69*K69</f>
        <v>485538.62</v>
      </c>
      <c r="U69" s="75">
        <f t="shared" ref="U69:U71" si="48">I69*K69</f>
        <v>485538.62</v>
      </c>
    </row>
    <row r="70" spans="1:21" x14ac:dyDescent="0.25">
      <c r="A70" s="230"/>
      <c r="B70" s="231"/>
      <c r="C70" s="63" t="s">
        <v>166</v>
      </c>
      <c r="D70" s="64" t="s">
        <v>101</v>
      </c>
      <c r="E70" s="59">
        <v>4</v>
      </c>
      <c r="F70" s="59">
        <v>4</v>
      </c>
      <c r="G70" s="59">
        <f t="shared" si="43"/>
        <v>4</v>
      </c>
      <c r="H70" s="59">
        <v>4</v>
      </c>
      <c r="I70" s="59">
        <v>4</v>
      </c>
      <c r="J70" s="75">
        <f t="shared" si="44"/>
        <v>66361.320000000007</v>
      </c>
      <c r="K70" s="75">
        <v>66361.320000000007</v>
      </c>
      <c r="L70" s="59" t="s">
        <v>104</v>
      </c>
      <c r="M70" s="59" t="s">
        <v>104</v>
      </c>
      <c r="N70" s="71">
        <f t="shared" si="46"/>
        <v>265445.28000000003</v>
      </c>
      <c r="O70" s="71">
        <f t="shared" si="45"/>
        <v>265445.28000000003</v>
      </c>
      <c r="P70" s="59" t="s">
        <v>104</v>
      </c>
      <c r="Q70" s="59"/>
      <c r="R70" s="59" t="s">
        <v>104</v>
      </c>
      <c r="S70" s="59"/>
      <c r="T70" s="75">
        <f t="shared" si="47"/>
        <v>265445.28000000003</v>
      </c>
      <c r="U70" s="75">
        <f t="shared" si="48"/>
        <v>265445.28000000003</v>
      </c>
    </row>
    <row r="71" spans="1:21" x14ac:dyDescent="0.25">
      <c r="A71" s="230"/>
      <c r="B71" s="231"/>
      <c r="C71" s="63" t="s">
        <v>168</v>
      </c>
      <c r="D71" s="64" t="s">
        <v>101</v>
      </c>
      <c r="E71" s="59">
        <v>1</v>
      </c>
      <c r="F71" s="59">
        <v>1</v>
      </c>
      <c r="G71" s="59">
        <f t="shared" si="43"/>
        <v>1</v>
      </c>
      <c r="H71" s="59">
        <v>1</v>
      </c>
      <c r="I71" s="59">
        <v>1</v>
      </c>
      <c r="J71" s="75">
        <f t="shared" si="44"/>
        <v>23553.439999999999</v>
      </c>
      <c r="K71" s="75">
        <v>23553.439999999999</v>
      </c>
      <c r="L71" s="59" t="s">
        <v>104</v>
      </c>
      <c r="M71" s="59" t="s">
        <v>104</v>
      </c>
      <c r="N71" s="71">
        <f t="shared" si="46"/>
        <v>23553.439999999999</v>
      </c>
      <c r="O71" s="71">
        <f t="shared" si="45"/>
        <v>23553.439999999999</v>
      </c>
      <c r="P71" s="59" t="s">
        <v>104</v>
      </c>
      <c r="Q71" s="59"/>
      <c r="R71" s="59" t="s">
        <v>104</v>
      </c>
      <c r="S71" s="59"/>
      <c r="T71" s="75">
        <f t="shared" si="47"/>
        <v>23553.439999999999</v>
      </c>
      <c r="U71" s="75">
        <f t="shared" si="48"/>
        <v>23553.439999999999</v>
      </c>
    </row>
    <row r="72" spans="1:21" ht="120" x14ac:dyDescent="0.25">
      <c r="A72" s="230"/>
      <c r="B72" s="231"/>
      <c r="C72" s="61" t="s">
        <v>105</v>
      </c>
      <c r="D72" s="64" t="s">
        <v>101</v>
      </c>
      <c r="E72" s="59">
        <v>1</v>
      </c>
      <c r="F72" s="59">
        <v>1</v>
      </c>
      <c r="G72" s="59">
        <f t="shared" si="43"/>
        <v>1</v>
      </c>
      <c r="H72" s="59">
        <v>1</v>
      </c>
      <c r="I72" s="59">
        <v>1</v>
      </c>
      <c r="J72" s="75">
        <f>SUM(K72:M72)</f>
        <v>140242.677146</v>
      </c>
      <c r="K72" s="75">
        <f>121412.92+1342.39</f>
        <v>122755.31</v>
      </c>
      <c r="L72" s="72">
        <f>4001.99*2.3654</f>
        <v>9466.307146000001</v>
      </c>
      <c r="M72" s="70">
        <v>8021.06</v>
      </c>
      <c r="N72" s="71">
        <f>SUM(O72:R72)</f>
        <v>140242.677146</v>
      </c>
      <c r="O72" s="71">
        <f t="shared" si="45"/>
        <v>122755.31</v>
      </c>
      <c r="P72" s="71">
        <f>G72*L72</f>
        <v>9466.307146000001</v>
      </c>
      <c r="Q72" s="71"/>
      <c r="R72" s="75">
        <f>G72*M72</f>
        <v>8021.06</v>
      </c>
      <c r="S72" s="75"/>
      <c r="T72" s="75">
        <f t="shared" si="9"/>
        <v>140242.677146</v>
      </c>
      <c r="U72" s="75">
        <f t="shared" si="6"/>
        <v>140242.677146</v>
      </c>
    </row>
    <row r="73" spans="1:21" x14ac:dyDescent="0.25">
      <c r="A73" s="230"/>
      <c r="B73" s="231"/>
      <c r="C73" s="66" t="s">
        <v>106</v>
      </c>
      <c r="D73" s="67"/>
      <c r="E73" s="59">
        <f>E65+E72</f>
        <v>212</v>
      </c>
      <c r="F73" s="59">
        <f t="shared" ref="F73:I73" si="49">F65+F72</f>
        <v>212</v>
      </c>
      <c r="G73" s="59">
        <f>G65+G72</f>
        <v>212</v>
      </c>
      <c r="H73" s="59">
        <f t="shared" si="49"/>
        <v>212</v>
      </c>
      <c r="I73" s="59">
        <f t="shared" si="49"/>
        <v>212</v>
      </c>
      <c r="J73" s="71" t="s">
        <v>104</v>
      </c>
      <c r="K73" s="71" t="s">
        <v>104</v>
      </c>
      <c r="L73" s="71" t="s">
        <v>104</v>
      </c>
      <c r="M73" s="71" t="s">
        <v>104</v>
      </c>
      <c r="N73" s="71">
        <f t="shared" ref="N73:R73" si="50">SUM(N65:N72)</f>
        <v>9846643.0449519996</v>
      </c>
      <c r="O73" s="71">
        <f t="shared" si="50"/>
        <v>6139321.2100000009</v>
      </c>
      <c r="P73" s="71">
        <f t="shared" si="50"/>
        <v>2006857.1149520001</v>
      </c>
      <c r="Q73" s="71"/>
      <c r="R73" s="71">
        <f t="shared" si="50"/>
        <v>1700464.7200000002</v>
      </c>
      <c r="S73" s="71"/>
      <c r="T73" s="71">
        <f>N73</f>
        <v>9846643.0449519996</v>
      </c>
      <c r="U73" s="71">
        <f>T73</f>
        <v>9846643.0449519996</v>
      </c>
    </row>
    <row r="74" spans="1:21" ht="90" x14ac:dyDescent="0.25">
      <c r="A74" s="230"/>
      <c r="B74" s="231" t="s">
        <v>250</v>
      </c>
      <c r="C74" s="61" t="s">
        <v>100</v>
      </c>
      <c r="D74" s="62" t="s">
        <v>101</v>
      </c>
      <c r="E74" s="59">
        <v>223</v>
      </c>
      <c r="F74" s="59">
        <v>223</v>
      </c>
      <c r="G74" s="59">
        <f t="shared" si="43"/>
        <v>223</v>
      </c>
      <c r="H74" s="59">
        <v>223</v>
      </c>
      <c r="I74" s="59">
        <v>223</v>
      </c>
      <c r="J74" s="107">
        <f>SUM(K74:M74)</f>
        <v>53471.797145999997</v>
      </c>
      <c r="K74" s="107">
        <f>34346.05+1638.38</f>
        <v>35984.43</v>
      </c>
      <c r="L74" s="70">
        <f>4001.99*2.3654</f>
        <v>9466.307146000001</v>
      </c>
      <c r="M74" s="70">
        <v>8021.06</v>
      </c>
      <c r="N74" s="71">
        <f>SUM(O74:R74)</f>
        <v>11924210.763558</v>
      </c>
      <c r="O74" s="71">
        <f>G74*K74</f>
        <v>8024527.8899999997</v>
      </c>
      <c r="P74" s="71">
        <f>G74*L74</f>
        <v>2110986.4935580003</v>
      </c>
      <c r="Q74" s="71"/>
      <c r="R74" s="75">
        <f>G74*M74</f>
        <v>1788696.3800000001</v>
      </c>
      <c r="S74" s="75"/>
      <c r="T74" s="75">
        <f t="shared" si="9"/>
        <v>11924210.763557998</v>
      </c>
      <c r="U74" s="75">
        <f t="shared" si="6"/>
        <v>11924210.763557998</v>
      </c>
    </row>
    <row r="75" spans="1:21" ht="90" x14ac:dyDescent="0.25">
      <c r="A75" s="230"/>
      <c r="B75" s="231"/>
      <c r="C75" s="63" t="s">
        <v>163</v>
      </c>
      <c r="D75" s="64" t="s">
        <v>101</v>
      </c>
      <c r="E75" s="59" t="s">
        <v>104</v>
      </c>
      <c r="F75" s="59" t="s">
        <v>104</v>
      </c>
      <c r="G75" s="59" t="s">
        <v>104</v>
      </c>
      <c r="H75" s="59" t="s">
        <v>104</v>
      </c>
      <c r="I75" s="59" t="s">
        <v>104</v>
      </c>
      <c r="J75" s="59" t="s">
        <v>104</v>
      </c>
      <c r="K75" s="59" t="s">
        <v>104</v>
      </c>
      <c r="L75" s="59" t="s">
        <v>104</v>
      </c>
      <c r="M75" s="59" t="s">
        <v>104</v>
      </c>
      <c r="N75" s="71"/>
      <c r="O75" s="71"/>
      <c r="P75" s="59" t="s">
        <v>104</v>
      </c>
      <c r="Q75" s="59"/>
      <c r="R75" s="59" t="s">
        <v>104</v>
      </c>
      <c r="S75" s="59"/>
      <c r="T75" s="75"/>
      <c r="U75" s="75"/>
    </row>
    <row r="76" spans="1:21" x14ac:dyDescent="0.25">
      <c r="A76" s="230"/>
      <c r="B76" s="231"/>
      <c r="C76" s="63" t="s">
        <v>171</v>
      </c>
      <c r="D76" s="64" t="s">
        <v>101</v>
      </c>
      <c r="E76" s="60">
        <v>1</v>
      </c>
      <c r="F76" s="60">
        <v>1</v>
      </c>
      <c r="G76" s="59">
        <f t="shared" si="43"/>
        <v>1</v>
      </c>
      <c r="H76" s="60">
        <v>1</v>
      </c>
      <c r="I76" s="60">
        <v>1</v>
      </c>
      <c r="J76" s="75">
        <f t="shared" ref="J76:J77" si="51">K76</f>
        <v>69362.66</v>
      </c>
      <c r="K76" s="75">
        <v>69362.66</v>
      </c>
      <c r="L76" s="59" t="s">
        <v>104</v>
      </c>
      <c r="M76" s="59" t="s">
        <v>104</v>
      </c>
      <c r="N76" s="71">
        <f t="shared" ref="N76:N77" si="52">O76</f>
        <v>69362.66</v>
      </c>
      <c r="O76" s="71">
        <f>G76*K76</f>
        <v>69362.66</v>
      </c>
      <c r="P76" s="59" t="s">
        <v>104</v>
      </c>
      <c r="Q76" s="59"/>
      <c r="R76" s="59" t="s">
        <v>104</v>
      </c>
      <c r="S76" s="59"/>
      <c r="T76" s="75">
        <f>H76*K76</f>
        <v>69362.66</v>
      </c>
      <c r="U76" s="75">
        <f>I76*K76</f>
        <v>69362.66</v>
      </c>
    </row>
    <row r="77" spans="1:21" x14ac:dyDescent="0.25">
      <c r="A77" s="230"/>
      <c r="B77" s="231"/>
      <c r="C77" s="63" t="s">
        <v>165</v>
      </c>
      <c r="D77" s="64" t="s">
        <v>101</v>
      </c>
      <c r="E77" s="60">
        <v>1</v>
      </c>
      <c r="F77" s="60">
        <v>1</v>
      </c>
      <c r="G77" s="59">
        <f t="shared" si="43"/>
        <v>1</v>
      </c>
      <c r="H77" s="60">
        <v>1</v>
      </c>
      <c r="I77" s="60">
        <v>1</v>
      </c>
      <c r="J77" s="75">
        <f t="shared" si="51"/>
        <v>92468.25</v>
      </c>
      <c r="K77" s="75">
        <v>92468.25</v>
      </c>
      <c r="L77" s="59" t="s">
        <v>104</v>
      </c>
      <c r="M77" s="59" t="s">
        <v>104</v>
      </c>
      <c r="N77" s="71">
        <f t="shared" si="52"/>
        <v>92468.25</v>
      </c>
      <c r="O77" s="71">
        <f t="shared" ref="O77:O79" si="53">G77*K77</f>
        <v>92468.25</v>
      </c>
      <c r="P77" s="59" t="s">
        <v>104</v>
      </c>
      <c r="Q77" s="59"/>
      <c r="R77" s="59" t="s">
        <v>104</v>
      </c>
      <c r="S77" s="59"/>
      <c r="T77" s="75">
        <f t="shared" ref="T77:T78" si="54">H77*K77</f>
        <v>92468.25</v>
      </c>
      <c r="U77" s="75">
        <f t="shared" ref="U77:U78" si="55">I77*K77</f>
        <v>92468.25</v>
      </c>
    </row>
    <row r="78" spans="1:21" x14ac:dyDescent="0.25">
      <c r="A78" s="230"/>
      <c r="B78" s="231"/>
      <c r="C78" s="63" t="s">
        <v>168</v>
      </c>
      <c r="D78" s="64" t="s">
        <v>101</v>
      </c>
      <c r="E78" s="60">
        <v>6</v>
      </c>
      <c r="F78" s="60">
        <v>6</v>
      </c>
      <c r="G78" s="59">
        <f t="shared" si="43"/>
        <v>6</v>
      </c>
      <c r="H78" s="60">
        <v>6</v>
      </c>
      <c r="I78" s="60">
        <v>6</v>
      </c>
      <c r="J78" s="75">
        <f>K78</f>
        <v>23553.439999999999</v>
      </c>
      <c r="K78" s="75">
        <v>23553.439999999999</v>
      </c>
      <c r="L78" s="59" t="s">
        <v>104</v>
      </c>
      <c r="M78" s="59" t="s">
        <v>104</v>
      </c>
      <c r="N78" s="71">
        <f>O78</f>
        <v>141320.63999999998</v>
      </c>
      <c r="O78" s="71">
        <f t="shared" si="53"/>
        <v>141320.63999999998</v>
      </c>
      <c r="P78" s="59" t="s">
        <v>104</v>
      </c>
      <c r="Q78" s="59"/>
      <c r="R78" s="59" t="s">
        <v>104</v>
      </c>
      <c r="S78" s="59"/>
      <c r="T78" s="75">
        <f t="shared" si="54"/>
        <v>141320.63999999998</v>
      </c>
      <c r="U78" s="75">
        <f t="shared" si="55"/>
        <v>141320.63999999998</v>
      </c>
    </row>
    <row r="79" spans="1:21" ht="120" x14ac:dyDescent="0.25">
      <c r="A79" s="230"/>
      <c r="B79" s="231"/>
      <c r="C79" s="61" t="s">
        <v>105</v>
      </c>
      <c r="D79" s="64" t="s">
        <v>101</v>
      </c>
      <c r="E79" s="60">
        <v>3</v>
      </c>
      <c r="F79" s="60">
        <v>3</v>
      </c>
      <c r="G79" s="59">
        <f t="shared" si="43"/>
        <v>3</v>
      </c>
      <c r="H79" s="60">
        <v>3</v>
      </c>
      <c r="I79" s="60">
        <v>3</v>
      </c>
      <c r="J79" s="75">
        <f>SUM(K79:M79)</f>
        <v>170533.37714600001</v>
      </c>
      <c r="K79" s="75">
        <f>151407.63+1638.38</f>
        <v>153046.01</v>
      </c>
      <c r="L79" s="72">
        <f>4001.99*2.3654</f>
        <v>9466.307146000001</v>
      </c>
      <c r="M79" s="70">
        <v>8021.06</v>
      </c>
      <c r="N79" s="73">
        <f>SUM(O79:R79)</f>
        <v>511600.13143800001</v>
      </c>
      <c r="O79" s="71">
        <f t="shared" si="53"/>
        <v>459138.03</v>
      </c>
      <c r="P79" s="73">
        <f>G79*L79</f>
        <v>28398.921438000005</v>
      </c>
      <c r="Q79" s="73"/>
      <c r="R79" s="75">
        <f>G79*M79</f>
        <v>24063.18</v>
      </c>
      <c r="S79" s="75"/>
      <c r="T79" s="75">
        <f t="shared" si="9"/>
        <v>511600.13143800001</v>
      </c>
      <c r="U79" s="75">
        <f t="shared" si="6"/>
        <v>511600.13143800001</v>
      </c>
    </row>
    <row r="80" spans="1:21" x14ac:dyDescent="0.25">
      <c r="A80" s="230"/>
      <c r="B80" s="201"/>
      <c r="C80" s="66" t="s">
        <v>106</v>
      </c>
      <c r="D80" s="64"/>
      <c r="E80" s="60">
        <f>E74+E79</f>
        <v>226</v>
      </c>
      <c r="F80" s="60">
        <f t="shared" ref="F80:I80" si="56">F74+F79</f>
        <v>226</v>
      </c>
      <c r="G80" s="60">
        <f t="shared" si="56"/>
        <v>226</v>
      </c>
      <c r="H80" s="60">
        <f t="shared" si="56"/>
        <v>226</v>
      </c>
      <c r="I80" s="60">
        <f t="shared" si="56"/>
        <v>226</v>
      </c>
      <c r="J80" s="73" t="s">
        <v>104</v>
      </c>
      <c r="K80" s="73" t="s">
        <v>104</v>
      </c>
      <c r="L80" s="74" t="s">
        <v>104</v>
      </c>
      <c r="M80" s="74" t="s">
        <v>104</v>
      </c>
      <c r="N80" s="74">
        <f t="shared" ref="N80:U80" si="57">SUM(N74:N79)</f>
        <v>12738962.444996001</v>
      </c>
      <c r="O80" s="74">
        <f t="shared" si="57"/>
        <v>8786817.4699999988</v>
      </c>
      <c r="P80" s="74">
        <f t="shared" si="57"/>
        <v>2139385.4149960005</v>
      </c>
      <c r="Q80" s="74"/>
      <c r="R80" s="74">
        <f t="shared" si="57"/>
        <v>1812759.56</v>
      </c>
      <c r="S80" s="74"/>
      <c r="T80" s="74">
        <f t="shared" si="57"/>
        <v>12738962.444995999</v>
      </c>
      <c r="U80" s="74">
        <f t="shared" si="57"/>
        <v>12738962.444995999</v>
      </c>
    </row>
    <row r="81" spans="1:21" ht="90" x14ac:dyDescent="0.25">
      <c r="A81" s="230"/>
      <c r="B81" s="231" t="s">
        <v>251</v>
      </c>
      <c r="C81" s="61" t="s">
        <v>100</v>
      </c>
      <c r="D81" s="62" t="s">
        <v>101</v>
      </c>
      <c r="E81" s="60">
        <v>68</v>
      </c>
      <c r="F81" s="60">
        <v>68</v>
      </c>
      <c r="G81" s="59">
        <f t="shared" si="43"/>
        <v>68</v>
      </c>
      <c r="H81" s="60">
        <v>68</v>
      </c>
      <c r="I81" s="60">
        <v>68</v>
      </c>
      <c r="J81" s="107">
        <f>SUM(K81:M81)</f>
        <v>60577.607146000002</v>
      </c>
      <c r="K81" s="107">
        <f>41105.12+1985.12</f>
        <v>43090.240000000005</v>
      </c>
      <c r="L81" s="70">
        <f>4001.99*2.3654</f>
        <v>9466.307146000001</v>
      </c>
      <c r="M81" s="70">
        <v>8021.06</v>
      </c>
      <c r="N81" s="73">
        <f>SUM(O81:R81)</f>
        <v>4119276.9969280004</v>
      </c>
      <c r="O81" s="73">
        <f>G81*K81</f>
        <v>2930136.3200000003</v>
      </c>
      <c r="P81" s="73">
        <f>G81*L81-0.289</f>
        <v>643708.5969280001</v>
      </c>
      <c r="Q81" s="73"/>
      <c r="R81" s="75">
        <f>G81*M81</f>
        <v>545432.08000000007</v>
      </c>
      <c r="S81" s="75"/>
      <c r="T81" s="75">
        <f>N81</f>
        <v>4119276.9969280004</v>
      </c>
      <c r="U81" s="75">
        <f>T81</f>
        <v>4119276.9969280004</v>
      </c>
    </row>
    <row r="82" spans="1:21" ht="90" x14ac:dyDescent="0.25">
      <c r="A82" s="230"/>
      <c r="B82" s="231"/>
      <c r="C82" s="63" t="s">
        <v>163</v>
      </c>
      <c r="D82" s="64" t="s">
        <v>101</v>
      </c>
      <c r="E82" s="59" t="s">
        <v>104</v>
      </c>
      <c r="F82" s="59" t="s">
        <v>104</v>
      </c>
      <c r="G82" s="59" t="s">
        <v>104</v>
      </c>
      <c r="H82" s="59" t="s">
        <v>104</v>
      </c>
      <c r="I82" s="59" t="s">
        <v>104</v>
      </c>
      <c r="J82" s="59" t="s">
        <v>104</v>
      </c>
      <c r="K82" s="59" t="s">
        <v>104</v>
      </c>
      <c r="L82" s="59" t="s">
        <v>104</v>
      </c>
      <c r="M82" s="59" t="s">
        <v>104</v>
      </c>
      <c r="N82" s="71"/>
      <c r="O82" s="71"/>
      <c r="P82" s="59" t="s">
        <v>104</v>
      </c>
      <c r="Q82" s="59"/>
      <c r="R82" s="59" t="s">
        <v>104</v>
      </c>
      <c r="S82" s="59"/>
      <c r="T82" s="75"/>
      <c r="U82" s="75"/>
    </row>
    <row r="83" spans="1:21" x14ac:dyDescent="0.25">
      <c r="A83" s="230"/>
      <c r="B83" s="231"/>
      <c r="C83" s="63" t="s">
        <v>165</v>
      </c>
      <c r="D83" s="64" t="s">
        <v>101</v>
      </c>
      <c r="E83" s="60"/>
      <c r="F83" s="60"/>
      <c r="G83" s="59">
        <f t="shared" si="43"/>
        <v>0</v>
      </c>
      <c r="H83" s="60"/>
      <c r="I83" s="60"/>
      <c r="J83" s="75">
        <f>K83</f>
        <v>92468.25</v>
      </c>
      <c r="K83" s="75">
        <v>92468.25</v>
      </c>
      <c r="L83" s="59" t="s">
        <v>104</v>
      </c>
      <c r="M83" s="59" t="s">
        <v>104</v>
      </c>
      <c r="N83" s="71">
        <f>O83</f>
        <v>0</v>
      </c>
      <c r="O83" s="71">
        <f>G83*K83</f>
        <v>0</v>
      </c>
      <c r="P83" s="59" t="s">
        <v>104</v>
      </c>
      <c r="Q83" s="59"/>
      <c r="R83" s="59" t="s">
        <v>104</v>
      </c>
      <c r="S83" s="59"/>
      <c r="T83" s="75">
        <f>H83*K83</f>
        <v>0</v>
      </c>
      <c r="U83" s="75">
        <f>I83*K83</f>
        <v>0</v>
      </c>
    </row>
    <row r="84" spans="1:21" x14ac:dyDescent="0.25">
      <c r="A84" s="230"/>
      <c r="B84" s="231"/>
      <c r="C84" s="63" t="s">
        <v>168</v>
      </c>
      <c r="D84" s="64" t="s">
        <v>101</v>
      </c>
      <c r="E84" s="60"/>
      <c r="F84" s="60"/>
      <c r="G84" s="59">
        <f t="shared" si="43"/>
        <v>0</v>
      </c>
      <c r="H84" s="60"/>
      <c r="I84" s="60"/>
      <c r="J84" s="75">
        <f>K84</f>
        <v>23553.439999999999</v>
      </c>
      <c r="K84" s="75">
        <v>23553.439999999999</v>
      </c>
      <c r="L84" s="59" t="s">
        <v>104</v>
      </c>
      <c r="M84" s="59" t="s">
        <v>104</v>
      </c>
      <c r="N84" s="71">
        <f>O84</f>
        <v>0</v>
      </c>
      <c r="O84" s="71">
        <f>G84*K84</f>
        <v>0</v>
      </c>
      <c r="P84" s="59" t="s">
        <v>104</v>
      </c>
      <c r="Q84" s="59"/>
      <c r="R84" s="59" t="s">
        <v>104</v>
      </c>
      <c r="S84" s="59"/>
      <c r="T84" s="75">
        <f>H84*K84</f>
        <v>0</v>
      </c>
      <c r="U84" s="75">
        <f>I84*K84</f>
        <v>0</v>
      </c>
    </row>
    <row r="85" spans="1:21" ht="120" x14ac:dyDescent="0.25">
      <c r="A85" s="230"/>
      <c r="B85" s="231"/>
      <c r="C85" s="61" t="s">
        <v>105</v>
      </c>
      <c r="D85" s="64" t="s">
        <v>101</v>
      </c>
      <c r="E85" s="60"/>
      <c r="F85" s="60"/>
      <c r="G85" s="59">
        <f t="shared" si="43"/>
        <v>0</v>
      </c>
      <c r="H85" s="60"/>
      <c r="I85" s="60"/>
      <c r="J85" s="75">
        <f>SUM(K85:M85)</f>
        <v>200874.83714600001</v>
      </c>
      <c r="K85" s="75">
        <f>181402.35+1985.12</f>
        <v>183387.47</v>
      </c>
      <c r="L85" s="72">
        <f>4001.99*2.3654</f>
        <v>9466.307146000001</v>
      </c>
      <c r="M85" s="70">
        <v>8021.06</v>
      </c>
      <c r="N85" s="73"/>
      <c r="O85" s="71">
        <f>G85*K85</f>
        <v>0</v>
      </c>
      <c r="P85" s="73"/>
      <c r="Q85" s="73"/>
      <c r="R85" s="73"/>
      <c r="S85" s="73"/>
      <c r="T85" s="75">
        <f t="shared" si="9"/>
        <v>0</v>
      </c>
      <c r="U85" s="75">
        <f t="shared" si="6"/>
        <v>0</v>
      </c>
    </row>
    <row r="86" spans="1:21" x14ac:dyDescent="0.25">
      <c r="A86" s="230"/>
      <c r="B86" s="201"/>
      <c r="C86" s="66" t="s">
        <v>106</v>
      </c>
      <c r="D86" s="64"/>
      <c r="E86" s="60">
        <f>E81+E85</f>
        <v>68</v>
      </c>
      <c r="F86" s="60">
        <f t="shared" ref="F86:I86" si="58">F81+F85</f>
        <v>68</v>
      </c>
      <c r="G86" s="60">
        <f t="shared" si="58"/>
        <v>68</v>
      </c>
      <c r="H86" s="60">
        <f t="shared" si="58"/>
        <v>68</v>
      </c>
      <c r="I86" s="60">
        <f t="shared" si="58"/>
        <v>68</v>
      </c>
      <c r="J86" s="73" t="s">
        <v>104</v>
      </c>
      <c r="K86" s="73" t="s">
        <v>104</v>
      </c>
      <c r="L86" s="74" t="s">
        <v>104</v>
      </c>
      <c r="M86" s="74" t="s">
        <v>104</v>
      </c>
      <c r="N86" s="74">
        <f t="shared" ref="N86:U86" si="59">SUM(N81:N85)</f>
        <v>4119276.9969280004</v>
      </c>
      <c r="O86" s="74">
        <f t="shared" si="59"/>
        <v>2930136.3200000003</v>
      </c>
      <c r="P86" s="74">
        <f t="shared" si="59"/>
        <v>643708.5969280001</v>
      </c>
      <c r="Q86" s="74"/>
      <c r="R86" s="74">
        <f t="shared" si="59"/>
        <v>545432.08000000007</v>
      </c>
      <c r="S86" s="74"/>
      <c r="T86" s="74">
        <f t="shared" si="59"/>
        <v>4119276.9969280004</v>
      </c>
      <c r="U86" s="74">
        <f t="shared" si="59"/>
        <v>4119276.9969280004</v>
      </c>
    </row>
    <row r="87" spans="1:21" ht="100.15" customHeight="1" x14ac:dyDescent="0.25">
      <c r="A87" s="230"/>
      <c r="B87" s="137" t="s">
        <v>252</v>
      </c>
      <c r="C87" s="61" t="s">
        <v>187</v>
      </c>
      <c r="D87" s="64" t="s">
        <v>101</v>
      </c>
      <c r="E87" s="60">
        <v>426</v>
      </c>
      <c r="F87" s="60">
        <v>426</v>
      </c>
      <c r="G87" s="59">
        <f t="shared" si="43"/>
        <v>426</v>
      </c>
      <c r="H87" s="60">
        <v>426</v>
      </c>
      <c r="I87" s="60">
        <v>426</v>
      </c>
      <c r="J87" s="75">
        <f>K87</f>
        <v>2807.3</v>
      </c>
      <c r="K87" s="75">
        <v>2807.3</v>
      </c>
      <c r="L87" s="72" t="s">
        <v>104</v>
      </c>
      <c r="M87" s="72" t="s">
        <v>104</v>
      </c>
      <c r="N87" s="73">
        <f>SUM(O87:R87)</f>
        <v>1195910</v>
      </c>
      <c r="O87" s="73">
        <f>K87*G87+0.2</f>
        <v>1195910</v>
      </c>
      <c r="P87" s="73" t="s">
        <v>104</v>
      </c>
      <c r="Q87" s="73"/>
      <c r="R87" s="73" t="s">
        <v>104</v>
      </c>
      <c r="S87" s="73"/>
      <c r="T87" s="75">
        <f>N87</f>
        <v>1195910</v>
      </c>
      <c r="U87" s="75">
        <f>T87</f>
        <v>1195910</v>
      </c>
    </row>
    <row r="88" spans="1:21" x14ac:dyDescent="0.25">
      <c r="A88" s="230"/>
      <c r="B88" s="69"/>
      <c r="C88" s="66" t="s">
        <v>106</v>
      </c>
      <c r="D88" s="69"/>
      <c r="E88" s="60">
        <f>SUM(E87:E87)</f>
        <v>426</v>
      </c>
      <c r="F88" s="60">
        <f>SUM(F87:F87)</f>
        <v>426</v>
      </c>
      <c r="G88" s="60">
        <f>SUM(G87:G87)</f>
        <v>426</v>
      </c>
      <c r="H88" s="60">
        <f>SUM(H87:H87)</f>
        <v>426</v>
      </c>
      <c r="I88" s="60">
        <f>SUM(I87:I87)</f>
        <v>426</v>
      </c>
      <c r="J88" s="73" t="s">
        <v>104</v>
      </c>
      <c r="K88" s="73" t="s">
        <v>104</v>
      </c>
      <c r="L88" s="74" t="s">
        <v>104</v>
      </c>
      <c r="M88" s="74">
        <f t="shared" ref="M88:U88" si="60">SUM(M87:M87)</f>
        <v>0</v>
      </c>
      <c r="N88" s="74">
        <f t="shared" si="60"/>
        <v>1195910</v>
      </c>
      <c r="O88" s="74">
        <f t="shared" si="60"/>
        <v>1195910</v>
      </c>
      <c r="P88" s="74">
        <f t="shared" si="60"/>
        <v>0</v>
      </c>
      <c r="Q88" s="74"/>
      <c r="R88" s="74">
        <f t="shared" si="60"/>
        <v>0</v>
      </c>
      <c r="S88" s="74"/>
      <c r="T88" s="75">
        <f>N88</f>
        <v>1195910</v>
      </c>
      <c r="U88" s="75">
        <f t="shared" si="60"/>
        <v>1195910</v>
      </c>
    </row>
    <row r="89" spans="1:21" x14ac:dyDescent="0.25">
      <c r="A89" s="230"/>
      <c r="B89" s="89" t="s">
        <v>225</v>
      </c>
      <c r="C89" s="189" t="s">
        <v>219</v>
      </c>
      <c r="D89" s="64" t="s">
        <v>101</v>
      </c>
      <c r="E89" s="60"/>
      <c r="F89" s="60"/>
      <c r="G89" s="60">
        <v>12</v>
      </c>
      <c r="H89" s="60">
        <v>12</v>
      </c>
      <c r="I89" s="60">
        <v>12</v>
      </c>
      <c r="J89" s="73"/>
      <c r="K89" s="73"/>
      <c r="L89" s="74"/>
      <c r="M89" s="74"/>
      <c r="N89" s="74">
        <f>O89+P89+Q89+R89+S89</f>
        <v>642560</v>
      </c>
      <c r="O89" s="74"/>
      <c r="P89" s="74"/>
      <c r="Q89" s="74"/>
      <c r="R89" s="74"/>
      <c r="S89" s="74">
        <v>642560</v>
      </c>
      <c r="T89" s="75">
        <f>S89</f>
        <v>642560</v>
      </c>
      <c r="U89" s="75">
        <f>T89</f>
        <v>642560</v>
      </c>
    </row>
    <row r="90" spans="1:21" x14ac:dyDescent="0.25">
      <c r="A90" s="230"/>
      <c r="B90" s="89" t="s">
        <v>225</v>
      </c>
      <c r="C90" s="189" t="s">
        <v>226</v>
      </c>
      <c r="D90" s="64" t="s">
        <v>101</v>
      </c>
      <c r="E90" s="60"/>
      <c r="F90" s="60"/>
      <c r="G90" s="60">
        <v>1</v>
      </c>
      <c r="H90" s="60">
        <v>1</v>
      </c>
      <c r="I90" s="60">
        <v>1</v>
      </c>
      <c r="J90" s="73"/>
      <c r="K90" s="73"/>
      <c r="L90" s="74"/>
      <c r="M90" s="74"/>
      <c r="N90" s="74">
        <f>O90+P90+Q90+R90+S90</f>
        <v>160666.67000000001</v>
      </c>
      <c r="O90" s="74"/>
      <c r="P90" s="74"/>
      <c r="Q90" s="74">
        <f>160666.67</f>
        <v>160666.67000000001</v>
      </c>
      <c r="R90" s="74"/>
      <c r="S90" s="74"/>
      <c r="T90" s="75">
        <f>Q90</f>
        <v>160666.67000000001</v>
      </c>
      <c r="U90" s="75">
        <f>T90</f>
        <v>160666.67000000001</v>
      </c>
    </row>
    <row r="91" spans="1:21" x14ac:dyDescent="0.25">
      <c r="A91" s="230"/>
      <c r="B91" s="101" t="s">
        <v>112</v>
      </c>
      <c r="C91" s="101"/>
      <c r="D91" s="69"/>
      <c r="E91" s="102"/>
      <c r="F91" s="102"/>
      <c r="G91" s="102"/>
      <c r="H91" s="102"/>
      <c r="I91" s="102"/>
      <c r="J91" s="104"/>
      <c r="K91" s="104"/>
      <c r="L91" s="103"/>
      <c r="M91" s="103"/>
      <c r="N91" s="103">
        <f>SUM(O91:S91)</f>
        <v>28704019.156876002</v>
      </c>
      <c r="O91" s="103">
        <f>O73+O80+O86+O88</f>
        <v>19052185</v>
      </c>
      <c r="P91" s="103">
        <f>P73+P80+P86+P88</f>
        <v>4789951.1268760012</v>
      </c>
      <c r="Q91" s="103">
        <f>Q90</f>
        <v>160666.67000000001</v>
      </c>
      <c r="R91" s="103">
        <f>R73+R80+R86+R88</f>
        <v>4058656.3600000003</v>
      </c>
      <c r="S91" s="103">
        <f>S89</f>
        <v>642560</v>
      </c>
      <c r="T91" s="103">
        <f>T73+T80+T86+T88+T89+T90</f>
        <v>28704019.156875998</v>
      </c>
      <c r="U91" s="103">
        <f>U73+U80+U86+U88+U89+U90</f>
        <v>28704019.156875998</v>
      </c>
    </row>
    <row r="92" spans="1:21" ht="90" x14ac:dyDescent="0.25">
      <c r="A92" s="230" t="s">
        <v>115</v>
      </c>
      <c r="B92" s="231" t="s">
        <v>249</v>
      </c>
      <c r="C92" s="61" t="s">
        <v>100</v>
      </c>
      <c r="D92" s="62" t="s">
        <v>101</v>
      </c>
      <c r="E92" s="59">
        <v>207</v>
      </c>
      <c r="F92" s="59">
        <v>207</v>
      </c>
      <c r="G92" s="59">
        <f t="shared" ref="G92:G117" si="61">((E92*8)+(F92*4))/12</f>
        <v>207</v>
      </c>
      <c r="H92" s="59">
        <v>207</v>
      </c>
      <c r="I92" s="59">
        <v>207</v>
      </c>
      <c r="J92" s="107">
        <f>SUM(K92:M92)</f>
        <v>41517.257145999996</v>
      </c>
      <c r="K92" s="107">
        <f>22687.5+1342.39</f>
        <v>24029.89</v>
      </c>
      <c r="L92" s="70">
        <f>4001.99*2.3654</f>
        <v>9466.307146000001</v>
      </c>
      <c r="M92" s="70">
        <v>8021.06</v>
      </c>
      <c r="N92" s="71">
        <f>SUM(O92:R92)</f>
        <v>8594072.3692220002</v>
      </c>
      <c r="O92" s="71">
        <f>G92*K92+0.14</f>
        <v>4974187.3699999992</v>
      </c>
      <c r="P92" s="71">
        <f>G92*L92</f>
        <v>1959525.5792220002</v>
      </c>
      <c r="Q92" s="71"/>
      <c r="R92" s="75">
        <f>G92*M92</f>
        <v>1660359.4200000002</v>
      </c>
      <c r="S92" s="75"/>
      <c r="T92" s="75">
        <f t="shared" si="9"/>
        <v>8594072.2292219996</v>
      </c>
      <c r="U92" s="75">
        <f t="shared" si="6"/>
        <v>8594072.2292219996</v>
      </c>
    </row>
    <row r="93" spans="1:21" ht="90" x14ac:dyDescent="0.25">
      <c r="A93" s="230"/>
      <c r="B93" s="231"/>
      <c r="C93" s="63" t="s">
        <v>163</v>
      </c>
      <c r="D93" s="64" t="s">
        <v>101</v>
      </c>
      <c r="E93" s="59" t="s">
        <v>104</v>
      </c>
      <c r="F93" s="59" t="s">
        <v>104</v>
      </c>
      <c r="G93" s="59" t="s">
        <v>104</v>
      </c>
      <c r="H93" s="59" t="s">
        <v>104</v>
      </c>
      <c r="I93" s="59" t="s">
        <v>104</v>
      </c>
      <c r="J93" s="59" t="s">
        <v>104</v>
      </c>
      <c r="K93" s="59" t="s">
        <v>104</v>
      </c>
      <c r="L93" s="59" t="s">
        <v>104</v>
      </c>
      <c r="M93" s="59" t="s">
        <v>104</v>
      </c>
      <c r="N93" s="71"/>
      <c r="O93" s="71"/>
      <c r="P93" s="59" t="s">
        <v>104</v>
      </c>
      <c r="Q93" s="59"/>
      <c r="R93" s="59" t="s">
        <v>104</v>
      </c>
      <c r="S93" s="59"/>
      <c r="T93" s="75"/>
      <c r="U93" s="75"/>
    </row>
    <row r="94" spans="1:21" x14ac:dyDescent="0.25">
      <c r="A94" s="230"/>
      <c r="B94" s="231"/>
      <c r="C94" s="63" t="s">
        <v>164</v>
      </c>
      <c r="D94" s="64" t="s">
        <v>101</v>
      </c>
      <c r="E94" s="59">
        <v>1</v>
      </c>
      <c r="F94" s="59">
        <v>1</v>
      </c>
      <c r="G94" s="59">
        <f t="shared" si="61"/>
        <v>1</v>
      </c>
      <c r="H94" s="59">
        <v>1</v>
      </c>
      <c r="I94" s="59">
        <v>1</v>
      </c>
      <c r="J94" s="75">
        <f>K94</f>
        <v>25589.72</v>
      </c>
      <c r="K94" s="71">
        <v>25589.72</v>
      </c>
      <c r="L94" s="59" t="s">
        <v>104</v>
      </c>
      <c r="M94" s="59" t="s">
        <v>104</v>
      </c>
      <c r="N94" s="71">
        <f t="shared" ref="N94:N96" si="62">O94</f>
        <v>25589.72</v>
      </c>
      <c r="O94" s="71">
        <f>G94*K94</f>
        <v>25589.72</v>
      </c>
      <c r="P94" s="59" t="s">
        <v>104</v>
      </c>
      <c r="Q94" s="59"/>
      <c r="R94" s="59" t="s">
        <v>104</v>
      </c>
      <c r="S94" s="59"/>
      <c r="T94" s="75">
        <f t="shared" ref="T94:T96" si="63">H94*K94</f>
        <v>25589.72</v>
      </c>
      <c r="U94" s="75">
        <f t="shared" ref="U94:U96" si="64">I94*K94</f>
        <v>25589.72</v>
      </c>
    </row>
    <row r="95" spans="1:21" x14ac:dyDescent="0.25">
      <c r="A95" s="230"/>
      <c r="B95" s="231"/>
      <c r="C95" s="63" t="s">
        <v>169</v>
      </c>
      <c r="D95" s="64" t="s">
        <v>101</v>
      </c>
      <c r="E95" s="59">
        <v>10</v>
      </c>
      <c r="F95" s="59">
        <v>10</v>
      </c>
      <c r="G95" s="59">
        <f t="shared" si="61"/>
        <v>10</v>
      </c>
      <c r="H95" s="59">
        <v>10</v>
      </c>
      <c r="I95" s="59">
        <v>10</v>
      </c>
      <c r="J95" s="75">
        <f>K95</f>
        <v>69362.66</v>
      </c>
      <c r="K95" s="71">
        <v>69362.66</v>
      </c>
      <c r="L95" s="59" t="s">
        <v>104</v>
      </c>
      <c r="M95" s="59" t="s">
        <v>104</v>
      </c>
      <c r="N95" s="71">
        <f t="shared" si="62"/>
        <v>693626.60000000009</v>
      </c>
      <c r="O95" s="71">
        <f t="shared" ref="O95:O100" si="65">G95*K95</f>
        <v>693626.60000000009</v>
      </c>
      <c r="P95" s="59" t="s">
        <v>104</v>
      </c>
      <c r="Q95" s="59"/>
      <c r="R95" s="59" t="s">
        <v>104</v>
      </c>
      <c r="S95" s="59"/>
      <c r="T95" s="75">
        <f t="shared" si="63"/>
        <v>693626.60000000009</v>
      </c>
      <c r="U95" s="75">
        <f t="shared" si="64"/>
        <v>693626.60000000009</v>
      </c>
    </row>
    <row r="96" spans="1:21" x14ac:dyDescent="0.25">
      <c r="A96" s="230"/>
      <c r="B96" s="231"/>
      <c r="C96" s="63" t="s">
        <v>165</v>
      </c>
      <c r="D96" s="64" t="s">
        <v>101</v>
      </c>
      <c r="E96" s="59">
        <v>1</v>
      </c>
      <c r="F96" s="59">
        <v>1</v>
      </c>
      <c r="G96" s="59">
        <f t="shared" si="61"/>
        <v>1</v>
      </c>
      <c r="H96" s="59">
        <v>1</v>
      </c>
      <c r="I96" s="59">
        <v>1</v>
      </c>
      <c r="J96" s="75">
        <f>K96</f>
        <v>92468.25</v>
      </c>
      <c r="K96" s="71">
        <v>92468.25</v>
      </c>
      <c r="L96" s="59" t="s">
        <v>104</v>
      </c>
      <c r="M96" s="59" t="s">
        <v>104</v>
      </c>
      <c r="N96" s="71">
        <f t="shared" si="62"/>
        <v>92468.25</v>
      </c>
      <c r="O96" s="71">
        <f t="shared" si="65"/>
        <v>92468.25</v>
      </c>
      <c r="P96" s="59" t="s">
        <v>104</v>
      </c>
      <c r="Q96" s="59"/>
      <c r="R96" s="59" t="s">
        <v>104</v>
      </c>
      <c r="S96" s="59"/>
      <c r="T96" s="75">
        <f t="shared" si="63"/>
        <v>92468.25</v>
      </c>
      <c r="U96" s="75">
        <f t="shared" si="64"/>
        <v>92468.25</v>
      </c>
    </row>
    <row r="97" spans="1:21" x14ac:dyDescent="0.25">
      <c r="A97" s="230"/>
      <c r="B97" s="231"/>
      <c r="C97" s="63" t="s">
        <v>166</v>
      </c>
      <c r="D97" s="64" t="s">
        <v>101</v>
      </c>
      <c r="E97" s="59">
        <v>14</v>
      </c>
      <c r="F97" s="59">
        <v>14</v>
      </c>
      <c r="G97" s="59">
        <f t="shared" si="61"/>
        <v>14</v>
      </c>
      <c r="H97" s="59">
        <v>14</v>
      </c>
      <c r="I97" s="59">
        <v>14</v>
      </c>
      <c r="J97" s="75">
        <f>K97</f>
        <v>66361.320000000007</v>
      </c>
      <c r="K97" s="75">
        <v>66361.320000000007</v>
      </c>
      <c r="L97" s="59" t="s">
        <v>104</v>
      </c>
      <c r="M97" s="59" t="s">
        <v>104</v>
      </c>
      <c r="N97" s="71">
        <f>O97</f>
        <v>929058.4800000001</v>
      </c>
      <c r="O97" s="71">
        <f t="shared" si="65"/>
        <v>929058.4800000001</v>
      </c>
      <c r="P97" s="59" t="s">
        <v>104</v>
      </c>
      <c r="Q97" s="59"/>
      <c r="R97" s="59" t="s">
        <v>104</v>
      </c>
      <c r="S97" s="59"/>
      <c r="T97" s="75">
        <f>H97*K97</f>
        <v>929058.4800000001</v>
      </c>
      <c r="U97" s="75">
        <f>I97*K97</f>
        <v>929058.4800000001</v>
      </c>
    </row>
    <row r="98" spans="1:21" x14ac:dyDescent="0.25">
      <c r="A98" s="230"/>
      <c r="B98" s="231"/>
      <c r="C98" s="63" t="s">
        <v>167</v>
      </c>
      <c r="D98" s="64" t="s">
        <v>101</v>
      </c>
      <c r="E98" s="59">
        <v>3</v>
      </c>
      <c r="F98" s="59">
        <v>3</v>
      </c>
      <c r="G98" s="59">
        <f t="shared" si="61"/>
        <v>3</v>
      </c>
      <c r="H98" s="59">
        <v>3</v>
      </c>
      <c r="I98" s="59">
        <v>3</v>
      </c>
      <c r="J98" s="75">
        <f>K98</f>
        <v>174890.83</v>
      </c>
      <c r="K98" s="75">
        <v>174890.83</v>
      </c>
      <c r="L98" s="59" t="s">
        <v>104</v>
      </c>
      <c r="M98" s="59" t="s">
        <v>104</v>
      </c>
      <c r="N98" s="71">
        <f>O98</f>
        <v>524672.49</v>
      </c>
      <c r="O98" s="71">
        <f t="shared" si="65"/>
        <v>524672.49</v>
      </c>
      <c r="P98" s="59" t="s">
        <v>104</v>
      </c>
      <c r="Q98" s="59"/>
      <c r="R98" s="59" t="s">
        <v>104</v>
      </c>
      <c r="S98" s="59"/>
      <c r="T98" s="75">
        <f>H98*K98</f>
        <v>524672.49</v>
      </c>
      <c r="U98" s="75">
        <f>I98*K98</f>
        <v>524672.49</v>
      </c>
    </row>
    <row r="99" spans="1:21" x14ac:dyDescent="0.25">
      <c r="A99" s="230"/>
      <c r="B99" s="231"/>
      <c r="C99" s="63" t="s">
        <v>170</v>
      </c>
      <c r="D99" s="64" t="s">
        <v>101</v>
      </c>
      <c r="E99" s="59">
        <v>1</v>
      </c>
      <c r="F99" s="59">
        <v>1</v>
      </c>
      <c r="G99" s="59">
        <f t="shared" si="61"/>
        <v>1</v>
      </c>
      <c r="H99" s="59">
        <v>1</v>
      </c>
      <c r="I99" s="59">
        <v>1</v>
      </c>
      <c r="J99" s="75">
        <f t="shared" ref="J99:J100" si="66">K99</f>
        <v>99648.29</v>
      </c>
      <c r="K99" s="75">
        <v>99648.29</v>
      </c>
      <c r="L99" s="59" t="s">
        <v>104</v>
      </c>
      <c r="M99" s="59" t="s">
        <v>104</v>
      </c>
      <c r="N99" s="71">
        <f t="shared" ref="N99:N100" si="67">O99</f>
        <v>99648.29</v>
      </c>
      <c r="O99" s="71">
        <f t="shared" si="65"/>
        <v>99648.29</v>
      </c>
      <c r="P99" s="59" t="s">
        <v>104</v>
      </c>
      <c r="Q99" s="59"/>
      <c r="R99" s="59" t="s">
        <v>104</v>
      </c>
      <c r="S99" s="59"/>
      <c r="T99" s="75">
        <f t="shared" ref="T99:T100" si="68">H99*K99</f>
        <v>99648.29</v>
      </c>
      <c r="U99" s="75">
        <f t="shared" ref="U99:U100" si="69">I99*K99</f>
        <v>99648.29</v>
      </c>
    </row>
    <row r="100" spans="1:21" x14ac:dyDescent="0.25">
      <c r="A100" s="230"/>
      <c r="B100" s="231"/>
      <c r="C100" s="63" t="s">
        <v>168</v>
      </c>
      <c r="D100" s="64" t="s">
        <v>101</v>
      </c>
      <c r="E100" s="59">
        <v>2</v>
      </c>
      <c r="F100" s="59">
        <v>2</v>
      </c>
      <c r="G100" s="59">
        <f t="shared" si="61"/>
        <v>2</v>
      </c>
      <c r="H100" s="59">
        <v>2</v>
      </c>
      <c r="I100" s="59">
        <v>2</v>
      </c>
      <c r="J100" s="75">
        <f t="shared" si="66"/>
        <v>23553.439999999999</v>
      </c>
      <c r="K100" s="75">
        <v>23553.439999999999</v>
      </c>
      <c r="L100" s="59" t="s">
        <v>104</v>
      </c>
      <c r="M100" s="59" t="s">
        <v>104</v>
      </c>
      <c r="N100" s="71">
        <f t="shared" si="67"/>
        <v>47106.879999999997</v>
      </c>
      <c r="O100" s="71">
        <f t="shared" si="65"/>
        <v>47106.879999999997</v>
      </c>
      <c r="P100" s="59" t="s">
        <v>104</v>
      </c>
      <c r="Q100" s="59"/>
      <c r="R100" s="59" t="s">
        <v>104</v>
      </c>
      <c r="S100" s="59"/>
      <c r="T100" s="75">
        <f t="shared" si="68"/>
        <v>47106.879999999997</v>
      </c>
      <c r="U100" s="75">
        <f t="shared" si="69"/>
        <v>47106.879999999997</v>
      </c>
    </row>
    <row r="101" spans="1:21" ht="120" x14ac:dyDescent="0.25">
      <c r="A101" s="230"/>
      <c r="B101" s="231"/>
      <c r="C101" s="61" t="s">
        <v>105</v>
      </c>
      <c r="D101" s="64" t="s">
        <v>101</v>
      </c>
      <c r="E101" s="59">
        <v>2</v>
      </c>
      <c r="F101" s="59">
        <v>2</v>
      </c>
      <c r="G101" s="59">
        <f t="shared" si="61"/>
        <v>2</v>
      </c>
      <c r="H101" s="59">
        <v>2</v>
      </c>
      <c r="I101" s="59">
        <v>2</v>
      </c>
      <c r="J101" s="75">
        <f>SUM(K101:M101)</f>
        <v>140242.677146</v>
      </c>
      <c r="K101" s="75">
        <f>121412.92+1342.39</f>
        <v>122755.31</v>
      </c>
      <c r="L101" s="72">
        <f>4001.99*2.3654</f>
        <v>9466.307146000001</v>
      </c>
      <c r="M101" s="70">
        <v>8021.06</v>
      </c>
      <c r="N101" s="71">
        <f>SUM(O101:R101)</f>
        <v>280485.354292</v>
      </c>
      <c r="O101" s="71">
        <f>G101*K101</f>
        <v>245510.62</v>
      </c>
      <c r="P101" s="71">
        <f>G101*L101</f>
        <v>18932.614292000002</v>
      </c>
      <c r="Q101" s="71"/>
      <c r="R101" s="75">
        <f>G101*M101</f>
        <v>16042.12</v>
      </c>
      <c r="S101" s="75"/>
      <c r="T101" s="75">
        <f t="shared" si="9"/>
        <v>280485.354292</v>
      </c>
      <c r="U101" s="75">
        <f t="shared" si="6"/>
        <v>280485.354292</v>
      </c>
    </row>
    <row r="102" spans="1:21" x14ac:dyDescent="0.25">
      <c r="A102" s="230"/>
      <c r="B102" s="231"/>
      <c r="C102" s="66" t="s">
        <v>106</v>
      </c>
      <c r="D102" s="67"/>
      <c r="E102" s="59">
        <f>E92+E101</f>
        <v>209</v>
      </c>
      <c r="F102" s="59">
        <f t="shared" ref="F102:I102" si="70">F92+F101</f>
        <v>209</v>
      </c>
      <c r="G102" s="59">
        <f t="shared" si="70"/>
        <v>209</v>
      </c>
      <c r="H102" s="59">
        <f t="shared" si="70"/>
        <v>209</v>
      </c>
      <c r="I102" s="59">
        <f t="shared" si="70"/>
        <v>209</v>
      </c>
      <c r="J102" s="71" t="s">
        <v>104</v>
      </c>
      <c r="K102" s="71" t="s">
        <v>104</v>
      </c>
      <c r="L102" s="71" t="s">
        <v>104</v>
      </c>
      <c r="M102" s="71" t="s">
        <v>104</v>
      </c>
      <c r="N102" s="71">
        <f>SUM(N92:N101)</f>
        <v>11286728.433514001</v>
      </c>
      <c r="O102" s="71">
        <f>SUM(O92:O101)</f>
        <v>7631868.7000000002</v>
      </c>
      <c r="P102" s="71">
        <f>SUM(P92:P101)</f>
        <v>1978458.1935140002</v>
      </c>
      <c r="Q102" s="71"/>
      <c r="R102" s="71">
        <f t="shared" ref="R102" si="71">SUM(R92:R101)</f>
        <v>1676401.5400000003</v>
      </c>
      <c r="S102" s="71"/>
      <c r="T102" s="71">
        <f>N102</f>
        <v>11286728.433514001</v>
      </c>
      <c r="U102" s="71">
        <f>T102</f>
        <v>11286728.433514001</v>
      </c>
    </row>
    <row r="103" spans="1:21" ht="90" x14ac:dyDescent="0.25">
      <c r="A103" s="230"/>
      <c r="B103" s="231" t="s">
        <v>250</v>
      </c>
      <c r="C103" s="61" t="s">
        <v>100</v>
      </c>
      <c r="D103" s="62" t="s">
        <v>101</v>
      </c>
      <c r="E103" s="59">
        <v>229</v>
      </c>
      <c r="F103" s="59">
        <v>229</v>
      </c>
      <c r="G103" s="59">
        <f t="shared" si="61"/>
        <v>229</v>
      </c>
      <c r="H103" s="59">
        <v>229</v>
      </c>
      <c r="I103" s="59">
        <v>229</v>
      </c>
      <c r="J103" s="107">
        <f>SUM(K103:M103)</f>
        <v>53471.797145999997</v>
      </c>
      <c r="K103" s="107">
        <f>34346.05+1638.38</f>
        <v>35984.43</v>
      </c>
      <c r="L103" s="70">
        <f>4001.99*2.3654</f>
        <v>9466.307146000001</v>
      </c>
      <c r="M103" s="70">
        <v>8021.06</v>
      </c>
      <c r="N103" s="71">
        <f>SUM(O103:R103)</f>
        <v>12245041.546434</v>
      </c>
      <c r="O103" s="71">
        <f>G103*K103</f>
        <v>8240434.4699999997</v>
      </c>
      <c r="P103" s="71">
        <f>G103*L103</f>
        <v>2167784.3364340002</v>
      </c>
      <c r="Q103" s="71"/>
      <c r="R103" s="75">
        <f>G103*M103</f>
        <v>1836822.74</v>
      </c>
      <c r="S103" s="75"/>
      <c r="T103" s="75">
        <f t="shared" si="9"/>
        <v>12245041.546434</v>
      </c>
      <c r="U103" s="75">
        <f t="shared" si="6"/>
        <v>12245041.546434</v>
      </c>
    </row>
    <row r="104" spans="1:21" ht="90" x14ac:dyDescent="0.25">
      <c r="A104" s="230"/>
      <c r="B104" s="231"/>
      <c r="C104" s="63" t="s">
        <v>163</v>
      </c>
      <c r="D104" s="64" t="s">
        <v>101</v>
      </c>
      <c r="E104" s="59" t="s">
        <v>104</v>
      </c>
      <c r="F104" s="59" t="s">
        <v>104</v>
      </c>
      <c r="G104" s="59" t="s">
        <v>104</v>
      </c>
      <c r="H104" s="59" t="s">
        <v>104</v>
      </c>
      <c r="I104" s="59" t="s">
        <v>104</v>
      </c>
      <c r="J104" s="59" t="s">
        <v>104</v>
      </c>
      <c r="K104" s="59" t="s">
        <v>104</v>
      </c>
      <c r="L104" s="59" t="s">
        <v>104</v>
      </c>
      <c r="M104" s="59" t="s">
        <v>104</v>
      </c>
      <c r="N104" s="71"/>
      <c r="O104" s="71"/>
      <c r="P104" s="59" t="s">
        <v>104</v>
      </c>
      <c r="Q104" s="59"/>
      <c r="R104" s="59" t="s">
        <v>104</v>
      </c>
      <c r="S104" s="59"/>
      <c r="T104" s="75"/>
      <c r="U104" s="75"/>
    </row>
    <row r="105" spans="1:21" x14ac:dyDescent="0.25">
      <c r="A105" s="230"/>
      <c r="B105" s="231"/>
      <c r="C105" s="63" t="s">
        <v>164</v>
      </c>
      <c r="D105" s="64" t="s">
        <v>101</v>
      </c>
      <c r="E105" s="60">
        <v>2</v>
      </c>
      <c r="F105" s="60">
        <v>2</v>
      </c>
      <c r="G105" s="59">
        <f t="shared" si="61"/>
        <v>2</v>
      </c>
      <c r="H105" s="60">
        <v>2</v>
      </c>
      <c r="I105" s="60">
        <v>2</v>
      </c>
      <c r="J105" s="75">
        <f>K105</f>
        <v>25589.72</v>
      </c>
      <c r="K105" s="75">
        <v>25589.72</v>
      </c>
      <c r="L105" s="59" t="s">
        <v>104</v>
      </c>
      <c r="M105" s="59" t="s">
        <v>104</v>
      </c>
      <c r="N105" s="71">
        <f>O105</f>
        <v>51179.44</v>
      </c>
      <c r="O105" s="71">
        <f>G105*K105</f>
        <v>51179.44</v>
      </c>
      <c r="P105" s="59" t="s">
        <v>104</v>
      </c>
      <c r="Q105" s="59"/>
      <c r="R105" s="59" t="s">
        <v>104</v>
      </c>
      <c r="S105" s="59"/>
      <c r="T105" s="75">
        <f>H105*K105</f>
        <v>51179.44</v>
      </c>
      <c r="U105" s="75">
        <f t="shared" ref="U105:U109" si="72">I105*K105</f>
        <v>51179.44</v>
      </c>
    </row>
    <row r="106" spans="1:21" x14ac:dyDescent="0.25">
      <c r="A106" s="230"/>
      <c r="B106" s="231"/>
      <c r="C106" s="63" t="s">
        <v>165</v>
      </c>
      <c r="D106" s="64" t="s">
        <v>101</v>
      </c>
      <c r="E106" s="60">
        <v>2</v>
      </c>
      <c r="F106" s="60">
        <v>2</v>
      </c>
      <c r="G106" s="59">
        <f t="shared" si="61"/>
        <v>2</v>
      </c>
      <c r="H106" s="60">
        <v>2</v>
      </c>
      <c r="I106" s="60">
        <v>2</v>
      </c>
      <c r="J106" s="75">
        <f t="shared" ref="J106:J109" si="73">K106</f>
        <v>92468.25</v>
      </c>
      <c r="K106" s="75">
        <v>92468.25</v>
      </c>
      <c r="L106" s="59" t="s">
        <v>104</v>
      </c>
      <c r="M106" s="59" t="s">
        <v>104</v>
      </c>
      <c r="N106" s="71">
        <f t="shared" ref="N106:N109" si="74">O106</f>
        <v>184936.5</v>
      </c>
      <c r="O106" s="71">
        <f t="shared" ref="O106:O109" si="75">G106*K106</f>
        <v>184936.5</v>
      </c>
      <c r="P106" s="59" t="s">
        <v>104</v>
      </c>
      <c r="Q106" s="59"/>
      <c r="R106" s="59" t="s">
        <v>104</v>
      </c>
      <c r="S106" s="59"/>
      <c r="T106" s="75">
        <f t="shared" ref="T106:T109" si="76">H106*K106</f>
        <v>184936.5</v>
      </c>
      <c r="U106" s="75">
        <f t="shared" si="72"/>
        <v>184936.5</v>
      </c>
    </row>
    <row r="107" spans="1:21" x14ac:dyDescent="0.25">
      <c r="A107" s="230"/>
      <c r="B107" s="231"/>
      <c r="C107" s="63" t="s">
        <v>167</v>
      </c>
      <c r="D107" s="64" t="s">
        <v>101</v>
      </c>
      <c r="E107" s="60">
        <v>2</v>
      </c>
      <c r="F107" s="60">
        <v>2</v>
      </c>
      <c r="G107" s="59">
        <f t="shared" si="61"/>
        <v>2</v>
      </c>
      <c r="H107" s="60">
        <v>2</v>
      </c>
      <c r="I107" s="60">
        <v>2</v>
      </c>
      <c r="J107" s="75">
        <f t="shared" si="73"/>
        <v>266106.15000000002</v>
      </c>
      <c r="K107" s="75">
        <v>266106.15000000002</v>
      </c>
      <c r="L107" s="59"/>
      <c r="M107" s="59"/>
      <c r="N107" s="71">
        <f t="shared" si="74"/>
        <v>532212.30000000005</v>
      </c>
      <c r="O107" s="71">
        <f t="shared" si="75"/>
        <v>532212.30000000005</v>
      </c>
      <c r="P107" s="59" t="s">
        <v>104</v>
      </c>
      <c r="Q107" s="59"/>
      <c r="R107" s="59"/>
      <c r="S107" s="59"/>
      <c r="T107" s="75">
        <f t="shared" si="76"/>
        <v>532212.30000000005</v>
      </c>
      <c r="U107" s="75">
        <f t="shared" si="72"/>
        <v>532212.30000000005</v>
      </c>
    </row>
    <row r="108" spans="1:21" x14ac:dyDescent="0.25">
      <c r="A108" s="230"/>
      <c r="B108" s="231"/>
      <c r="C108" s="63" t="s">
        <v>170</v>
      </c>
      <c r="D108" s="64" t="s">
        <v>101</v>
      </c>
      <c r="E108" s="60">
        <v>1</v>
      </c>
      <c r="F108" s="60">
        <v>1</v>
      </c>
      <c r="G108" s="59">
        <f t="shared" si="61"/>
        <v>1</v>
      </c>
      <c r="H108" s="60">
        <v>1</v>
      </c>
      <c r="I108" s="60">
        <v>1</v>
      </c>
      <c r="J108" s="75">
        <f t="shared" si="73"/>
        <v>32769.75</v>
      </c>
      <c r="K108" s="75">
        <v>32769.75</v>
      </c>
      <c r="L108" s="59"/>
      <c r="M108" s="59"/>
      <c r="N108" s="71">
        <f t="shared" si="74"/>
        <v>32769.75</v>
      </c>
      <c r="O108" s="71">
        <f t="shared" si="75"/>
        <v>32769.75</v>
      </c>
      <c r="P108" s="59" t="s">
        <v>104</v>
      </c>
      <c r="Q108" s="59"/>
      <c r="R108" s="59"/>
      <c r="S108" s="59"/>
      <c r="T108" s="75">
        <f t="shared" si="76"/>
        <v>32769.75</v>
      </c>
      <c r="U108" s="75">
        <f t="shared" si="72"/>
        <v>32769.75</v>
      </c>
    </row>
    <row r="109" spans="1:21" x14ac:dyDescent="0.25">
      <c r="A109" s="230"/>
      <c r="B109" s="231"/>
      <c r="C109" s="63" t="s">
        <v>168</v>
      </c>
      <c r="D109" s="64" t="s">
        <v>101</v>
      </c>
      <c r="E109" s="60">
        <v>1</v>
      </c>
      <c r="F109" s="60">
        <v>1</v>
      </c>
      <c r="G109" s="59">
        <f t="shared" si="61"/>
        <v>1</v>
      </c>
      <c r="H109" s="60">
        <v>1</v>
      </c>
      <c r="I109" s="60">
        <v>1</v>
      </c>
      <c r="J109" s="75">
        <f t="shared" si="73"/>
        <v>23553.439999999999</v>
      </c>
      <c r="K109" s="75">
        <v>23553.439999999999</v>
      </c>
      <c r="L109" s="59" t="s">
        <v>104</v>
      </c>
      <c r="M109" s="59" t="s">
        <v>104</v>
      </c>
      <c r="N109" s="71">
        <f t="shared" si="74"/>
        <v>23553.439999999999</v>
      </c>
      <c r="O109" s="71">
        <f t="shared" si="75"/>
        <v>23553.439999999999</v>
      </c>
      <c r="P109" s="59" t="s">
        <v>104</v>
      </c>
      <c r="Q109" s="59"/>
      <c r="R109" s="59" t="s">
        <v>104</v>
      </c>
      <c r="S109" s="59"/>
      <c r="T109" s="75">
        <f t="shared" si="76"/>
        <v>23553.439999999999</v>
      </c>
      <c r="U109" s="75">
        <f t="shared" si="72"/>
        <v>23553.439999999999</v>
      </c>
    </row>
    <row r="110" spans="1:21" ht="120" x14ac:dyDescent="0.25">
      <c r="A110" s="230"/>
      <c r="B110" s="231"/>
      <c r="C110" s="61" t="s">
        <v>105</v>
      </c>
      <c r="D110" s="64" t="s">
        <v>101</v>
      </c>
      <c r="E110" s="60"/>
      <c r="F110" s="60"/>
      <c r="G110" s="59">
        <f t="shared" si="61"/>
        <v>0</v>
      </c>
      <c r="H110" s="60"/>
      <c r="I110" s="60"/>
      <c r="J110" s="75">
        <f>SUM(K110:M110)</f>
        <v>170533.37714600001</v>
      </c>
      <c r="K110" s="75">
        <f>151407.63+1638.38</f>
        <v>153046.01</v>
      </c>
      <c r="L110" s="72">
        <f>4001.99*2.3654</f>
        <v>9466.307146000001</v>
      </c>
      <c r="M110" s="70">
        <v>8021.06</v>
      </c>
      <c r="N110" s="73">
        <f>SUM(O110:R110)</f>
        <v>0</v>
      </c>
      <c r="O110" s="73">
        <f>G110*K110</f>
        <v>0</v>
      </c>
      <c r="P110" s="73">
        <f>G110*L110</f>
        <v>0</v>
      </c>
      <c r="Q110" s="73"/>
      <c r="R110" s="75">
        <f>G110*M110</f>
        <v>0</v>
      </c>
      <c r="S110" s="75"/>
      <c r="T110" s="75">
        <f t="shared" si="9"/>
        <v>0</v>
      </c>
      <c r="U110" s="75">
        <f t="shared" si="6"/>
        <v>0</v>
      </c>
    </row>
    <row r="111" spans="1:21" x14ac:dyDescent="0.25">
      <c r="A111" s="230"/>
      <c r="B111" s="201"/>
      <c r="C111" s="66" t="s">
        <v>106</v>
      </c>
      <c r="D111" s="64"/>
      <c r="E111" s="60">
        <f>E103+E110</f>
        <v>229</v>
      </c>
      <c r="F111" s="60">
        <f t="shared" ref="F111:I111" si="77">F103+F110</f>
        <v>229</v>
      </c>
      <c r="G111" s="60">
        <f t="shared" si="77"/>
        <v>229</v>
      </c>
      <c r="H111" s="60">
        <f t="shared" si="77"/>
        <v>229</v>
      </c>
      <c r="I111" s="60">
        <f t="shared" si="77"/>
        <v>229</v>
      </c>
      <c r="J111" s="73" t="s">
        <v>104</v>
      </c>
      <c r="K111" s="73" t="s">
        <v>104</v>
      </c>
      <c r="L111" s="73" t="s">
        <v>104</v>
      </c>
      <c r="M111" s="73" t="s">
        <v>104</v>
      </c>
      <c r="N111" s="74">
        <f>SUM(N103:N110)</f>
        <v>13069692.976434</v>
      </c>
      <c r="O111" s="74">
        <f>SUM(O103:O110)</f>
        <v>9065085.9000000004</v>
      </c>
      <c r="P111" s="74">
        <f>SUM(P103:P110)</f>
        <v>2167784.3364340002</v>
      </c>
      <c r="Q111" s="74"/>
      <c r="R111" s="74">
        <f t="shared" ref="R111:U111" si="78">SUM(R103:R110)</f>
        <v>1836822.74</v>
      </c>
      <c r="S111" s="74"/>
      <c r="T111" s="74">
        <f t="shared" si="78"/>
        <v>13069692.976434</v>
      </c>
      <c r="U111" s="74">
        <f t="shared" si="78"/>
        <v>13069692.976434</v>
      </c>
    </row>
    <row r="112" spans="1:21" ht="90" x14ac:dyDescent="0.25">
      <c r="A112" s="230"/>
      <c r="B112" s="231" t="s">
        <v>251</v>
      </c>
      <c r="C112" s="61" t="s">
        <v>100</v>
      </c>
      <c r="D112" s="62" t="s">
        <v>101</v>
      </c>
      <c r="E112" s="60">
        <v>35</v>
      </c>
      <c r="F112" s="60">
        <v>35</v>
      </c>
      <c r="G112" s="59">
        <f t="shared" si="61"/>
        <v>35</v>
      </c>
      <c r="H112" s="60">
        <v>35</v>
      </c>
      <c r="I112" s="60">
        <v>35</v>
      </c>
      <c r="J112" s="107">
        <f>SUM(K112:M112)</f>
        <v>60577.607146000002</v>
      </c>
      <c r="K112" s="107">
        <f>41105.12+1985.12</f>
        <v>43090.240000000005</v>
      </c>
      <c r="L112" s="70">
        <f>4001.99*2.3654</f>
        <v>9466.307146000001</v>
      </c>
      <c r="M112" s="70">
        <v>8021.06</v>
      </c>
      <c r="N112" s="73">
        <f>SUM(O112:R112)</f>
        <v>2120216.4901100001</v>
      </c>
      <c r="O112" s="73">
        <f>G112*K112</f>
        <v>1508158.4000000001</v>
      </c>
      <c r="P112" s="73">
        <f>G112*L112+0.24</f>
        <v>331320.99011000001</v>
      </c>
      <c r="Q112" s="73"/>
      <c r="R112" s="75">
        <f>G112*M112</f>
        <v>280737.10000000003</v>
      </c>
      <c r="S112" s="75"/>
      <c r="T112" s="75">
        <f>N112</f>
        <v>2120216.4901100001</v>
      </c>
      <c r="U112" s="75">
        <f>T112</f>
        <v>2120216.4901100001</v>
      </c>
    </row>
    <row r="113" spans="1:21" ht="90" x14ac:dyDescent="0.25">
      <c r="A113" s="230"/>
      <c r="B113" s="231"/>
      <c r="C113" s="63" t="s">
        <v>163</v>
      </c>
      <c r="D113" s="64" t="s">
        <v>101</v>
      </c>
      <c r="E113" s="59" t="s">
        <v>104</v>
      </c>
      <c r="F113" s="59" t="s">
        <v>104</v>
      </c>
      <c r="G113" s="59" t="s">
        <v>104</v>
      </c>
      <c r="H113" s="59" t="s">
        <v>104</v>
      </c>
      <c r="I113" s="59" t="s">
        <v>104</v>
      </c>
      <c r="J113" s="59" t="s">
        <v>104</v>
      </c>
      <c r="K113" s="59" t="s">
        <v>104</v>
      </c>
      <c r="L113" s="59" t="s">
        <v>104</v>
      </c>
      <c r="M113" s="59" t="s">
        <v>104</v>
      </c>
      <c r="N113" s="71"/>
      <c r="O113" s="71"/>
      <c r="P113" s="59" t="s">
        <v>104</v>
      </c>
      <c r="Q113" s="59"/>
      <c r="R113" s="59" t="s">
        <v>104</v>
      </c>
      <c r="S113" s="59"/>
      <c r="T113" s="75"/>
      <c r="U113" s="75"/>
    </row>
    <row r="114" spans="1:21" x14ac:dyDescent="0.25">
      <c r="A114" s="230"/>
      <c r="B114" s="231"/>
      <c r="C114" s="63" t="s">
        <v>165</v>
      </c>
      <c r="D114" s="64" t="s">
        <v>101</v>
      </c>
      <c r="E114" s="60">
        <v>0</v>
      </c>
      <c r="F114" s="60"/>
      <c r="G114" s="59">
        <f t="shared" si="61"/>
        <v>0</v>
      </c>
      <c r="H114" s="60">
        <v>0</v>
      </c>
      <c r="I114" s="60">
        <v>0</v>
      </c>
      <c r="J114" s="75">
        <f>K114</f>
        <v>92468.25</v>
      </c>
      <c r="K114" s="75">
        <v>92468.25</v>
      </c>
      <c r="L114" s="59" t="s">
        <v>104</v>
      </c>
      <c r="M114" s="59" t="s">
        <v>104</v>
      </c>
      <c r="N114" s="71">
        <f>O114</f>
        <v>0</v>
      </c>
      <c r="O114" s="71">
        <f>G114*K114</f>
        <v>0</v>
      </c>
      <c r="P114" s="59" t="s">
        <v>104</v>
      </c>
      <c r="Q114" s="59"/>
      <c r="R114" s="59" t="s">
        <v>104</v>
      </c>
      <c r="S114" s="59"/>
      <c r="T114" s="75">
        <f>H114*K114</f>
        <v>0</v>
      </c>
      <c r="U114" s="75">
        <f>I114*K114</f>
        <v>0</v>
      </c>
    </row>
    <row r="115" spans="1:21" ht="120" x14ac:dyDescent="0.25">
      <c r="A115" s="230"/>
      <c r="B115" s="231"/>
      <c r="C115" s="61" t="s">
        <v>105</v>
      </c>
      <c r="D115" s="64" t="s">
        <v>101</v>
      </c>
      <c r="E115" s="60"/>
      <c r="F115" s="60">
        <v>0</v>
      </c>
      <c r="G115" s="157">
        <f t="shared" si="61"/>
        <v>0</v>
      </c>
      <c r="H115" s="60">
        <v>0</v>
      </c>
      <c r="I115" s="60">
        <v>0</v>
      </c>
      <c r="J115" s="75">
        <f>SUM(K115:M115)</f>
        <v>200874.83714600001</v>
      </c>
      <c r="K115" s="75">
        <f>181402.35+1985.12</f>
        <v>183387.47</v>
      </c>
      <c r="L115" s="72">
        <f>4001.99*2.3654</f>
        <v>9466.307146000001</v>
      </c>
      <c r="M115" s="70">
        <v>8021.06</v>
      </c>
      <c r="N115" s="73"/>
      <c r="O115" s="73">
        <f>K115*G115</f>
        <v>0</v>
      </c>
      <c r="P115" s="73">
        <f>L115*G115</f>
        <v>0</v>
      </c>
      <c r="Q115" s="73"/>
      <c r="R115" s="73"/>
      <c r="S115" s="73"/>
      <c r="T115" s="75">
        <f t="shared" si="9"/>
        <v>0</v>
      </c>
      <c r="U115" s="75">
        <f t="shared" si="6"/>
        <v>0</v>
      </c>
    </row>
    <row r="116" spans="1:21" x14ac:dyDescent="0.25">
      <c r="A116" s="230"/>
      <c r="B116" s="201"/>
      <c r="C116" s="66" t="s">
        <v>106</v>
      </c>
      <c r="D116" s="64"/>
      <c r="E116" s="60">
        <f>E112+E115</f>
        <v>35</v>
      </c>
      <c r="F116" s="60">
        <f t="shared" ref="F116:I116" si="79">F112+F115</f>
        <v>35</v>
      </c>
      <c r="G116" s="60">
        <f t="shared" si="79"/>
        <v>35</v>
      </c>
      <c r="H116" s="60">
        <f t="shared" si="79"/>
        <v>35</v>
      </c>
      <c r="I116" s="60">
        <f t="shared" si="79"/>
        <v>35</v>
      </c>
      <c r="J116" s="73" t="s">
        <v>104</v>
      </c>
      <c r="K116" s="73" t="s">
        <v>104</v>
      </c>
      <c r="L116" s="73" t="s">
        <v>104</v>
      </c>
      <c r="M116" s="73" t="s">
        <v>104</v>
      </c>
      <c r="N116" s="74">
        <f>SUM(N112:N115)</f>
        <v>2120216.4901100001</v>
      </c>
      <c r="O116" s="74">
        <f>SUM(O112:O115)</f>
        <v>1508158.4000000001</v>
      </c>
      <c r="P116" s="74">
        <f>SUM(P112:P115)</f>
        <v>331320.99011000001</v>
      </c>
      <c r="Q116" s="74"/>
      <c r="R116" s="74">
        <f t="shared" ref="R116:U116" si="80">SUM(R112:R115)</f>
        <v>280737.10000000003</v>
      </c>
      <c r="S116" s="74"/>
      <c r="T116" s="74">
        <f t="shared" si="80"/>
        <v>2120216.4901100001</v>
      </c>
      <c r="U116" s="74">
        <f t="shared" si="80"/>
        <v>2120216.4901100001</v>
      </c>
    </row>
    <row r="117" spans="1:21" ht="102" customHeight="1" x14ac:dyDescent="0.25">
      <c r="A117" s="230"/>
      <c r="B117" s="137" t="s">
        <v>252</v>
      </c>
      <c r="C117" s="61" t="s">
        <v>187</v>
      </c>
      <c r="D117" s="64" t="s">
        <v>101</v>
      </c>
      <c r="E117" s="60">
        <v>416</v>
      </c>
      <c r="F117" s="60">
        <v>416</v>
      </c>
      <c r="G117" s="157">
        <f t="shared" si="61"/>
        <v>416</v>
      </c>
      <c r="H117" s="60">
        <v>416</v>
      </c>
      <c r="I117" s="60">
        <v>416</v>
      </c>
      <c r="J117" s="75">
        <f>K117</f>
        <v>2807.3</v>
      </c>
      <c r="K117" s="75">
        <v>2807.3</v>
      </c>
      <c r="L117" s="73" t="s">
        <v>104</v>
      </c>
      <c r="M117" s="73" t="s">
        <v>104</v>
      </c>
      <c r="N117" s="73">
        <f>SUM(O117:R117)</f>
        <v>1167837</v>
      </c>
      <c r="O117" s="73">
        <f>G117*K117+0.2</f>
        <v>1167837</v>
      </c>
      <c r="P117" s="73" t="s">
        <v>104</v>
      </c>
      <c r="Q117" s="73"/>
      <c r="R117" s="73" t="s">
        <v>104</v>
      </c>
      <c r="S117" s="73"/>
      <c r="T117" s="75">
        <f>N117</f>
        <v>1167837</v>
      </c>
      <c r="U117" s="75">
        <f>T117</f>
        <v>1167837</v>
      </c>
    </row>
    <row r="118" spans="1:21" x14ac:dyDescent="0.25">
      <c r="A118" s="230"/>
      <c r="B118" s="69"/>
      <c r="C118" s="66" t="s">
        <v>106</v>
      </c>
      <c r="D118" s="69"/>
      <c r="E118" s="60">
        <f>SUM(E117:E117)</f>
        <v>416</v>
      </c>
      <c r="F118" s="60">
        <f>SUM(F117:F117)</f>
        <v>416</v>
      </c>
      <c r="G118" s="60">
        <f>SUM(G117:G117)</f>
        <v>416</v>
      </c>
      <c r="H118" s="60">
        <f>SUM(H117:H117)</f>
        <v>416</v>
      </c>
      <c r="I118" s="60">
        <f>SUM(I117:I117)</f>
        <v>416</v>
      </c>
      <c r="J118" s="73" t="s">
        <v>104</v>
      </c>
      <c r="K118" s="73" t="s">
        <v>104</v>
      </c>
      <c r="L118" s="73" t="s">
        <v>104</v>
      </c>
      <c r="M118" s="74">
        <f t="shared" ref="M118:U118" si="81">SUM(M117:M117)</f>
        <v>0</v>
      </c>
      <c r="N118" s="74">
        <f t="shared" si="81"/>
        <v>1167837</v>
      </c>
      <c r="O118" s="74">
        <f t="shared" si="81"/>
        <v>1167837</v>
      </c>
      <c r="P118" s="74">
        <f t="shared" si="81"/>
        <v>0</v>
      </c>
      <c r="Q118" s="74"/>
      <c r="R118" s="74">
        <f t="shared" si="81"/>
        <v>0</v>
      </c>
      <c r="S118" s="74"/>
      <c r="T118" s="75">
        <f t="shared" si="81"/>
        <v>1167837</v>
      </c>
      <c r="U118" s="75">
        <f t="shared" si="81"/>
        <v>1167837</v>
      </c>
    </row>
    <row r="119" spans="1:21" x14ac:dyDescent="0.25">
      <c r="A119" s="230"/>
      <c r="B119" s="89" t="s">
        <v>225</v>
      </c>
      <c r="C119" s="189" t="s">
        <v>219</v>
      </c>
      <c r="D119" s="64" t="s">
        <v>101</v>
      </c>
      <c r="E119" s="60"/>
      <c r="F119" s="60"/>
      <c r="G119" s="60">
        <v>14</v>
      </c>
      <c r="H119" s="60">
        <v>14</v>
      </c>
      <c r="I119" s="60">
        <v>14</v>
      </c>
      <c r="J119" s="73"/>
      <c r="K119" s="73"/>
      <c r="L119" s="73"/>
      <c r="M119" s="74"/>
      <c r="N119" s="74">
        <f>S119</f>
        <v>1064708</v>
      </c>
      <c r="O119" s="74"/>
      <c r="P119" s="74"/>
      <c r="Q119" s="74"/>
      <c r="R119" s="74"/>
      <c r="S119" s="74">
        <v>1064708</v>
      </c>
      <c r="T119" s="75">
        <f>S119</f>
        <v>1064708</v>
      </c>
      <c r="U119" s="75">
        <f>T119</f>
        <v>1064708</v>
      </c>
    </row>
    <row r="120" spans="1:21" x14ac:dyDescent="0.25">
      <c r="A120" s="230"/>
      <c r="B120" s="89" t="s">
        <v>225</v>
      </c>
      <c r="C120" s="189" t="s">
        <v>226</v>
      </c>
      <c r="D120" s="64" t="s">
        <v>101</v>
      </c>
      <c r="E120" s="60"/>
      <c r="F120" s="60"/>
      <c r="G120" s="60"/>
      <c r="H120" s="60"/>
      <c r="I120" s="60"/>
      <c r="J120" s="73"/>
      <c r="K120" s="73"/>
      <c r="L120" s="73"/>
      <c r="M120" s="74"/>
      <c r="N120" s="74"/>
      <c r="O120" s="74"/>
      <c r="P120" s="74"/>
      <c r="Q120" s="74"/>
      <c r="R120" s="74"/>
      <c r="S120" s="74"/>
      <c r="T120" s="75">
        <f>Q120</f>
        <v>0</v>
      </c>
      <c r="U120" s="75">
        <f>T120</f>
        <v>0</v>
      </c>
    </row>
    <row r="121" spans="1:21" x14ac:dyDescent="0.25">
      <c r="A121" s="230"/>
      <c r="B121" s="101" t="s">
        <v>112</v>
      </c>
      <c r="C121" s="101"/>
      <c r="D121" s="69"/>
      <c r="E121" s="102"/>
      <c r="F121" s="102"/>
      <c r="G121" s="102"/>
      <c r="H121" s="102"/>
      <c r="I121" s="102"/>
      <c r="J121" s="104"/>
      <c r="K121" s="104"/>
      <c r="L121" s="103"/>
      <c r="M121" s="103"/>
      <c r="N121" s="103">
        <f>SUM(O121:S121)</f>
        <v>28709182.900057998</v>
      </c>
      <c r="O121" s="136">
        <f>O102+O111+O116+O118</f>
        <v>19372950</v>
      </c>
      <c r="P121" s="103">
        <f>P102+P111+P116+P118</f>
        <v>4477563.5200580005</v>
      </c>
      <c r="Q121" s="103">
        <f>Q120</f>
        <v>0</v>
      </c>
      <c r="R121" s="103">
        <f>R102+R111+R116+R118</f>
        <v>3793961.3800000004</v>
      </c>
      <c r="S121" s="103">
        <f>S119</f>
        <v>1064708</v>
      </c>
      <c r="T121" s="103">
        <f>T102+T111+T116+T118+T119+T120</f>
        <v>28709182.900057998</v>
      </c>
      <c r="U121" s="103">
        <f>U102+U111+U116+U118+U119+U120</f>
        <v>28709182.900057998</v>
      </c>
    </row>
    <row r="122" spans="1:21" ht="90" x14ac:dyDescent="0.25">
      <c r="A122" s="230" t="s">
        <v>116</v>
      </c>
      <c r="B122" s="232" t="s">
        <v>249</v>
      </c>
      <c r="C122" s="61" t="s">
        <v>100</v>
      </c>
      <c r="D122" s="62" t="s">
        <v>101</v>
      </c>
      <c r="E122" s="59">
        <v>326</v>
      </c>
      <c r="F122" s="59">
        <v>326</v>
      </c>
      <c r="G122" s="157">
        <f t="shared" ref="G122:G148" si="82">((E122*8)+(F122*4))/12</f>
        <v>326</v>
      </c>
      <c r="H122" s="59">
        <v>326</v>
      </c>
      <c r="I122" s="59">
        <v>326</v>
      </c>
      <c r="J122" s="107">
        <f>SUM(K122:M122)</f>
        <v>44139.297145999997</v>
      </c>
      <c r="K122" s="107">
        <f>22687.5+1342.39</f>
        <v>24029.89</v>
      </c>
      <c r="L122" s="70">
        <f>4001.99*2.3654</f>
        <v>9466.307146000001</v>
      </c>
      <c r="M122" s="70">
        <v>10643.1</v>
      </c>
      <c r="N122" s="71">
        <f>SUM(O122:R122)</f>
        <v>14389416.909596</v>
      </c>
      <c r="O122" s="71">
        <f>G122*K122+6.04</f>
        <v>7833750.1799999997</v>
      </c>
      <c r="P122" s="71">
        <f>G122*L122</f>
        <v>3086016.1295960005</v>
      </c>
      <c r="Q122" s="71"/>
      <c r="R122" s="75">
        <f>G122*M122</f>
        <v>3469650.6</v>
      </c>
      <c r="S122" s="75"/>
      <c r="T122" s="75">
        <f>N122</f>
        <v>14389416.909596</v>
      </c>
      <c r="U122" s="75">
        <f>T122</f>
        <v>14389416.909596</v>
      </c>
    </row>
    <row r="123" spans="1:21" ht="90" x14ac:dyDescent="0.25">
      <c r="A123" s="230"/>
      <c r="B123" s="233"/>
      <c r="C123" s="63" t="s">
        <v>163</v>
      </c>
      <c r="D123" s="64" t="s">
        <v>101</v>
      </c>
      <c r="E123" s="59" t="s">
        <v>104</v>
      </c>
      <c r="F123" s="59" t="s">
        <v>104</v>
      </c>
      <c r="G123" s="59" t="s">
        <v>104</v>
      </c>
      <c r="H123" s="59" t="s">
        <v>104</v>
      </c>
      <c r="I123" s="59" t="s">
        <v>104</v>
      </c>
      <c r="J123" s="59" t="s">
        <v>104</v>
      </c>
      <c r="K123" s="59" t="s">
        <v>104</v>
      </c>
      <c r="L123" s="59" t="s">
        <v>104</v>
      </c>
      <c r="M123" s="59" t="s">
        <v>104</v>
      </c>
      <c r="N123" s="71"/>
      <c r="O123" s="71"/>
      <c r="P123" s="59" t="s">
        <v>104</v>
      </c>
      <c r="Q123" s="59"/>
      <c r="R123" s="59" t="s">
        <v>104</v>
      </c>
      <c r="S123" s="59"/>
      <c r="T123" s="75"/>
      <c r="U123" s="75"/>
    </row>
    <row r="124" spans="1:21" x14ac:dyDescent="0.25">
      <c r="A124" s="230"/>
      <c r="B124" s="233"/>
      <c r="C124" s="63" t="s">
        <v>164</v>
      </c>
      <c r="D124" s="64" t="s">
        <v>101</v>
      </c>
      <c r="E124" s="59">
        <v>1</v>
      </c>
      <c r="F124" s="59">
        <v>1</v>
      </c>
      <c r="G124" s="59">
        <f t="shared" si="82"/>
        <v>1</v>
      </c>
      <c r="H124" s="59">
        <v>1</v>
      </c>
      <c r="I124" s="59">
        <v>1</v>
      </c>
      <c r="J124" s="75">
        <f t="shared" ref="J124:J129" si="83">K124</f>
        <v>25589.72</v>
      </c>
      <c r="K124" s="71">
        <v>25589.72</v>
      </c>
      <c r="L124" s="59"/>
      <c r="M124" s="59"/>
      <c r="N124" s="71">
        <f t="shared" ref="N124:N125" si="84">O124</f>
        <v>25589.72</v>
      </c>
      <c r="O124" s="71">
        <f>G124*K124</f>
        <v>25589.72</v>
      </c>
      <c r="P124" s="59" t="s">
        <v>104</v>
      </c>
      <c r="Q124" s="59"/>
      <c r="R124" s="59"/>
      <c r="S124" s="59"/>
      <c r="T124" s="75">
        <f t="shared" ref="T124:T129" si="85">H124*K124</f>
        <v>25589.72</v>
      </c>
      <c r="U124" s="75">
        <f t="shared" ref="U124:U125" si="86">I124*K124</f>
        <v>25589.72</v>
      </c>
    </row>
    <row r="125" spans="1:21" x14ac:dyDescent="0.25">
      <c r="A125" s="230"/>
      <c r="B125" s="233"/>
      <c r="C125" s="63" t="s">
        <v>169</v>
      </c>
      <c r="D125" s="64" t="s">
        <v>101</v>
      </c>
      <c r="E125" s="59">
        <v>3</v>
      </c>
      <c r="F125" s="59">
        <v>3</v>
      </c>
      <c r="G125" s="59">
        <f t="shared" si="82"/>
        <v>3</v>
      </c>
      <c r="H125" s="59">
        <v>3</v>
      </c>
      <c r="I125" s="59">
        <v>3</v>
      </c>
      <c r="J125" s="75">
        <f t="shared" si="83"/>
        <v>69362.66</v>
      </c>
      <c r="K125" s="71">
        <v>69362.66</v>
      </c>
      <c r="L125" s="59" t="s">
        <v>104</v>
      </c>
      <c r="M125" s="59" t="s">
        <v>104</v>
      </c>
      <c r="N125" s="71">
        <f t="shared" si="84"/>
        <v>208087.98</v>
      </c>
      <c r="O125" s="71">
        <f t="shared" ref="O125:O129" si="87">G125*K125</f>
        <v>208087.98</v>
      </c>
      <c r="P125" s="59" t="s">
        <v>104</v>
      </c>
      <c r="Q125" s="59"/>
      <c r="R125" s="59" t="s">
        <v>104</v>
      </c>
      <c r="S125" s="59"/>
      <c r="T125" s="75">
        <f t="shared" si="85"/>
        <v>208087.98</v>
      </c>
      <c r="U125" s="75">
        <f t="shared" si="86"/>
        <v>208087.98</v>
      </c>
    </row>
    <row r="126" spans="1:21" x14ac:dyDescent="0.25">
      <c r="A126" s="230"/>
      <c r="B126" s="233"/>
      <c r="C126" s="63" t="s">
        <v>166</v>
      </c>
      <c r="D126" s="64" t="s">
        <v>101</v>
      </c>
      <c r="E126" s="59">
        <v>1</v>
      </c>
      <c r="F126" s="59">
        <v>1</v>
      </c>
      <c r="G126" s="59">
        <f t="shared" si="82"/>
        <v>1</v>
      </c>
      <c r="H126" s="59">
        <v>1</v>
      </c>
      <c r="I126" s="59">
        <v>1</v>
      </c>
      <c r="J126" s="75">
        <f t="shared" si="83"/>
        <v>66361.320000000007</v>
      </c>
      <c r="K126" s="75">
        <v>66361.320000000007</v>
      </c>
      <c r="L126" s="59" t="s">
        <v>104</v>
      </c>
      <c r="M126" s="59" t="s">
        <v>104</v>
      </c>
      <c r="N126" s="71">
        <f>O126</f>
        <v>66361.320000000007</v>
      </c>
      <c r="O126" s="71">
        <f t="shared" si="87"/>
        <v>66361.320000000007</v>
      </c>
      <c r="P126" s="59" t="s">
        <v>104</v>
      </c>
      <c r="Q126" s="59"/>
      <c r="R126" s="59" t="s">
        <v>104</v>
      </c>
      <c r="S126" s="59"/>
      <c r="T126" s="75">
        <f t="shared" si="85"/>
        <v>66361.320000000007</v>
      </c>
      <c r="U126" s="75">
        <f>I126*K126</f>
        <v>66361.320000000007</v>
      </c>
    </row>
    <row r="127" spans="1:21" x14ac:dyDescent="0.25">
      <c r="A127" s="230"/>
      <c r="B127" s="233"/>
      <c r="C127" s="63" t="s">
        <v>167</v>
      </c>
      <c r="D127" s="64" t="s">
        <v>101</v>
      </c>
      <c r="E127" s="59"/>
      <c r="F127" s="59"/>
      <c r="G127" s="59">
        <f t="shared" si="82"/>
        <v>0</v>
      </c>
      <c r="H127" s="59"/>
      <c r="I127" s="59"/>
      <c r="J127" s="75">
        <f t="shared" si="83"/>
        <v>174890.83</v>
      </c>
      <c r="K127" s="75">
        <v>174890.83</v>
      </c>
      <c r="L127" s="59" t="s">
        <v>104</v>
      </c>
      <c r="M127" s="59" t="s">
        <v>104</v>
      </c>
      <c r="N127" s="71">
        <f>O127</f>
        <v>0</v>
      </c>
      <c r="O127" s="71">
        <f t="shared" si="87"/>
        <v>0</v>
      </c>
      <c r="P127" s="59" t="s">
        <v>104</v>
      </c>
      <c r="Q127" s="59"/>
      <c r="R127" s="59" t="s">
        <v>104</v>
      </c>
      <c r="S127" s="59"/>
      <c r="T127" s="75">
        <f t="shared" si="85"/>
        <v>0</v>
      </c>
      <c r="U127" s="75">
        <f>I127*K127</f>
        <v>0</v>
      </c>
    </row>
    <row r="128" spans="1:21" x14ac:dyDescent="0.25">
      <c r="A128" s="230"/>
      <c r="B128" s="233"/>
      <c r="C128" s="63" t="s">
        <v>170</v>
      </c>
      <c r="D128" s="64" t="s">
        <v>101</v>
      </c>
      <c r="E128" s="59">
        <v>1</v>
      </c>
      <c r="F128" s="59">
        <v>1</v>
      </c>
      <c r="G128" s="59">
        <f t="shared" si="82"/>
        <v>1</v>
      </c>
      <c r="H128" s="59">
        <v>1</v>
      </c>
      <c r="I128" s="59">
        <v>1</v>
      </c>
      <c r="J128" s="75">
        <f t="shared" si="83"/>
        <v>99648.29</v>
      </c>
      <c r="K128" s="75">
        <v>99648.29</v>
      </c>
      <c r="L128" s="59" t="s">
        <v>104</v>
      </c>
      <c r="M128" s="59" t="s">
        <v>104</v>
      </c>
      <c r="N128" s="71">
        <f>O128</f>
        <v>99648.29</v>
      </c>
      <c r="O128" s="71">
        <f t="shared" si="87"/>
        <v>99648.29</v>
      </c>
      <c r="P128" s="59" t="s">
        <v>104</v>
      </c>
      <c r="Q128" s="59"/>
      <c r="R128" s="59" t="s">
        <v>104</v>
      </c>
      <c r="S128" s="59"/>
      <c r="T128" s="75">
        <f t="shared" si="85"/>
        <v>99648.29</v>
      </c>
      <c r="U128" s="75">
        <f>I128*K128</f>
        <v>99648.29</v>
      </c>
    </row>
    <row r="129" spans="1:21" x14ac:dyDescent="0.25">
      <c r="A129" s="230"/>
      <c r="B129" s="233"/>
      <c r="C129" s="63" t="s">
        <v>168</v>
      </c>
      <c r="D129" s="64" t="s">
        <v>101</v>
      </c>
      <c r="E129" s="59">
        <v>1</v>
      </c>
      <c r="F129" s="59">
        <v>1</v>
      </c>
      <c r="G129" s="59">
        <f t="shared" si="82"/>
        <v>1</v>
      </c>
      <c r="H129" s="59">
        <v>1</v>
      </c>
      <c r="I129" s="59">
        <v>1</v>
      </c>
      <c r="J129" s="75">
        <f t="shared" si="83"/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23553.439999999999</v>
      </c>
      <c r="O129" s="71">
        <f t="shared" si="87"/>
        <v>23553.439999999999</v>
      </c>
      <c r="P129" s="59" t="s">
        <v>104</v>
      </c>
      <c r="Q129" s="59"/>
      <c r="R129" s="59" t="s">
        <v>104</v>
      </c>
      <c r="S129" s="59"/>
      <c r="T129" s="75">
        <f t="shared" si="85"/>
        <v>23553.439999999999</v>
      </c>
      <c r="U129" s="75">
        <f>I129*K129</f>
        <v>23553.439999999999</v>
      </c>
    </row>
    <row r="130" spans="1:21" ht="120" x14ac:dyDescent="0.25">
      <c r="A130" s="230"/>
      <c r="B130" s="233"/>
      <c r="C130" s="61" t="s">
        <v>105</v>
      </c>
      <c r="D130" s="64" t="s">
        <v>101</v>
      </c>
      <c r="E130" s="59">
        <v>2</v>
      </c>
      <c r="F130" s="59">
        <v>2</v>
      </c>
      <c r="G130" s="157">
        <f t="shared" si="82"/>
        <v>2</v>
      </c>
      <c r="H130" s="59">
        <v>2</v>
      </c>
      <c r="I130" s="59">
        <v>2</v>
      </c>
      <c r="J130" s="75">
        <f>SUM(K130:M130)</f>
        <v>142864.71714600001</v>
      </c>
      <c r="K130" s="75">
        <f>121412.92+1342.39</f>
        <v>122755.31</v>
      </c>
      <c r="L130" s="72">
        <f>4001.99*2.3654</f>
        <v>9466.307146000001</v>
      </c>
      <c r="M130" s="70">
        <v>10643.1</v>
      </c>
      <c r="N130" s="71">
        <f>SUM(O130:R130)</f>
        <v>285729.43429200002</v>
      </c>
      <c r="O130" s="71">
        <f>G130*K130</f>
        <v>245510.62</v>
      </c>
      <c r="P130" s="71">
        <f>G130*L130</f>
        <v>18932.614292000002</v>
      </c>
      <c r="Q130" s="71"/>
      <c r="R130" s="75">
        <f>G130*M130</f>
        <v>21286.2</v>
      </c>
      <c r="S130" s="75"/>
      <c r="T130" s="75">
        <f t="shared" ref="T130:T146" si="88">H130*J130</f>
        <v>285729.43429200002</v>
      </c>
      <c r="U130" s="75">
        <f t="shared" ref="U130:U146" si="89">I130*J130</f>
        <v>285729.43429200002</v>
      </c>
    </row>
    <row r="131" spans="1:21" ht="105" x14ac:dyDescent="0.25">
      <c r="A131" s="230"/>
      <c r="B131" s="233"/>
      <c r="C131" s="61" t="s">
        <v>117</v>
      </c>
      <c r="D131" s="64" t="s">
        <v>101</v>
      </c>
      <c r="E131" s="59">
        <v>0</v>
      </c>
      <c r="F131" s="59">
        <v>0</v>
      </c>
      <c r="G131" s="157">
        <f t="shared" si="82"/>
        <v>0</v>
      </c>
      <c r="H131" s="59">
        <v>0</v>
      </c>
      <c r="I131" s="59">
        <v>0</v>
      </c>
      <c r="J131" s="75">
        <f>K131</f>
        <v>21480.1</v>
      </c>
      <c r="K131" s="75">
        <v>21480.1</v>
      </c>
      <c r="L131" s="72" t="s">
        <v>104</v>
      </c>
      <c r="M131" s="72" t="s">
        <v>104</v>
      </c>
      <c r="N131" s="71">
        <f>SUM(O131:R131)</f>
        <v>0</v>
      </c>
      <c r="O131" s="71">
        <f>G131*K131</f>
        <v>0</v>
      </c>
      <c r="P131" s="71"/>
      <c r="Q131" s="71"/>
      <c r="R131" s="71"/>
      <c r="S131" s="71"/>
      <c r="T131" s="75">
        <f t="shared" si="88"/>
        <v>0</v>
      </c>
      <c r="U131" s="75">
        <f t="shared" si="89"/>
        <v>0</v>
      </c>
    </row>
    <row r="132" spans="1:21" x14ac:dyDescent="0.25">
      <c r="A132" s="230"/>
      <c r="B132" s="234"/>
      <c r="C132" s="66" t="s">
        <v>106</v>
      </c>
      <c r="D132" s="67"/>
      <c r="E132" s="59">
        <f>E122+E130</f>
        <v>328</v>
      </c>
      <c r="F132" s="59">
        <f>F122+F130</f>
        <v>328</v>
      </c>
      <c r="G132" s="59">
        <f>G122+G130</f>
        <v>328</v>
      </c>
      <c r="H132" s="59">
        <f>H122+H130</f>
        <v>328</v>
      </c>
      <c r="I132" s="59">
        <f>I122+I130</f>
        <v>328</v>
      </c>
      <c r="J132" s="71" t="s">
        <v>104</v>
      </c>
      <c r="K132" s="71" t="s">
        <v>104</v>
      </c>
      <c r="L132" s="71" t="s">
        <v>104</v>
      </c>
      <c r="M132" s="71" t="s">
        <v>104</v>
      </c>
      <c r="N132" s="71">
        <f>SUM(N122:N131)</f>
        <v>15098387.093888</v>
      </c>
      <c r="O132" s="71">
        <f t="shared" ref="O132:R132" si="90">SUM(O122:O131)</f>
        <v>8502501.5500000007</v>
      </c>
      <c r="P132" s="71">
        <f t="shared" si="90"/>
        <v>3104948.7438880005</v>
      </c>
      <c r="Q132" s="71"/>
      <c r="R132" s="71">
        <f t="shared" si="90"/>
        <v>3490936.8000000003</v>
      </c>
      <c r="S132" s="71"/>
      <c r="T132" s="71">
        <f>N132</f>
        <v>15098387.093888</v>
      </c>
      <c r="U132" s="71">
        <f>T132</f>
        <v>15098387.093888</v>
      </c>
    </row>
    <row r="133" spans="1:21" ht="90" x14ac:dyDescent="0.25">
      <c r="A133" s="230"/>
      <c r="B133" s="232" t="s">
        <v>250</v>
      </c>
      <c r="C133" s="61" t="s">
        <v>100</v>
      </c>
      <c r="D133" s="62" t="s">
        <v>101</v>
      </c>
      <c r="E133" s="59">
        <v>174</v>
      </c>
      <c r="F133" s="59">
        <v>174</v>
      </c>
      <c r="G133" s="59">
        <f t="shared" si="82"/>
        <v>174</v>
      </c>
      <c r="H133" s="59">
        <v>174</v>
      </c>
      <c r="I133" s="59">
        <v>174</v>
      </c>
      <c r="J133" s="107">
        <f>SUM(K133:M133)</f>
        <v>56093.837145999998</v>
      </c>
      <c r="K133" s="107">
        <f>34346.05+1638.38</f>
        <v>35984.43</v>
      </c>
      <c r="L133" s="70">
        <f>4001.99*2.3654</f>
        <v>9466.307146000001</v>
      </c>
      <c r="M133" s="70">
        <v>10643.1</v>
      </c>
      <c r="N133" s="71">
        <f>SUM(O133:R133)</f>
        <v>9760327.6634040009</v>
      </c>
      <c r="O133" s="71">
        <f>G133*K133</f>
        <v>6261290.8200000003</v>
      </c>
      <c r="P133" s="71">
        <f>G133*L133</f>
        <v>1647137.4434040003</v>
      </c>
      <c r="Q133" s="71"/>
      <c r="R133" s="75">
        <f>G133*M133</f>
        <v>1851899.4000000001</v>
      </c>
      <c r="S133" s="75"/>
      <c r="T133" s="75">
        <f t="shared" si="88"/>
        <v>9760327.6634039991</v>
      </c>
      <c r="U133" s="75">
        <f t="shared" si="89"/>
        <v>9760327.6634039991</v>
      </c>
    </row>
    <row r="134" spans="1:21" ht="105" x14ac:dyDescent="0.25">
      <c r="A134" s="230"/>
      <c r="B134" s="233"/>
      <c r="C134" s="61" t="s">
        <v>118</v>
      </c>
      <c r="D134" s="62" t="s">
        <v>101</v>
      </c>
      <c r="E134" s="59">
        <v>218</v>
      </c>
      <c r="F134" s="59">
        <v>218</v>
      </c>
      <c r="G134" s="59">
        <f t="shared" si="82"/>
        <v>218</v>
      </c>
      <c r="H134" s="59">
        <v>218</v>
      </c>
      <c r="I134" s="59">
        <v>218</v>
      </c>
      <c r="J134" s="107">
        <f>SUM(K134:M134)</f>
        <v>59530.647145999996</v>
      </c>
      <c r="K134" s="107">
        <f>37782.86+1638.38</f>
        <v>39421.24</v>
      </c>
      <c r="L134" s="70">
        <f>4001.99*2.3654</f>
        <v>9466.307146000001</v>
      </c>
      <c r="M134" s="70">
        <v>10643.1</v>
      </c>
      <c r="N134" s="71">
        <f>SUM(O134:R134)</f>
        <v>12977681.077828001</v>
      </c>
      <c r="O134" s="71">
        <f>G134*K134</f>
        <v>8593830.3200000003</v>
      </c>
      <c r="P134" s="71">
        <f>G134*L134</f>
        <v>2063654.9578280002</v>
      </c>
      <c r="Q134" s="71"/>
      <c r="R134" s="75">
        <f>G134*M134</f>
        <v>2320195.8000000003</v>
      </c>
      <c r="S134" s="75"/>
      <c r="T134" s="75">
        <f t="shared" si="88"/>
        <v>12977681.077827999</v>
      </c>
      <c r="U134" s="75">
        <f t="shared" si="89"/>
        <v>12977681.077827999</v>
      </c>
    </row>
    <row r="135" spans="1:21" ht="90" x14ac:dyDescent="0.25">
      <c r="A135" s="230"/>
      <c r="B135" s="233"/>
      <c r="C135" s="63" t="s">
        <v>102</v>
      </c>
      <c r="D135" s="64" t="s">
        <v>101</v>
      </c>
      <c r="E135" s="59" t="s">
        <v>104</v>
      </c>
      <c r="F135" s="59" t="s">
        <v>104</v>
      </c>
      <c r="G135" s="59" t="s">
        <v>104</v>
      </c>
      <c r="H135" s="59" t="s">
        <v>104</v>
      </c>
      <c r="I135" s="59" t="s">
        <v>104</v>
      </c>
      <c r="J135" s="59" t="s">
        <v>104</v>
      </c>
      <c r="K135" s="59" t="s">
        <v>104</v>
      </c>
      <c r="L135" s="59" t="s">
        <v>104</v>
      </c>
      <c r="M135" s="59" t="s">
        <v>104</v>
      </c>
      <c r="N135" s="71"/>
      <c r="O135" s="71"/>
      <c r="P135" s="59" t="s">
        <v>104</v>
      </c>
      <c r="Q135" s="59"/>
      <c r="R135" s="59" t="s">
        <v>104</v>
      </c>
      <c r="S135" s="59"/>
      <c r="T135" s="75"/>
      <c r="U135" s="75"/>
    </row>
    <row r="136" spans="1:21" x14ac:dyDescent="0.25">
      <c r="A136" s="230"/>
      <c r="B136" s="233"/>
      <c r="C136" s="63" t="s">
        <v>171</v>
      </c>
      <c r="D136" s="64" t="s">
        <v>101</v>
      </c>
      <c r="E136" s="60">
        <v>1</v>
      </c>
      <c r="F136" s="60">
        <v>1</v>
      </c>
      <c r="G136" s="59">
        <f t="shared" si="82"/>
        <v>1</v>
      </c>
      <c r="H136" s="60">
        <v>1</v>
      </c>
      <c r="I136" s="60">
        <v>1</v>
      </c>
      <c r="J136" s="75">
        <f>K136</f>
        <v>69362.66</v>
      </c>
      <c r="K136" s="75">
        <v>69362.66</v>
      </c>
      <c r="L136" s="59" t="s">
        <v>104</v>
      </c>
      <c r="M136" s="59" t="s">
        <v>104</v>
      </c>
      <c r="N136" s="71">
        <f>O136</f>
        <v>69362.66</v>
      </c>
      <c r="O136" s="71">
        <f>G136*K136</f>
        <v>69362.66</v>
      </c>
      <c r="P136" s="59" t="s">
        <v>104</v>
      </c>
      <c r="Q136" s="59"/>
      <c r="R136" s="59" t="s">
        <v>104</v>
      </c>
      <c r="S136" s="59"/>
      <c r="T136" s="75">
        <f>H136*K136</f>
        <v>69362.66</v>
      </c>
      <c r="U136" s="75">
        <f>I136*K136</f>
        <v>69362.66</v>
      </c>
    </row>
    <row r="137" spans="1:21" x14ac:dyDescent="0.25">
      <c r="A137" s="230"/>
      <c r="B137" s="233"/>
      <c r="C137" s="63" t="s">
        <v>164</v>
      </c>
      <c r="D137" s="64" t="s">
        <v>101</v>
      </c>
      <c r="E137" s="60">
        <v>1</v>
      </c>
      <c r="F137" s="60">
        <v>1</v>
      </c>
      <c r="G137" s="59">
        <f t="shared" si="82"/>
        <v>1</v>
      </c>
      <c r="H137" s="60">
        <v>1</v>
      </c>
      <c r="I137" s="60">
        <v>1</v>
      </c>
      <c r="J137" s="75">
        <f>K137</f>
        <v>25589.72</v>
      </c>
      <c r="K137" s="75">
        <v>25589.72</v>
      </c>
      <c r="L137" s="59" t="s">
        <v>104</v>
      </c>
      <c r="M137" s="59" t="s">
        <v>104</v>
      </c>
      <c r="N137" s="71">
        <f>O137</f>
        <v>25589.72</v>
      </c>
      <c r="O137" s="71">
        <f t="shared" ref="O137:O138" si="91">G137*K137</f>
        <v>25589.72</v>
      </c>
      <c r="P137" s="59" t="s">
        <v>104</v>
      </c>
      <c r="Q137" s="59"/>
      <c r="R137" s="59" t="s">
        <v>104</v>
      </c>
      <c r="S137" s="59"/>
      <c r="T137" s="75">
        <f>H137*K137</f>
        <v>25589.72</v>
      </c>
      <c r="U137" s="75">
        <f>I137*K137</f>
        <v>25589.72</v>
      </c>
    </row>
    <row r="138" spans="1:21" x14ac:dyDescent="0.25">
      <c r="A138" s="230"/>
      <c r="B138" s="233"/>
      <c r="C138" s="63" t="s">
        <v>168</v>
      </c>
      <c r="D138" s="64" t="s">
        <v>101</v>
      </c>
      <c r="E138" s="60">
        <v>3</v>
      </c>
      <c r="F138" s="60">
        <v>3</v>
      </c>
      <c r="G138" s="59">
        <f t="shared" si="82"/>
        <v>3</v>
      </c>
      <c r="H138" s="60">
        <v>3</v>
      </c>
      <c r="I138" s="60">
        <v>3</v>
      </c>
      <c r="J138" s="75">
        <f>K138</f>
        <v>23553.439999999999</v>
      </c>
      <c r="K138" s="75">
        <v>23553.439999999999</v>
      </c>
      <c r="L138" s="59" t="s">
        <v>104</v>
      </c>
      <c r="M138" s="59" t="s">
        <v>104</v>
      </c>
      <c r="N138" s="71">
        <f>O138</f>
        <v>70660.319999999992</v>
      </c>
      <c r="O138" s="71">
        <f t="shared" si="91"/>
        <v>70660.319999999992</v>
      </c>
      <c r="P138" s="59" t="s">
        <v>104</v>
      </c>
      <c r="Q138" s="59"/>
      <c r="R138" s="59" t="s">
        <v>104</v>
      </c>
      <c r="S138" s="59"/>
      <c r="T138" s="75">
        <f>H138*K138</f>
        <v>70660.319999999992</v>
      </c>
      <c r="U138" s="75">
        <f>I138*K138</f>
        <v>70660.319999999992</v>
      </c>
    </row>
    <row r="139" spans="1:21" ht="120" x14ac:dyDescent="0.25">
      <c r="A139" s="230"/>
      <c r="B139" s="233"/>
      <c r="C139" s="61" t="s">
        <v>105</v>
      </c>
      <c r="D139" s="64" t="s">
        <v>101</v>
      </c>
      <c r="E139" s="60">
        <v>1</v>
      </c>
      <c r="F139" s="60">
        <v>1</v>
      </c>
      <c r="G139" s="59">
        <f t="shared" si="82"/>
        <v>1</v>
      </c>
      <c r="H139" s="60">
        <v>1</v>
      </c>
      <c r="I139" s="60">
        <v>1</v>
      </c>
      <c r="J139" s="75">
        <f>SUM(K139:M139)</f>
        <v>173155.41714600002</v>
      </c>
      <c r="K139" s="75">
        <f>151407.63+1638.38</f>
        <v>153046.01</v>
      </c>
      <c r="L139" s="72">
        <f>4001.99*2.3654</f>
        <v>9466.307146000001</v>
      </c>
      <c r="M139" s="70">
        <v>10643.1</v>
      </c>
      <c r="N139" s="73">
        <f>SUM(O139:R139)</f>
        <v>173155.41714600002</v>
      </c>
      <c r="O139" s="73">
        <f>G139*K139</f>
        <v>153046.01</v>
      </c>
      <c r="P139" s="73">
        <f>G139*L139</f>
        <v>9466.307146000001</v>
      </c>
      <c r="Q139" s="73"/>
      <c r="R139" s="73">
        <f>E139*M139</f>
        <v>10643.1</v>
      </c>
      <c r="S139" s="73"/>
      <c r="T139" s="75">
        <f t="shared" si="88"/>
        <v>173155.41714600002</v>
      </c>
      <c r="U139" s="75">
        <f t="shared" si="89"/>
        <v>173155.41714600002</v>
      </c>
    </row>
    <row r="140" spans="1:21" ht="105" x14ac:dyDescent="0.25">
      <c r="A140" s="230"/>
      <c r="B140" s="233"/>
      <c r="C140" s="61" t="s">
        <v>117</v>
      </c>
      <c r="D140" s="64" t="s">
        <v>101</v>
      </c>
      <c r="E140" s="60">
        <v>0</v>
      </c>
      <c r="F140" s="60">
        <v>0</v>
      </c>
      <c r="G140" s="59">
        <f t="shared" si="82"/>
        <v>0</v>
      </c>
      <c r="H140" s="60">
        <v>0</v>
      </c>
      <c r="I140" s="60">
        <v>0</v>
      </c>
      <c r="J140" s="75">
        <f>K140</f>
        <v>34010.129999999997</v>
      </c>
      <c r="K140" s="75">
        <v>34010.129999999997</v>
      </c>
      <c r="L140" s="72" t="s">
        <v>104</v>
      </c>
      <c r="M140" s="72" t="s">
        <v>104</v>
      </c>
      <c r="N140" s="73">
        <f>SUM(O140:R140)</f>
        <v>0</v>
      </c>
      <c r="O140" s="73">
        <f>G140*K140</f>
        <v>0</v>
      </c>
      <c r="P140" s="73"/>
      <c r="Q140" s="73"/>
      <c r="R140" s="73"/>
      <c r="S140" s="73"/>
      <c r="T140" s="75">
        <f t="shared" si="88"/>
        <v>0</v>
      </c>
      <c r="U140" s="75">
        <f t="shared" si="89"/>
        <v>0</v>
      </c>
    </row>
    <row r="141" spans="1:21" x14ac:dyDescent="0.25">
      <c r="A141" s="230"/>
      <c r="B141" s="234"/>
      <c r="C141" s="66" t="s">
        <v>106</v>
      </c>
      <c r="D141" s="64"/>
      <c r="E141" s="60">
        <f>E133++E134+E139</f>
        <v>393</v>
      </c>
      <c r="F141" s="60">
        <f>F133++F134+F139</f>
        <v>393</v>
      </c>
      <c r="G141" s="60">
        <f>G133++G134+G139</f>
        <v>393</v>
      </c>
      <c r="H141" s="60">
        <f>H133++H134+H139</f>
        <v>393</v>
      </c>
      <c r="I141" s="60">
        <f>I133++I134+I139</f>
        <v>393</v>
      </c>
      <c r="J141" s="73" t="s">
        <v>104</v>
      </c>
      <c r="K141" s="73" t="s">
        <v>104</v>
      </c>
      <c r="L141" s="74" t="s">
        <v>104</v>
      </c>
      <c r="M141" s="74" t="s">
        <v>104</v>
      </c>
      <c r="N141" s="74">
        <f>SUM(N133:N140)</f>
        <v>23076776.858378001</v>
      </c>
      <c r="O141" s="74">
        <f t="shared" ref="O141:U141" si="92">SUM(O133:O140)</f>
        <v>15173779.850000001</v>
      </c>
      <c r="P141" s="74">
        <f t="shared" si="92"/>
        <v>3720258.7083780007</v>
      </c>
      <c r="Q141" s="74"/>
      <c r="R141" s="74">
        <f t="shared" si="92"/>
        <v>4182738.3000000003</v>
      </c>
      <c r="S141" s="74"/>
      <c r="T141" s="74">
        <f t="shared" si="92"/>
        <v>23076776.858378001</v>
      </c>
      <c r="U141" s="74">
        <f t="shared" si="92"/>
        <v>23076776.858378001</v>
      </c>
    </row>
    <row r="142" spans="1:21" ht="90" x14ac:dyDescent="0.25">
      <c r="A142" s="230"/>
      <c r="B142" s="232" t="s">
        <v>251</v>
      </c>
      <c r="C142" s="61" t="s">
        <v>100</v>
      </c>
      <c r="D142" s="62" t="s">
        <v>101</v>
      </c>
      <c r="E142" s="60">
        <v>53</v>
      </c>
      <c r="F142" s="60">
        <v>53</v>
      </c>
      <c r="G142" s="59">
        <f t="shared" si="82"/>
        <v>53</v>
      </c>
      <c r="H142" s="60">
        <v>53</v>
      </c>
      <c r="I142" s="60">
        <v>53</v>
      </c>
      <c r="J142" s="107">
        <f>SUM(K142:M142)</f>
        <v>63199.647146000003</v>
      </c>
      <c r="K142" s="107">
        <f>41105.12+1985.12</f>
        <v>43090.240000000005</v>
      </c>
      <c r="L142" s="70">
        <f>4001.99*2.3654</f>
        <v>9466.307146000001</v>
      </c>
      <c r="M142" s="70">
        <v>10643.1</v>
      </c>
      <c r="N142" s="73">
        <f>SUM(O142:R142)</f>
        <v>3349581.298738</v>
      </c>
      <c r="O142" s="73">
        <f>G142*K142</f>
        <v>2283782.7200000002</v>
      </c>
      <c r="P142" s="73">
        <f>G142*L142</f>
        <v>501714.27873800008</v>
      </c>
      <c r="Q142" s="73"/>
      <c r="R142" s="75">
        <f>G142*M142</f>
        <v>564084.30000000005</v>
      </c>
      <c r="S142" s="75"/>
      <c r="T142" s="75">
        <f>H142*J142</f>
        <v>3349581.298738</v>
      </c>
      <c r="U142" s="75">
        <f t="shared" si="89"/>
        <v>3349581.298738</v>
      </c>
    </row>
    <row r="143" spans="1:21" ht="105" x14ac:dyDescent="0.25">
      <c r="A143" s="230"/>
      <c r="B143" s="233"/>
      <c r="C143" s="61" t="s">
        <v>172</v>
      </c>
      <c r="D143" s="62" t="s">
        <v>101</v>
      </c>
      <c r="E143" s="60">
        <v>52</v>
      </c>
      <c r="F143" s="60">
        <v>52</v>
      </c>
      <c r="G143" s="59">
        <f t="shared" si="82"/>
        <v>52</v>
      </c>
      <c r="H143" s="60">
        <v>52</v>
      </c>
      <c r="I143" s="60">
        <v>52</v>
      </c>
      <c r="J143" s="107">
        <f>SUM(K143:M143)</f>
        <v>105495.09714600001</v>
      </c>
      <c r="K143" s="107">
        <f>83400.57+1985.12</f>
        <v>85385.69</v>
      </c>
      <c r="L143" s="70">
        <f>4001.99*2.3654</f>
        <v>9466.307146000001</v>
      </c>
      <c r="M143" s="70">
        <v>10643.1</v>
      </c>
      <c r="N143" s="73">
        <f>SUM(O143:R143)</f>
        <v>5485987.5515919998</v>
      </c>
      <c r="O143" s="73">
        <f>G143*K143</f>
        <v>4440055.88</v>
      </c>
      <c r="P143" s="73">
        <f>G143*L143+243.1</f>
        <v>492491.07159200002</v>
      </c>
      <c r="Q143" s="73"/>
      <c r="R143" s="75">
        <f>G143*M143-0.6</f>
        <v>553440.60000000009</v>
      </c>
      <c r="S143" s="75"/>
      <c r="T143" s="75">
        <f>N143</f>
        <v>5485987.5515919998</v>
      </c>
      <c r="U143" s="75">
        <f>T143</f>
        <v>5485987.5515919998</v>
      </c>
    </row>
    <row r="144" spans="1:21" ht="90" x14ac:dyDescent="0.25">
      <c r="A144" s="230"/>
      <c r="B144" s="233"/>
      <c r="C144" s="63" t="s">
        <v>102</v>
      </c>
      <c r="D144" s="64" t="s">
        <v>101</v>
      </c>
      <c r="E144" s="59" t="s">
        <v>104</v>
      </c>
      <c r="F144" s="59" t="s">
        <v>104</v>
      </c>
      <c r="G144" s="59" t="s">
        <v>104</v>
      </c>
      <c r="H144" s="59" t="s">
        <v>104</v>
      </c>
      <c r="I144" s="59" t="s">
        <v>104</v>
      </c>
      <c r="J144" s="59" t="s">
        <v>104</v>
      </c>
      <c r="K144" s="59" t="s">
        <v>104</v>
      </c>
      <c r="L144" s="59" t="s">
        <v>104</v>
      </c>
      <c r="M144" s="59" t="s">
        <v>104</v>
      </c>
      <c r="N144" s="71"/>
      <c r="O144" s="71"/>
      <c r="P144" s="59" t="s">
        <v>104</v>
      </c>
      <c r="Q144" s="59"/>
      <c r="R144" s="59" t="s">
        <v>104</v>
      </c>
      <c r="S144" s="59"/>
      <c r="T144" s="75"/>
      <c r="U144" s="75"/>
    </row>
    <row r="145" spans="1:23" x14ac:dyDescent="0.25">
      <c r="A145" s="230"/>
      <c r="B145" s="233"/>
      <c r="C145" s="63" t="s">
        <v>168</v>
      </c>
      <c r="D145" s="64" t="s">
        <v>101</v>
      </c>
      <c r="E145" s="60"/>
      <c r="F145" s="60"/>
      <c r="G145" s="59">
        <f t="shared" si="82"/>
        <v>0</v>
      </c>
      <c r="H145" s="60"/>
      <c r="I145" s="60"/>
      <c r="J145" s="75">
        <f>K145</f>
        <v>23553.439999999999</v>
      </c>
      <c r="K145" s="75">
        <v>23553.439999999999</v>
      </c>
      <c r="L145" s="59" t="s">
        <v>104</v>
      </c>
      <c r="M145" s="59" t="s">
        <v>104</v>
      </c>
      <c r="N145" s="71">
        <f>O145</f>
        <v>0</v>
      </c>
      <c r="O145" s="71">
        <f>G145*K145</f>
        <v>0</v>
      </c>
      <c r="P145" s="59" t="s">
        <v>104</v>
      </c>
      <c r="Q145" s="59"/>
      <c r="R145" s="59" t="s">
        <v>104</v>
      </c>
      <c r="S145" s="59"/>
      <c r="T145" s="75">
        <f>H145*K145</f>
        <v>0</v>
      </c>
      <c r="U145" s="75">
        <f>I145*K145</f>
        <v>0</v>
      </c>
    </row>
    <row r="146" spans="1:23" ht="120" x14ac:dyDescent="0.25">
      <c r="A146" s="230"/>
      <c r="B146" s="233"/>
      <c r="C146" s="61" t="s">
        <v>105</v>
      </c>
      <c r="D146" s="64" t="s">
        <v>101</v>
      </c>
      <c r="E146" s="60"/>
      <c r="F146" s="60"/>
      <c r="G146" s="59">
        <f t="shared" si="82"/>
        <v>0</v>
      </c>
      <c r="H146" s="60"/>
      <c r="I146" s="60"/>
      <c r="J146" s="75">
        <f>SUM(K146:M146)</f>
        <v>203496.87714600001</v>
      </c>
      <c r="K146" s="75">
        <f>181402.35+1985.12</f>
        <v>183387.47</v>
      </c>
      <c r="L146" s="72">
        <f>4001.99*2.3654</f>
        <v>9466.307146000001</v>
      </c>
      <c r="M146" s="70">
        <v>10643.1</v>
      </c>
      <c r="N146" s="73"/>
      <c r="O146" s="73"/>
      <c r="P146" s="73"/>
      <c r="Q146" s="73"/>
      <c r="R146" s="73"/>
      <c r="S146" s="73"/>
      <c r="T146" s="75">
        <f t="shared" si="88"/>
        <v>0</v>
      </c>
      <c r="U146" s="75">
        <f t="shared" si="89"/>
        <v>0</v>
      </c>
    </row>
    <row r="147" spans="1:23" x14ac:dyDescent="0.25">
      <c r="A147" s="230"/>
      <c r="B147" s="234"/>
      <c r="C147" s="66" t="s">
        <v>106</v>
      </c>
      <c r="D147" s="64"/>
      <c r="E147" s="60">
        <f>E142+E146</f>
        <v>53</v>
      </c>
      <c r="F147" s="60">
        <f t="shared" ref="F147:I147" si="93">F142+F146</f>
        <v>53</v>
      </c>
      <c r="G147" s="60">
        <f t="shared" si="93"/>
        <v>53</v>
      </c>
      <c r="H147" s="60">
        <f t="shared" si="93"/>
        <v>53</v>
      </c>
      <c r="I147" s="60">
        <f t="shared" si="93"/>
        <v>53</v>
      </c>
      <c r="J147" s="73" t="s">
        <v>104</v>
      </c>
      <c r="K147" s="73" t="s">
        <v>104</v>
      </c>
      <c r="L147" s="74" t="s">
        <v>104</v>
      </c>
      <c r="M147" s="74" t="s">
        <v>104</v>
      </c>
      <c r="N147" s="74">
        <f>SUM(N142:N146)</f>
        <v>8835568.8503299989</v>
      </c>
      <c r="O147" s="74">
        <f t="shared" ref="O147:U147" si="94">SUM(O142:O146)</f>
        <v>6723838.5999999996</v>
      </c>
      <c r="P147" s="74">
        <f t="shared" si="94"/>
        <v>994205.35033000004</v>
      </c>
      <c r="Q147" s="74"/>
      <c r="R147" s="74">
        <f t="shared" si="94"/>
        <v>1117524.9000000001</v>
      </c>
      <c r="S147" s="74"/>
      <c r="T147" s="74">
        <f>SUM(T142:T146)</f>
        <v>8835568.8503299989</v>
      </c>
      <c r="U147" s="74">
        <f t="shared" si="94"/>
        <v>8835568.8503299989</v>
      </c>
    </row>
    <row r="148" spans="1:23" ht="102" customHeight="1" x14ac:dyDescent="0.25">
      <c r="A148" s="230"/>
      <c r="B148" s="137" t="s">
        <v>252</v>
      </c>
      <c r="C148" s="61" t="s">
        <v>187</v>
      </c>
      <c r="D148" s="64" t="s">
        <v>101</v>
      </c>
      <c r="E148" s="60">
        <v>1235</v>
      </c>
      <c r="F148" s="60">
        <v>1235</v>
      </c>
      <c r="G148" s="59">
        <f t="shared" si="82"/>
        <v>1235</v>
      </c>
      <c r="H148" s="60">
        <v>1235</v>
      </c>
      <c r="I148" s="60">
        <v>1235</v>
      </c>
      <c r="J148" s="75">
        <f>K148</f>
        <v>2807.3</v>
      </c>
      <c r="K148" s="75">
        <v>2807.3</v>
      </c>
      <c r="L148" s="72" t="s">
        <v>104</v>
      </c>
      <c r="M148" s="72" t="s">
        <v>104</v>
      </c>
      <c r="N148" s="73">
        <f>SUM(O148:R148)</f>
        <v>3467015</v>
      </c>
      <c r="O148" s="73">
        <f>G148*K148-0.5</f>
        <v>3467015</v>
      </c>
      <c r="P148" s="73" t="s">
        <v>104</v>
      </c>
      <c r="Q148" s="73"/>
      <c r="R148" s="73" t="s">
        <v>104</v>
      </c>
      <c r="S148" s="73"/>
      <c r="T148" s="75">
        <f>N148</f>
        <v>3467015</v>
      </c>
      <c r="U148" s="75">
        <f>T148</f>
        <v>3467015</v>
      </c>
    </row>
    <row r="149" spans="1:23" x14ac:dyDescent="0.25">
      <c r="A149" s="230"/>
      <c r="B149" s="69"/>
      <c r="C149" s="66" t="s">
        <v>106</v>
      </c>
      <c r="D149" s="69"/>
      <c r="E149" s="60">
        <f>SUM(E148:E148)</f>
        <v>1235</v>
      </c>
      <c r="F149" s="60">
        <f>SUM(F148:F148)</f>
        <v>1235</v>
      </c>
      <c r="G149" s="60">
        <f>SUM(G148:G148)</f>
        <v>1235</v>
      </c>
      <c r="H149" s="60">
        <f>SUM(H148:H148)</f>
        <v>1235</v>
      </c>
      <c r="I149" s="60">
        <f>SUM(I148:I148)</f>
        <v>1235</v>
      </c>
      <c r="J149" s="73" t="s">
        <v>104</v>
      </c>
      <c r="K149" s="73" t="s">
        <v>104</v>
      </c>
      <c r="L149" s="74" t="s">
        <v>104</v>
      </c>
      <c r="M149" s="74">
        <f t="shared" ref="M149:U149" si="95">SUM(M148:M148)</f>
        <v>0</v>
      </c>
      <c r="N149" s="74">
        <f t="shared" si="95"/>
        <v>3467015</v>
      </c>
      <c r="O149" s="74">
        <f t="shared" si="95"/>
        <v>3467015</v>
      </c>
      <c r="P149" s="74">
        <f t="shared" si="95"/>
        <v>0</v>
      </c>
      <c r="Q149" s="74"/>
      <c r="R149" s="74">
        <f t="shared" si="95"/>
        <v>0</v>
      </c>
      <c r="S149" s="74"/>
      <c r="T149" s="75">
        <f>N149</f>
        <v>3467015</v>
      </c>
      <c r="U149" s="75">
        <f t="shared" si="95"/>
        <v>3467015</v>
      </c>
    </row>
    <row r="150" spans="1:23" x14ac:dyDescent="0.25">
      <c r="A150" s="230"/>
      <c r="B150" s="89" t="s">
        <v>225</v>
      </c>
      <c r="C150" s="189" t="s">
        <v>219</v>
      </c>
      <c r="D150" s="64" t="s">
        <v>101</v>
      </c>
      <c r="E150" s="60"/>
      <c r="F150" s="60"/>
      <c r="G150" s="60">
        <v>4</v>
      </c>
      <c r="H150" s="60">
        <v>4</v>
      </c>
      <c r="I150" s="60">
        <v>4</v>
      </c>
      <c r="J150" s="73"/>
      <c r="K150" s="73"/>
      <c r="L150" s="74"/>
      <c r="M150" s="74"/>
      <c r="N150" s="74">
        <f>S150</f>
        <v>155400</v>
      </c>
      <c r="O150" s="74"/>
      <c r="P150" s="74"/>
      <c r="Q150" s="74"/>
      <c r="R150" s="74"/>
      <c r="S150" s="74">
        <v>155400</v>
      </c>
      <c r="T150" s="75">
        <f>S150</f>
        <v>155400</v>
      </c>
      <c r="U150" s="75">
        <f>T150</f>
        <v>155400</v>
      </c>
    </row>
    <row r="151" spans="1:23" x14ac:dyDescent="0.25">
      <c r="A151" s="230"/>
      <c r="B151" s="89" t="s">
        <v>225</v>
      </c>
      <c r="C151" s="189" t="s">
        <v>226</v>
      </c>
      <c r="D151" s="64" t="s">
        <v>101</v>
      </c>
      <c r="E151" s="60"/>
      <c r="F151" s="60"/>
      <c r="G151" s="60"/>
      <c r="H151" s="60"/>
      <c r="I151" s="60"/>
      <c r="J151" s="73"/>
      <c r="K151" s="73"/>
      <c r="L151" s="74"/>
      <c r="M151" s="74"/>
      <c r="N151" s="74"/>
      <c r="O151" s="74"/>
      <c r="P151" s="74"/>
      <c r="Q151" s="74"/>
      <c r="R151" s="74"/>
      <c r="S151" s="74"/>
      <c r="T151" s="75">
        <f>Q151</f>
        <v>0</v>
      </c>
      <c r="U151" s="75">
        <f>T151</f>
        <v>0</v>
      </c>
    </row>
    <row r="152" spans="1:23" x14ac:dyDescent="0.25">
      <c r="A152" s="230"/>
      <c r="B152" s="101" t="s">
        <v>112</v>
      </c>
      <c r="C152" s="101"/>
      <c r="D152" s="69"/>
      <c r="E152" s="102"/>
      <c r="F152" s="102"/>
      <c r="G152" s="102"/>
      <c r="H152" s="102"/>
      <c r="I152" s="102"/>
      <c r="J152" s="104"/>
      <c r="K152" s="104"/>
      <c r="L152" s="103"/>
      <c r="M152" s="103"/>
      <c r="N152" s="103">
        <f>SUM(O152:S152)</f>
        <v>50633147.802596003</v>
      </c>
      <c r="O152" s="103">
        <f t="shared" ref="O152:R152" si="96">O132+O141+O147+O149</f>
        <v>33867135</v>
      </c>
      <c r="P152" s="103">
        <f t="shared" si="96"/>
        <v>7819412.802596001</v>
      </c>
      <c r="Q152" s="103">
        <f>Q151</f>
        <v>0</v>
      </c>
      <c r="R152" s="103">
        <f t="shared" si="96"/>
        <v>8791200</v>
      </c>
      <c r="S152" s="103">
        <f>S150</f>
        <v>155400</v>
      </c>
      <c r="T152" s="103">
        <f>T132+T141+T147+T149+T150+T151</f>
        <v>50633147.802596003</v>
      </c>
      <c r="U152" s="103">
        <f>U132+U141+U147+U149+U150+U151</f>
        <v>50633147.802596003</v>
      </c>
    </row>
    <row r="153" spans="1:23" ht="225" x14ac:dyDescent="0.25">
      <c r="A153" s="230" t="s">
        <v>119</v>
      </c>
      <c r="B153" s="231" t="s">
        <v>249</v>
      </c>
      <c r="C153" s="61" t="s">
        <v>120</v>
      </c>
      <c r="D153" s="62" t="s">
        <v>121</v>
      </c>
      <c r="E153" s="121" t="s">
        <v>192</v>
      </c>
      <c r="F153" s="121" t="s">
        <v>192</v>
      </c>
      <c r="G153" s="121" t="s">
        <v>192</v>
      </c>
      <c r="H153" s="121" t="s">
        <v>192</v>
      </c>
      <c r="I153" s="121" t="s">
        <v>192</v>
      </c>
      <c r="J153" s="107" t="s">
        <v>247</v>
      </c>
      <c r="K153" s="107" t="s">
        <v>248</v>
      </c>
      <c r="L153" s="70" t="s">
        <v>234</v>
      </c>
      <c r="M153" s="70" t="s">
        <v>233</v>
      </c>
      <c r="N153" s="71">
        <f>SUM(O153:R153)</f>
        <v>3435743.6387820002</v>
      </c>
      <c r="O153" s="71">
        <f>(648495.11*3)+((1342.39*67)/12*8+(1342.39*67)/12*4)+1.62</f>
        <v>2035427.08</v>
      </c>
      <c r="P153" s="71">
        <f>((4001.99*2.3654*67)/12*8)+((4001.99*2.3654*67)/12*4)</f>
        <v>634242.57878200011</v>
      </c>
      <c r="Q153" s="71"/>
      <c r="R153" s="75">
        <f>((11433.94*67)/12*8)+((11433.94*67)/12*4)</f>
        <v>766073.98</v>
      </c>
      <c r="S153" s="75"/>
      <c r="T153" s="75">
        <f>N153</f>
        <v>3435743.6387820002</v>
      </c>
      <c r="U153" s="75">
        <f>T153</f>
        <v>3435743.6387820002</v>
      </c>
      <c r="W153" s="80">
        <f>12300.53*67</f>
        <v>824135.51</v>
      </c>
    </row>
    <row r="154" spans="1:23" ht="225" x14ac:dyDescent="0.25">
      <c r="A154" s="230"/>
      <c r="B154" s="231"/>
      <c r="C154" s="61" t="s">
        <v>128</v>
      </c>
      <c r="D154" s="62" t="s">
        <v>121</v>
      </c>
      <c r="E154" s="121" t="s">
        <v>193</v>
      </c>
      <c r="F154" s="121" t="s">
        <v>193</v>
      </c>
      <c r="G154" s="121" t="s">
        <v>193</v>
      </c>
      <c r="H154" s="121" t="s">
        <v>193</v>
      </c>
      <c r="I154" s="121" t="s">
        <v>193</v>
      </c>
      <c r="J154" s="107" t="s">
        <v>215</v>
      </c>
      <c r="K154" s="107" t="s">
        <v>243</v>
      </c>
      <c r="L154" s="70" t="s">
        <v>234</v>
      </c>
      <c r="M154" s="70" t="s">
        <v>233</v>
      </c>
      <c r="N154" s="71">
        <f t="shared" ref="N154:N160" si="97">SUM(O154:R154)</f>
        <v>1051522.2657740002</v>
      </c>
      <c r="O154" s="71">
        <f>(((628912.16*1)/12*8+(628912.16*1)/12*4)+((1342.39*19)/12*8+(1342.39*19)/12*4))</f>
        <v>654417.57000000007</v>
      </c>
      <c r="P154" s="71">
        <f>((4001.99*2.3654*19)/12*8)+((4001.99*2.3654*19)/12*4)</f>
        <v>179859.83577400001</v>
      </c>
      <c r="Q154" s="71"/>
      <c r="R154" s="75">
        <f>((11433.94*19)/12*8)+((11433.94*19)/12*4)</f>
        <v>217244.86000000002</v>
      </c>
      <c r="S154" s="75"/>
      <c r="T154" s="75">
        <f>N154</f>
        <v>1051522.2657740002</v>
      </c>
      <c r="U154" s="75">
        <f>T154</f>
        <v>1051522.2657740002</v>
      </c>
      <c r="W154" s="80">
        <f>12300.53*19</f>
        <v>233710.07</v>
      </c>
    </row>
    <row r="155" spans="1:23" ht="90" x14ac:dyDescent="0.25">
      <c r="A155" s="230"/>
      <c r="B155" s="231"/>
      <c r="C155" s="63" t="s">
        <v>102</v>
      </c>
      <c r="D155" s="64" t="s">
        <v>101</v>
      </c>
      <c r="E155" s="65"/>
      <c r="F155" s="65"/>
      <c r="G155" s="65"/>
      <c r="H155" s="65"/>
      <c r="I155" s="65"/>
      <c r="J155" s="150" t="s">
        <v>103</v>
      </c>
      <c r="K155" s="150" t="s">
        <v>103</v>
      </c>
      <c r="L155" s="150" t="s">
        <v>103</v>
      </c>
      <c r="M155" s="150" t="s">
        <v>103</v>
      </c>
      <c r="N155" s="150" t="s">
        <v>103</v>
      </c>
      <c r="O155" s="150" t="s">
        <v>103</v>
      </c>
      <c r="P155" s="150" t="s">
        <v>103</v>
      </c>
      <c r="Q155" s="150"/>
      <c r="R155" s="150" t="s">
        <v>103</v>
      </c>
      <c r="S155" s="150"/>
      <c r="T155" s="150" t="s">
        <v>103</v>
      </c>
      <c r="U155" s="150" t="s">
        <v>103</v>
      </c>
    </row>
    <row r="156" spans="1:23" x14ac:dyDescent="0.25">
      <c r="A156" s="230"/>
      <c r="B156" s="231"/>
      <c r="C156" s="63" t="s">
        <v>166</v>
      </c>
      <c r="D156" s="64" t="s">
        <v>101</v>
      </c>
      <c r="E156" s="59">
        <v>2</v>
      </c>
      <c r="F156" s="59">
        <v>2</v>
      </c>
      <c r="G156" s="59">
        <f t="shared" ref="G156:G157" si="98">((E156*8)+(F156*4))/12</f>
        <v>2</v>
      </c>
      <c r="H156" s="59">
        <v>2</v>
      </c>
      <c r="I156" s="59">
        <v>2</v>
      </c>
      <c r="J156" s="75">
        <f>K156</f>
        <v>80183.77</v>
      </c>
      <c r="K156" s="75">
        <v>80183.77</v>
      </c>
      <c r="L156" s="72"/>
      <c r="M156" s="72"/>
      <c r="N156" s="71"/>
      <c r="O156" s="71">
        <f>G156*K156</f>
        <v>160367.54</v>
      </c>
      <c r="P156" s="71"/>
      <c r="Q156" s="71"/>
      <c r="R156" s="118"/>
      <c r="S156" s="118"/>
      <c r="T156" s="75">
        <f>K156*G156</f>
        <v>160367.54</v>
      </c>
      <c r="U156" s="75">
        <f>T156</f>
        <v>160367.54</v>
      </c>
    </row>
    <row r="157" spans="1:23" ht="105" x14ac:dyDescent="0.25">
      <c r="A157" s="230"/>
      <c r="B157" s="231"/>
      <c r="C157" s="61" t="s">
        <v>174</v>
      </c>
      <c r="D157" s="64" t="s">
        <v>101</v>
      </c>
      <c r="E157" s="59"/>
      <c r="F157" s="59"/>
      <c r="G157" s="59">
        <f t="shared" si="98"/>
        <v>0</v>
      </c>
      <c r="H157" s="59"/>
      <c r="I157" s="59"/>
      <c r="J157" s="75">
        <f>K157</f>
        <v>25930.91</v>
      </c>
      <c r="K157" s="75">
        <v>25930.91</v>
      </c>
      <c r="L157" s="71" t="s">
        <v>104</v>
      </c>
      <c r="M157" s="71" t="s">
        <v>104</v>
      </c>
      <c r="N157" s="71">
        <f>O157</f>
        <v>0</v>
      </c>
      <c r="O157" s="71">
        <f>G157*K157</f>
        <v>0</v>
      </c>
      <c r="P157" s="71" t="s">
        <v>104</v>
      </c>
      <c r="Q157" s="71"/>
      <c r="R157" s="118" t="s">
        <v>104</v>
      </c>
      <c r="S157" s="118"/>
      <c r="T157" s="75">
        <f>H157*K157</f>
        <v>0</v>
      </c>
      <c r="U157" s="75">
        <f>I157*K157</f>
        <v>0</v>
      </c>
    </row>
    <row r="158" spans="1:23" x14ac:dyDescent="0.25">
      <c r="A158" s="230"/>
      <c r="B158" s="231"/>
      <c r="C158" s="66" t="s">
        <v>106</v>
      </c>
      <c r="D158" s="67"/>
      <c r="E158" s="121" t="s">
        <v>198</v>
      </c>
      <c r="F158" s="121" t="s">
        <v>198</v>
      </c>
      <c r="G158" s="121" t="s">
        <v>198</v>
      </c>
      <c r="H158" s="121" t="s">
        <v>198</v>
      </c>
      <c r="I158" s="121" t="s">
        <v>198</v>
      </c>
      <c r="J158" s="71" t="s">
        <v>104</v>
      </c>
      <c r="K158" s="71" t="s">
        <v>104</v>
      </c>
      <c r="L158" s="71" t="s">
        <v>104</v>
      </c>
      <c r="M158" s="71" t="s">
        <v>104</v>
      </c>
      <c r="N158" s="71">
        <f>SUM(O158:R158)</f>
        <v>4647633.4445560006</v>
      </c>
      <c r="O158" s="71">
        <f>SUM(O153:O157)</f>
        <v>2850212.1900000004</v>
      </c>
      <c r="P158" s="71">
        <f>SUM(P153:P157)</f>
        <v>814102.41455600015</v>
      </c>
      <c r="Q158" s="71"/>
      <c r="R158" s="71">
        <f t="shared" ref="R158:U158" si="99">SUM(R153:R157)</f>
        <v>983318.84</v>
      </c>
      <c r="S158" s="71"/>
      <c r="T158" s="71">
        <f t="shared" si="99"/>
        <v>4647633.4445560006</v>
      </c>
      <c r="U158" s="71">
        <f t="shared" si="99"/>
        <v>4647633.4445560006</v>
      </c>
    </row>
    <row r="159" spans="1:23" ht="225" x14ac:dyDescent="0.25">
      <c r="A159" s="230"/>
      <c r="B159" s="231" t="s">
        <v>250</v>
      </c>
      <c r="C159" s="61" t="s">
        <v>120</v>
      </c>
      <c r="D159" s="62" t="s">
        <v>121</v>
      </c>
      <c r="E159" s="121" t="s">
        <v>198</v>
      </c>
      <c r="F159" s="121" t="s">
        <v>198</v>
      </c>
      <c r="G159" s="121" t="s">
        <v>198</v>
      </c>
      <c r="H159" s="121" t="s">
        <v>198</v>
      </c>
      <c r="I159" s="121" t="s">
        <v>198</v>
      </c>
      <c r="J159" s="107" t="s">
        <v>216</v>
      </c>
      <c r="K159" s="107" t="s">
        <v>244</v>
      </c>
      <c r="L159" s="70" t="s">
        <v>234</v>
      </c>
      <c r="M159" s="70" t="s">
        <v>233</v>
      </c>
      <c r="N159" s="71">
        <f t="shared" si="97"/>
        <v>5911306.3345560003</v>
      </c>
      <c r="O159" s="71">
        <f>(((993246.1*4)/12*8+(993246.1*4)/12*4)+((1638.38*86)/12*8+(1638.38*86)/12*4))</f>
        <v>4113885.08</v>
      </c>
      <c r="P159" s="71">
        <f>((4001.99*2.3654*86)/12*8)+((4001.99*2.3654*86)/12*4)</f>
        <v>814102.41455599992</v>
      </c>
      <c r="Q159" s="71"/>
      <c r="R159" s="71">
        <f>((11433.94*86)/12*8)+((11433.94*86)/12*4)</f>
        <v>983318.84000000008</v>
      </c>
      <c r="S159" s="71"/>
      <c r="T159" s="75">
        <f>N159</f>
        <v>5911306.3345560003</v>
      </c>
      <c r="U159" s="75">
        <f>T159</f>
        <v>5911306.3345560003</v>
      </c>
      <c r="V159" s="124"/>
      <c r="W159" s="80">
        <f>12300.53*86</f>
        <v>1057845.58</v>
      </c>
    </row>
    <row r="160" spans="1:23" ht="225" x14ac:dyDescent="0.25">
      <c r="A160" s="230"/>
      <c r="B160" s="231"/>
      <c r="C160" s="61" t="s">
        <v>128</v>
      </c>
      <c r="D160" s="62" t="s">
        <v>121</v>
      </c>
      <c r="E160" s="79" t="s">
        <v>199</v>
      </c>
      <c r="F160" s="79" t="s">
        <v>199</v>
      </c>
      <c r="G160" s="79" t="s">
        <v>199</v>
      </c>
      <c r="H160" s="79" t="s">
        <v>199</v>
      </c>
      <c r="I160" s="79" t="s">
        <v>199</v>
      </c>
      <c r="J160" s="107" t="s">
        <v>217</v>
      </c>
      <c r="K160" s="107" t="s">
        <v>245</v>
      </c>
      <c r="L160" s="70" t="s">
        <v>234</v>
      </c>
      <c r="M160" s="70" t="s">
        <v>233</v>
      </c>
      <c r="N160" s="71">
        <f t="shared" si="97"/>
        <v>2228246.7472339999</v>
      </c>
      <c r="O160" s="71">
        <f>(((787313.28*2)/12*8+(787313.28*2)/12*4)+((1638.38*29)/12*8+(1638.38*29)/12*4))</f>
        <v>1622139.58</v>
      </c>
      <c r="P160" s="71">
        <f>((4001.99*2.3654*29)/12*8)+((4001.99*2.3654*29)/12*4)</f>
        <v>274522.90723400004</v>
      </c>
      <c r="Q160" s="71"/>
      <c r="R160" s="71">
        <f>((11433.94*29)/12*8)+((11433.94*29)/12*4)</f>
        <v>331584.26</v>
      </c>
      <c r="S160" s="71"/>
      <c r="T160" s="75">
        <f>N160</f>
        <v>2228246.7472339999</v>
      </c>
      <c r="U160" s="75">
        <f>T160</f>
        <v>2228246.7472339999</v>
      </c>
      <c r="W160" s="80">
        <f>12300.53*29</f>
        <v>356715.37</v>
      </c>
    </row>
    <row r="161" spans="1:23" ht="90" x14ac:dyDescent="0.25">
      <c r="A161" s="230"/>
      <c r="B161" s="231"/>
      <c r="C161" s="63" t="s">
        <v>163</v>
      </c>
      <c r="D161" s="64" t="s">
        <v>101</v>
      </c>
      <c r="E161" s="59" t="s">
        <v>104</v>
      </c>
      <c r="F161" s="59" t="s">
        <v>104</v>
      </c>
      <c r="G161" s="59" t="s">
        <v>104</v>
      </c>
      <c r="H161" s="59" t="s">
        <v>104</v>
      </c>
      <c r="I161" s="59" t="s">
        <v>104</v>
      </c>
      <c r="J161" s="59" t="s">
        <v>104</v>
      </c>
      <c r="K161" s="59" t="s">
        <v>104</v>
      </c>
      <c r="L161" s="59" t="s">
        <v>104</v>
      </c>
      <c r="M161" s="59" t="s">
        <v>104</v>
      </c>
      <c r="N161" s="71"/>
      <c r="O161" s="71"/>
      <c r="P161" s="59" t="s">
        <v>104</v>
      </c>
      <c r="Q161" s="59"/>
      <c r="R161" s="59" t="s">
        <v>104</v>
      </c>
      <c r="S161" s="59"/>
      <c r="T161" s="75"/>
      <c r="U161" s="75"/>
    </row>
    <row r="162" spans="1:23" x14ac:dyDescent="0.25">
      <c r="A162" s="230"/>
      <c r="B162" s="201"/>
      <c r="C162" s="63" t="s">
        <v>165</v>
      </c>
      <c r="D162" s="64"/>
      <c r="E162" s="60">
        <v>1</v>
      </c>
      <c r="F162" s="60">
        <v>1</v>
      </c>
      <c r="G162" s="59">
        <f t="shared" ref="G162:G165" si="100">((E162*8)+(F162*4))/12</f>
        <v>1</v>
      </c>
      <c r="H162" s="60">
        <v>1</v>
      </c>
      <c r="I162" s="60">
        <v>1</v>
      </c>
      <c r="J162" s="75">
        <f>K162</f>
        <v>112063.65</v>
      </c>
      <c r="K162" s="75">
        <v>112063.65</v>
      </c>
      <c r="L162" s="59" t="s">
        <v>104</v>
      </c>
      <c r="M162" s="59" t="s">
        <v>104</v>
      </c>
      <c r="N162" s="71">
        <f>O162</f>
        <v>112063.65</v>
      </c>
      <c r="O162" s="73">
        <f>G162*K162</f>
        <v>112063.65</v>
      </c>
      <c r="P162" s="59" t="s">
        <v>104</v>
      </c>
      <c r="Q162" s="59"/>
      <c r="R162" s="59" t="s">
        <v>104</v>
      </c>
      <c r="S162" s="59"/>
      <c r="T162" s="75">
        <f>H162*K162</f>
        <v>112063.65</v>
      </c>
      <c r="U162" s="75">
        <f>I162*K162</f>
        <v>112063.65</v>
      </c>
    </row>
    <row r="163" spans="1:23" x14ac:dyDescent="0.25">
      <c r="A163" s="230"/>
      <c r="B163" s="201"/>
      <c r="C163" s="63" t="s">
        <v>168</v>
      </c>
      <c r="D163" s="64"/>
      <c r="E163" s="60">
        <v>1</v>
      </c>
      <c r="F163" s="60">
        <v>1</v>
      </c>
      <c r="G163" s="59">
        <f t="shared" si="100"/>
        <v>1</v>
      </c>
      <c r="H163" s="60">
        <v>1</v>
      </c>
      <c r="I163" s="60">
        <v>1</v>
      </c>
      <c r="J163" s="75">
        <f>K163</f>
        <v>28342.92</v>
      </c>
      <c r="K163" s="75">
        <v>28342.92</v>
      </c>
      <c r="L163" s="105" t="s">
        <v>104</v>
      </c>
      <c r="M163" s="59" t="s">
        <v>104</v>
      </c>
      <c r="N163" s="71">
        <f>O163</f>
        <v>28342.92</v>
      </c>
      <c r="O163" s="73">
        <f>G163*K163</f>
        <v>28342.92</v>
      </c>
      <c r="P163" s="59" t="s">
        <v>104</v>
      </c>
      <c r="Q163" s="59"/>
      <c r="R163" s="59" t="s">
        <v>104</v>
      </c>
      <c r="S163" s="59"/>
      <c r="T163" s="75">
        <f>H163*K163</f>
        <v>28342.92</v>
      </c>
      <c r="U163" s="75">
        <f>I163*K163</f>
        <v>28342.92</v>
      </c>
    </row>
    <row r="164" spans="1:23" ht="120" x14ac:dyDescent="0.25">
      <c r="A164" s="230"/>
      <c r="B164" s="201"/>
      <c r="C164" s="76" t="s">
        <v>173</v>
      </c>
      <c r="D164" s="64" t="s">
        <v>101</v>
      </c>
      <c r="E164" s="79">
        <v>1</v>
      </c>
      <c r="F164" s="79">
        <v>1</v>
      </c>
      <c r="G164" s="59">
        <f t="shared" si="100"/>
        <v>1</v>
      </c>
      <c r="H164" s="79">
        <v>1</v>
      </c>
      <c r="I164" s="79">
        <v>1</v>
      </c>
      <c r="J164" s="75">
        <f>SUM(K164:M164)</f>
        <v>225910.62</v>
      </c>
      <c r="K164" s="75">
        <f>225910.62</f>
        <v>225910.62</v>
      </c>
      <c r="L164" s="70" t="s">
        <v>234</v>
      </c>
      <c r="M164" s="70" t="s">
        <v>233</v>
      </c>
      <c r="N164" s="73">
        <f>SUM(O164:R164)</f>
        <v>246810.867146</v>
      </c>
      <c r="O164" s="73">
        <f>G164*K164</f>
        <v>225910.62</v>
      </c>
      <c r="P164" s="73">
        <f>G164*4001.99*2.3654</f>
        <v>9466.307146000001</v>
      </c>
      <c r="Q164" s="73"/>
      <c r="R164" s="73">
        <f>G164*11433.94</f>
        <v>11433.94</v>
      </c>
      <c r="S164" s="73"/>
      <c r="T164" s="75">
        <f>N164</f>
        <v>246810.867146</v>
      </c>
      <c r="U164" s="75">
        <f>T164</f>
        <v>246810.867146</v>
      </c>
    </row>
    <row r="165" spans="1:23" ht="105" x14ac:dyDescent="0.25">
      <c r="A165" s="230"/>
      <c r="B165" s="201"/>
      <c r="C165" s="61" t="s">
        <v>174</v>
      </c>
      <c r="D165" s="64" t="s">
        <v>101</v>
      </c>
      <c r="E165" s="79">
        <v>1</v>
      </c>
      <c r="F165" s="79">
        <v>1</v>
      </c>
      <c r="G165" s="59">
        <f t="shared" si="100"/>
        <v>1</v>
      </c>
      <c r="H165" s="79">
        <v>1</v>
      </c>
      <c r="I165" s="79">
        <v>1</v>
      </c>
      <c r="J165" s="75">
        <f>K165</f>
        <v>42695.67</v>
      </c>
      <c r="K165" s="75">
        <f>41057.29+1638.38</f>
        <v>42695.67</v>
      </c>
      <c r="L165" s="74"/>
      <c r="M165" s="74"/>
      <c r="N165" s="73">
        <f>O165</f>
        <v>42695.67</v>
      </c>
      <c r="O165" s="73">
        <f>G165*K165</f>
        <v>42695.67</v>
      </c>
      <c r="P165" s="73"/>
      <c r="Q165" s="73"/>
      <c r="R165" s="73"/>
      <c r="S165" s="73"/>
      <c r="T165" s="75">
        <f>H165*K165</f>
        <v>42695.67</v>
      </c>
      <c r="U165" s="75">
        <f>I165*K165</f>
        <v>42695.67</v>
      </c>
    </row>
    <row r="166" spans="1:23" x14ac:dyDescent="0.25">
      <c r="A166" s="230"/>
      <c r="B166" s="201"/>
      <c r="C166" s="66" t="s">
        <v>106</v>
      </c>
      <c r="D166" s="64"/>
      <c r="E166" s="77" t="s">
        <v>202</v>
      </c>
      <c r="F166" s="77" t="s">
        <v>202</v>
      </c>
      <c r="G166" s="77" t="s">
        <v>202</v>
      </c>
      <c r="H166" s="77" t="s">
        <v>202</v>
      </c>
      <c r="I166" s="77" t="s">
        <v>202</v>
      </c>
      <c r="J166" s="73" t="s">
        <v>104</v>
      </c>
      <c r="K166" s="73" t="s">
        <v>104</v>
      </c>
      <c r="L166" s="74" t="s">
        <v>104</v>
      </c>
      <c r="M166" s="74" t="s">
        <v>104</v>
      </c>
      <c r="N166" s="74">
        <f>SUM(O166:R166)</f>
        <v>8569466.1889360007</v>
      </c>
      <c r="O166" s="74">
        <f>SUM(O159:O165)</f>
        <v>6145037.5200000005</v>
      </c>
      <c r="P166" s="74">
        <f>SUM(P159:P165)</f>
        <v>1098091.6289359999</v>
      </c>
      <c r="Q166" s="74"/>
      <c r="R166" s="74">
        <f t="shared" ref="R166" si="101">SUM(R159:R165)</f>
        <v>1326337.04</v>
      </c>
      <c r="S166" s="74"/>
      <c r="T166" s="74">
        <f>N166</f>
        <v>8569466.1889360007</v>
      </c>
      <c r="U166" s="74">
        <f>T166</f>
        <v>8569466.1889360007</v>
      </c>
    </row>
    <row r="167" spans="1:23" ht="225" x14ac:dyDescent="0.25">
      <c r="A167" s="230"/>
      <c r="B167" s="207" t="s">
        <v>251</v>
      </c>
      <c r="C167" s="61" t="s">
        <v>128</v>
      </c>
      <c r="D167" s="62" t="s">
        <v>121</v>
      </c>
      <c r="E167" s="121" t="s">
        <v>201</v>
      </c>
      <c r="F167" s="121" t="s">
        <v>201</v>
      </c>
      <c r="G167" s="121" t="s">
        <v>201</v>
      </c>
      <c r="H167" s="121" t="s">
        <v>201</v>
      </c>
      <c r="I167" s="121" t="s">
        <v>201</v>
      </c>
      <c r="J167" s="107" t="s">
        <v>218</v>
      </c>
      <c r="K167" s="107" t="s">
        <v>246</v>
      </c>
      <c r="L167" s="70" t="s">
        <v>234</v>
      </c>
      <c r="M167" s="70" t="s">
        <v>233</v>
      </c>
      <c r="N167" s="73">
        <f>SUM(O167:R167)</f>
        <v>2025577.5771899999</v>
      </c>
      <c r="O167" s="71">
        <f>(841148.96*2)+((1985.12*15)/12*8+(1985.12*15)/12*4)</f>
        <v>1712074.72</v>
      </c>
      <c r="P167" s="73">
        <f>((15*4001.99*2.3654)/12*8)+((15*4001.99*2.3654)/12*4)+0.31</f>
        <v>141994.91719000001</v>
      </c>
      <c r="Q167" s="73"/>
      <c r="R167" s="75">
        <f>11433.94*15-1.16</f>
        <v>171507.94</v>
      </c>
      <c r="S167" s="75"/>
      <c r="T167" s="75">
        <f>N167</f>
        <v>2025577.5771899999</v>
      </c>
      <c r="U167" s="75">
        <f>N167</f>
        <v>2025577.5771899999</v>
      </c>
      <c r="W167" s="80">
        <f>12300.53*15</f>
        <v>184507.95</v>
      </c>
    </row>
    <row r="168" spans="1:23" ht="90" x14ac:dyDescent="0.25">
      <c r="A168" s="230"/>
      <c r="B168" s="201"/>
      <c r="C168" s="63" t="s">
        <v>163</v>
      </c>
      <c r="D168" s="64" t="s">
        <v>101</v>
      </c>
      <c r="E168" s="121"/>
      <c r="F168" s="121"/>
      <c r="G168" s="121"/>
      <c r="H168" s="121"/>
      <c r="I168" s="121"/>
      <c r="J168" s="107"/>
      <c r="K168" s="107"/>
      <c r="L168" s="70"/>
      <c r="M168" s="70"/>
      <c r="N168" s="73"/>
      <c r="O168" s="71"/>
      <c r="P168" s="73"/>
      <c r="Q168" s="73"/>
      <c r="R168" s="75"/>
      <c r="S168" s="75"/>
      <c r="T168" s="75"/>
      <c r="U168" s="75"/>
    </row>
    <row r="169" spans="1:23" x14ac:dyDescent="0.25">
      <c r="A169" s="230"/>
      <c r="B169" s="201"/>
      <c r="C169" s="63" t="s">
        <v>165</v>
      </c>
      <c r="D169" s="64" t="s">
        <v>101</v>
      </c>
      <c r="E169" s="121">
        <v>1</v>
      </c>
      <c r="F169" s="121">
        <v>1</v>
      </c>
      <c r="G169" s="59">
        <f>((E169*8)+(F169*4))/12</f>
        <v>1</v>
      </c>
      <c r="H169" s="121">
        <v>1</v>
      </c>
      <c r="I169" s="121">
        <v>1</v>
      </c>
      <c r="J169" s="107">
        <f>K169</f>
        <v>112063.65</v>
      </c>
      <c r="K169" s="107">
        <v>112063.65</v>
      </c>
      <c r="L169" s="70"/>
      <c r="M169" s="70"/>
      <c r="N169" s="73">
        <f>O169</f>
        <v>112063.65</v>
      </c>
      <c r="O169" s="71">
        <f>K169*G169</f>
        <v>112063.65</v>
      </c>
      <c r="P169" s="73"/>
      <c r="Q169" s="73"/>
      <c r="R169" s="75"/>
      <c r="S169" s="75"/>
      <c r="T169" s="75">
        <f>G169*K169</f>
        <v>112063.65</v>
      </c>
      <c r="U169" s="75">
        <f>T169</f>
        <v>112063.65</v>
      </c>
    </row>
    <row r="170" spans="1:23" x14ac:dyDescent="0.25">
      <c r="A170" s="230"/>
      <c r="B170" s="201"/>
      <c r="C170" s="63" t="s">
        <v>168</v>
      </c>
      <c r="D170" s="64" t="s">
        <v>101</v>
      </c>
      <c r="E170" s="121">
        <v>1</v>
      </c>
      <c r="F170" s="121">
        <v>1</v>
      </c>
      <c r="G170" s="59">
        <f t="shared" ref="G170:G172" si="102">((E170*8)+(F170*4))/12</f>
        <v>1</v>
      </c>
      <c r="H170" s="121">
        <v>1</v>
      </c>
      <c r="I170" s="121">
        <v>1</v>
      </c>
      <c r="J170" s="107">
        <f>K170</f>
        <v>28342.92</v>
      </c>
      <c r="K170" s="107">
        <v>28342.92</v>
      </c>
      <c r="L170" s="70"/>
      <c r="M170" s="70"/>
      <c r="N170" s="73">
        <f>O170</f>
        <v>28342.92</v>
      </c>
      <c r="O170" s="71">
        <f>K170*G170</f>
        <v>28342.92</v>
      </c>
      <c r="P170" s="73"/>
      <c r="Q170" s="73"/>
      <c r="R170" s="75"/>
      <c r="S170" s="75"/>
      <c r="T170" s="75">
        <f>G170*K170</f>
        <v>28342.92</v>
      </c>
      <c r="U170" s="75">
        <f>T170</f>
        <v>28342.92</v>
      </c>
    </row>
    <row r="171" spans="1:23" x14ac:dyDescent="0.25">
      <c r="A171" s="230"/>
      <c r="B171" s="201"/>
      <c r="C171" s="66" t="s">
        <v>106</v>
      </c>
      <c r="D171" s="64"/>
      <c r="E171" s="121" t="str">
        <f>E167</f>
        <v>2\15</v>
      </c>
      <c r="F171" s="121" t="str">
        <f>F167</f>
        <v>2\15</v>
      </c>
      <c r="G171" s="121" t="str">
        <f>G167</f>
        <v>2\15</v>
      </c>
      <c r="H171" s="121" t="str">
        <f>H167</f>
        <v>2\15</v>
      </c>
      <c r="I171" s="121" t="str">
        <f>I167</f>
        <v>2\15</v>
      </c>
      <c r="J171" s="73" t="s">
        <v>104</v>
      </c>
      <c r="K171" s="73" t="s">
        <v>104</v>
      </c>
      <c r="L171" s="74" t="s">
        <v>104</v>
      </c>
      <c r="M171" s="74" t="s">
        <v>104</v>
      </c>
      <c r="N171" s="74">
        <f>SUM(N167:N170)</f>
        <v>2165984.1471899999</v>
      </c>
      <c r="O171" s="74">
        <f>SUM(O167:O170)</f>
        <v>1852481.2899999998</v>
      </c>
      <c r="P171" s="74">
        <f t="shared" ref="P171:U171" si="103">SUM(P167:P170)</f>
        <v>141994.91719000001</v>
      </c>
      <c r="Q171" s="74"/>
      <c r="R171" s="74">
        <f t="shared" si="103"/>
        <v>171507.94</v>
      </c>
      <c r="S171" s="74"/>
      <c r="T171" s="74">
        <f t="shared" si="103"/>
        <v>2165984.1471899999</v>
      </c>
      <c r="U171" s="74">
        <f t="shared" si="103"/>
        <v>2165984.1471899999</v>
      </c>
    </row>
    <row r="172" spans="1:23" ht="102" customHeight="1" x14ac:dyDescent="0.25">
      <c r="A172" s="230"/>
      <c r="B172" s="137" t="s">
        <v>252</v>
      </c>
      <c r="C172" s="61" t="s">
        <v>186</v>
      </c>
      <c r="D172" s="64" t="s">
        <v>101</v>
      </c>
      <c r="E172" s="60">
        <v>307</v>
      </c>
      <c r="F172" s="60">
        <v>307</v>
      </c>
      <c r="G172" s="59">
        <f t="shared" si="102"/>
        <v>307</v>
      </c>
      <c r="H172" s="60">
        <v>307</v>
      </c>
      <c r="I172" s="60">
        <v>307</v>
      </c>
      <c r="J172" s="75">
        <f>K172</f>
        <v>3515.66</v>
      </c>
      <c r="K172" s="75">
        <v>3515.66</v>
      </c>
      <c r="L172" s="72" t="s">
        <v>104</v>
      </c>
      <c r="M172" s="72" t="s">
        <v>104</v>
      </c>
      <c r="N172" s="73">
        <f>SUM(O172:R172)</f>
        <v>1079305.9999999998</v>
      </c>
      <c r="O172" s="73">
        <f>K172*G172-1.62</f>
        <v>1079305.9999999998</v>
      </c>
      <c r="P172" s="73" t="s">
        <v>104</v>
      </c>
      <c r="Q172" s="73"/>
      <c r="R172" s="73" t="s">
        <v>104</v>
      </c>
      <c r="S172" s="73"/>
      <c r="T172" s="75">
        <f>H172*J172-0.25</f>
        <v>1079307.3699999999</v>
      </c>
      <c r="U172" s="75">
        <f>T172</f>
        <v>1079307.3699999999</v>
      </c>
    </row>
    <row r="173" spans="1:23" x14ac:dyDescent="0.25">
      <c r="A173" s="230"/>
      <c r="B173" s="69"/>
      <c r="C173" s="66" t="s">
        <v>106</v>
      </c>
      <c r="D173" s="69"/>
      <c r="E173" s="60">
        <f>SUM(E172:E172)</f>
        <v>307</v>
      </c>
      <c r="F173" s="60">
        <f>SUM(F172:F172)</f>
        <v>307</v>
      </c>
      <c r="G173" s="60">
        <f>SUM(G172:G172)</f>
        <v>307</v>
      </c>
      <c r="H173" s="60">
        <f>SUM(H172:H172)</f>
        <v>307</v>
      </c>
      <c r="I173" s="60">
        <f>SUM(I172:I172)</f>
        <v>307</v>
      </c>
      <c r="J173" s="74" t="s">
        <v>104</v>
      </c>
      <c r="K173" s="74" t="s">
        <v>104</v>
      </c>
      <c r="L173" s="74" t="s">
        <v>104</v>
      </c>
      <c r="M173" s="74">
        <f t="shared" ref="M173:R173" si="104">SUM(M172:M172)</f>
        <v>0</v>
      </c>
      <c r="N173" s="74">
        <f t="shared" si="104"/>
        <v>1079305.9999999998</v>
      </c>
      <c r="O173" s="74">
        <f t="shared" si="104"/>
        <v>1079305.9999999998</v>
      </c>
      <c r="P173" s="74">
        <f t="shared" si="104"/>
        <v>0</v>
      </c>
      <c r="Q173" s="74"/>
      <c r="R173" s="74">
        <f t="shared" si="104"/>
        <v>0</v>
      </c>
      <c r="S173" s="74"/>
      <c r="T173" s="74">
        <f>N173</f>
        <v>1079305.9999999998</v>
      </c>
      <c r="U173" s="75">
        <f>T173</f>
        <v>1079305.9999999998</v>
      </c>
    </row>
    <row r="174" spans="1:23" x14ac:dyDescent="0.25">
      <c r="A174" s="230"/>
      <c r="B174" s="89" t="s">
        <v>225</v>
      </c>
      <c r="C174" s="189" t="s">
        <v>219</v>
      </c>
      <c r="D174" s="64" t="s">
        <v>101</v>
      </c>
      <c r="E174" s="60"/>
      <c r="F174" s="60"/>
      <c r="G174" s="60">
        <v>10</v>
      </c>
      <c r="H174" s="60">
        <v>10</v>
      </c>
      <c r="I174" s="60">
        <v>10</v>
      </c>
      <c r="J174" s="74"/>
      <c r="K174" s="74"/>
      <c r="L174" s="74"/>
      <c r="M174" s="74"/>
      <c r="N174" s="74">
        <f>S174</f>
        <v>688039</v>
      </c>
      <c r="O174" s="74"/>
      <c r="P174" s="74"/>
      <c r="Q174" s="74"/>
      <c r="R174" s="74"/>
      <c r="S174" s="74">
        <v>688039</v>
      </c>
      <c r="T174" s="74">
        <f>S174</f>
        <v>688039</v>
      </c>
      <c r="U174" s="74">
        <f>T174</f>
        <v>688039</v>
      </c>
    </row>
    <row r="175" spans="1:23" x14ac:dyDescent="0.25">
      <c r="A175" s="230"/>
      <c r="B175" s="89" t="s">
        <v>225</v>
      </c>
      <c r="C175" s="189" t="s">
        <v>226</v>
      </c>
      <c r="D175" s="64" t="s">
        <v>101</v>
      </c>
      <c r="E175" s="60"/>
      <c r="F175" s="60"/>
      <c r="G175" s="60"/>
      <c r="H175" s="60"/>
      <c r="I175" s="60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>
        <f>Q175</f>
        <v>0</v>
      </c>
      <c r="U175" s="74">
        <f>T175</f>
        <v>0</v>
      </c>
    </row>
    <row r="176" spans="1:23" x14ac:dyDescent="0.25">
      <c r="A176" s="230"/>
      <c r="B176" s="101" t="s">
        <v>112</v>
      </c>
      <c r="C176" s="101"/>
      <c r="D176" s="69"/>
      <c r="E176" s="103"/>
      <c r="F176" s="103"/>
      <c r="G176" s="103"/>
      <c r="H176" s="103"/>
      <c r="I176" s="103"/>
      <c r="J176" s="103"/>
      <c r="K176" s="103"/>
      <c r="L176" s="103"/>
      <c r="M176" s="103"/>
      <c r="N176" s="103">
        <f>SUM(O176:S176)</f>
        <v>17150428.780682001</v>
      </c>
      <c r="O176" s="103">
        <f t="shared" ref="O176:P176" si="105">O158+O166+O171+O173</f>
        <v>11927037</v>
      </c>
      <c r="P176" s="103">
        <f t="shared" si="105"/>
        <v>2054188.960682</v>
      </c>
      <c r="Q176" s="103">
        <f>Q175</f>
        <v>0</v>
      </c>
      <c r="R176" s="103">
        <f>R158+R166+R171+R173</f>
        <v>2481163.8199999998</v>
      </c>
      <c r="S176" s="103">
        <f>S174</f>
        <v>688039</v>
      </c>
      <c r="T176" s="103">
        <f>T158+T166+T171+T173+T174+T175</f>
        <v>17150428.780682001</v>
      </c>
      <c r="U176" s="103">
        <f>U158+U166+U171+U173+U174+U175</f>
        <v>17150428.780682001</v>
      </c>
      <c r="W176" s="85"/>
    </row>
    <row r="177" spans="1:21" ht="27" customHeight="1" x14ac:dyDescent="0.25">
      <c r="B177" s="254" t="s">
        <v>232</v>
      </c>
      <c r="C177" s="255"/>
      <c r="D177" s="255"/>
      <c r="E177" s="255"/>
      <c r="F177" s="255"/>
      <c r="G177" s="255"/>
      <c r="H177" s="255"/>
      <c r="I177" s="255"/>
      <c r="J177" s="255"/>
      <c r="K177" s="255"/>
      <c r="L177" s="255"/>
      <c r="M177" s="256"/>
      <c r="N177" s="188">
        <f t="shared" ref="N177:O177" si="106">N176+N152+N121+N91+N64+N38</f>
        <v>189857161.55501601</v>
      </c>
      <c r="O177" s="188">
        <f t="shared" si="106"/>
        <v>126992831</v>
      </c>
      <c r="P177" s="188">
        <f>P176+P152+P121+P91+P64+P38</f>
        <v>29307930.555016004</v>
      </c>
      <c r="Q177" s="188">
        <f>Q176+Q152+Q121+Q91+Q64+Q38</f>
        <v>482000</v>
      </c>
      <c r="R177" s="188">
        <f>R176+R152+R121+R91+R64+R38</f>
        <v>27739600.000000007</v>
      </c>
      <c r="S177" s="188">
        <f>S176+S152+S121+S91+S64+S38</f>
        <v>5334800</v>
      </c>
      <c r="T177" s="188">
        <f t="shared" ref="T177:U177" si="107">T176+T152+T121+T91+T64+T38</f>
        <v>189857161.55501601</v>
      </c>
      <c r="U177" s="188">
        <f t="shared" si="107"/>
        <v>189857161.55501601</v>
      </c>
    </row>
    <row r="178" spans="1:21" x14ac:dyDescent="0.25">
      <c r="A178" s="80" t="s">
        <v>238</v>
      </c>
    </row>
    <row r="179" spans="1:21" x14ac:dyDescent="0.25">
      <c r="A179" s="80" t="s">
        <v>178</v>
      </c>
    </row>
  </sheetData>
  <mergeCells count="32">
    <mergeCell ref="B177:M177"/>
    <mergeCell ref="A65:A91"/>
    <mergeCell ref="B65:B73"/>
    <mergeCell ref="B74:B79"/>
    <mergeCell ref="B81:B85"/>
    <mergeCell ref="A153:A176"/>
    <mergeCell ref="B153:B158"/>
    <mergeCell ref="B159:B161"/>
    <mergeCell ref="A92:A121"/>
    <mergeCell ref="B92:B102"/>
    <mergeCell ref="B103:B110"/>
    <mergeCell ref="B112:B115"/>
    <mergeCell ref="A122:A152"/>
    <mergeCell ref="B122:B132"/>
    <mergeCell ref="B133:B141"/>
    <mergeCell ref="B142:B147"/>
    <mergeCell ref="A10:A38"/>
    <mergeCell ref="B10:B21"/>
    <mergeCell ref="B22:B27"/>
    <mergeCell ref="B29:B32"/>
    <mergeCell ref="A39:A64"/>
    <mergeCell ref="B39:B47"/>
    <mergeCell ref="B48:B53"/>
    <mergeCell ref="B55:B58"/>
    <mergeCell ref="A6:C6"/>
    <mergeCell ref="A7:A8"/>
    <mergeCell ref="B7:B8"/>
    <mergeCell ref="D7:D8"/>
    <mergeCell ref="A5:U5"/>
    <mergeCell ref="E7:I7"/>
    <mergeCell ref="J7:M7"/>
    <mergeCell ref="N7:U7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"/>
  <sheetViews>
    <sheetView tabSelected="1" zoomScale="75" zoomScaleNormal="75" workbookViewId="0">
      <selection activeCell="P9" sqref="P9"/>
    </sheetView>
  </sheetViews>
  <sheetFormatPr defaultColWidth="9.140625" defaultRowHeight="15" x14ac:dyDescent="0.25"/>
  <cols>
    <col min="1" max="1" width="19.42578125" style="80" customWidth="1"/>
    <col min="2" max="2" width="26.2851562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21.2851562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4.28515625" style="80" customWidth="1"/>
    <col min="21" max="21" width="14.140625" style="80" customWidth="1"/>
    <col min="22" max="22" width="14.85546875" style="80" bestFit="1" customWidth="1"/>
    <col min="23" max="23" width="15.28515625" style="80" customWidth="1"/>
    <col min="24" max="24" width="13.5703125" style="80" bestFit="1" customWidth="1"/>
    <col min="25" max="25" width="9.42578125" style="80" bestFit="1" customWidth="1"/>
    <col min="26" max="16384" width="9.140625" style="80"/>
  </cols>
  <sheetData>
    <row r="1" spans="1:22" x14ac:dyDescent="0.25">
      <c r="K1" s="117" t="s">
        <v>175</v>
      </c>
      <c r="T1" s="117"/>
    </row>
    <row r="2" spans="1:22" x14ac:dyDescent="0.25">
      <c r="K2" s="117" t="s">
        <v>265</v>
      </c>
      <c r="L2" s="80" t="s">
        <v>266</v>
      </c>
      <c r="T2" s="117"/>
    </row>
    <row r="3" spans="1:22" x14ac:dyDescent="0.25">
      <c r="T3" s="117"/>
    </row>
    <row r="4" spans="1:22" x14ac:dyDescent="0.25">
      <c r="T4" s="117"/>
    </row>
    <row r="5" spans="1:22" x14ac:dyDescent="0.25">
      <c r="A5" s="236" t="s">
        <v>207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183"/>
      <c r="N5" s="183"/>
      <c r="O5" s="183"/>
      <c r="P5" s="81"/>
      <c r="Q5" s="81"/>
      <c r="R5" s="81"/>
      <c r="S5" s="81"/>
      <c r="T5" s="183"/>
      <c r="U5" s="183"/>
      <c r="V5" s="183"/>
    </row>
    <row r="6" spans="1:22" x14ac:dyDescent="0.25">
      <c r="A6" s="96" t="s">
        <v>156</v>
      </c>
    </row>
    <row r="7" spans="1:22" ht="30" x14ac:dyDescent="0.25">
      <c r="A7" s="178" t="s">
        <v>3</v>
      </c>
      <c r="B7" s="178" t="s">
        <v>81</v>
      </c>
      <c r="C7" s="178" t="s">
        <v>4</v>
      </c>
      <c r="D7" s="228" t="s">
        <v>5</v>
      </c>
      <c r="E7" s="228"/>
      <c r="F7" s="228"/>
      <c r="G7" s="228"/>
      <c r="H7" s="228"/>
      <c r="I7" s="229" t="s">
        <v>6</v>
      </c>
      <c r="J7" s="229" t="s">
        <v>7</v>
      </c>
      <c r="K7" s="229"/>
      <c r="L7" s="229"/>
    </row>
    <row r="8" spans="1:22" ht="30" x14ac:dyDescent="0.25">
      <c r="A8" s="82"/>
      <c r="B8" s="82"/>
      <c r="C8" s="82"/>
      <c r="D8" s="179" t="s">
        <v>176</v>
      </c>
      <c r="E8" s="180" t="s">
        <v>208</v>
      </c>
      <c r="F8" s="178" t="s">
        <v>206</v>
      </c>
      <c r="G8" s="179" t="s">
        <v>183</v>
      </c>
      <c r="H8" s="179" t="s">
        <v>211</v>
      </c>
      <c r="I8" s="229"/>
      <c r="J8" s="211" t="s">
        <v>176</v>
      </c>
      <c r="K8" s="179" t="s">
        <v>183</v>
      </c>
      <c r="L8" s="179" t="s">
        <v>205</v>
      </c>
    </row>
    <row r="9" spans="1:22" ht="75" x14ac:dyDescent="0.25">
      <c r="A9" s="83" t="s">
        <v>13</v>
      </c>
      <c r="B9" s="83" t="s">
        <v>14</v>
      </c>
      <c r="C9" s="178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178" t="s">
        <v>17</v>
      </c>
      <c r="J9" s="210" t="s">
        <v>17</v>
      </c>
      <c r="K9" s="178" t="s">
        <v>17</v>
      </c>
      <c r="L9" s="178" t="s">
        <v>17</v>
      </c>
    </row>
    <row r="10" spans="1:22" ht="82.9" customHeight="1" x14ac:dyDescent="0.25">
      <c r="A10" s="106" t="s">
        <v>157</v>
      </c>
      <c r="B10" s="206" t="s">
        <v>254</v>
      </c>
      <c r="C10" s="82" t="s">
        <v>177</v>
      </c>
      <c r="D10" s="185">
        <v>50400</v>
      </c>
      <c r="E10" s="185">
        <v>50400</v>
      </c>
      <c r="F10" s="185">
        <v>50400</v>
      </c>
      <c r="G10" s="185">
        <v>50400</v>
      </c>
      <c r="H10" s="185">
        <v>50400</v>
      </c>
      <c r="I10" s="75">
        <f>91.4*92.75%+2.18</f>
        <v>86.953500000000005</v>
      </c>
      <c r="J10" s="75">
        <f>I10*D10</f>
        <v>4382456.4000000004</v>
      </c>
      <c r="K10" s="75">
        <f>I10*G10</f>
        <v>4382456.4000000004</v>
      </c>
      <c r="L10" s="75">
        <f t="shared" ref="L10:L17" si="0">K10</f>
        <v>4382456.4000000004</v>
      </c>
      <c r="M10" s="85"/>
    </row>
    <row r="11" spans="1:22" ht="89.45" customHeight="1" x14ac:dyDescent="0.25">
      <c r="A11" s="106" t="s">
        <v>157</v>
      </c>
      <c r="B11" s="206" t="s">
        <v>255</v>
      </c>
      <c r="C11" s="82" t="s">
        <v>177</v>
      </c>
      <c r="D11" s="185">
        <v>18792</v>
      </c>
      <c r="E11" s="185">
        <v>18792</v>
      </c>
      <c r="F11" s="185">
        <v>18792</v>
      </c>
      <c r="G11" s="185">
        <v>18792</v>
      </c>
      <c r="H11" s="185">
        <v>18792</v>
      </c>
      <c r="I11" s="75">
        <f>99.4*92.75%+2.18</f>
        <v>94.373500000000007</v>
      </c>
      <c r="J11" s="75">
        <f>I11*D11</f>
        <v>1773466.8120000002</v>
      </c>
      <c r="K11" s="75">
        <f t="shared" ref="K11:K17" si="1">J11</f>
        <v>1773466.8120000002</v>
      </c>
      <c r="L11" s="75">
        <f t="shared" si="0"/>
        <v>1773466.8120000002</v>
      </c>
      <c r="M11" s="85"/>
    </row>
    <row r="12" spans="1:22" ht="104.45" customHeight="1" x14ac:dyDescent="0.25">
      <c r="A12" s="106" t="s">
        <v>157</v>
      </c>
      <c r="B12" s="206" t="s">
        <v>256</v>
      </c>
      <c r="C12" s="82" t="s">
        <v>177</v>
      </c>
      <c r="D12" s="185">
        <v>14580</v>
      </c>
      <c r="E12" s="185">
        <v>14580</v>
      </c>
      <c r="F12" s="185">
        <v>14580</v>
      </c>
      <c r="G12" s="185">
        <v>14580</v>
      </c>
      <c r="H12" s="185">
        <v>14580</v>
      </c>
      <c r="I12" s="75">
        <f>69.21*92.75%+2.18</f>
        <v>66.372275000000002</v>
      </c>
      <c r="J12" s="75">
        <f>I12*D12</f>
        <v>967707.76950000005</v>
      </c>
      <c r="K12" s="75">
        <f t="shared" si="1"/>
        <v>967707.76950000005</v>
      </c>
      <c r="L12" s="75">
        <f t="shared" si="0"/>
        <v>967707.76950000005</v>
      </c>
      <c r="M12" s="85"/>
    </row>
    <row r="13" spans="1:22" ht="89.45" customHeight="1" x14ac:dyDescent="0.25">
      <c r="A13" s="106" t="s">
        <v>157</v>
      </c>
      <c r="B13" s="206" t="s">
        <v>257</v>
      </c>
      <c r="C13" s="82" t="s">
        <v>177</v>
      </c>
      <c r="D13" s="185">
        <v>31680</v>
      </c>
      <c r="E13" s="185">
        <v>31680</v>
      </c>
      <c r="F13" s="185">
        <v>31680</v>
      </c>
      <c r="G13" s="185">
        <v>31680</v>
      </c>
      <c r="H13" s="185">
        <v>31680</v>
      </c>
      <c r="I13" s="75">
        <f>80.63*92.75%</f>
        <v>74.784324999999995</v>
      </c>
      <c r="J13" s="75">
        <f>I13*D13</f>
        <v>2369167.4159999997</v>
      </c>
      <c r="K13" s="75">
        <f t="shared" si="1"/>
        <v>2369167.4159999997</v>
      </c>
      <c r="L13" s="75">
        <f t="shared" si="0"/>
        <v>2369167.4159999997</v>
      </c>
      <c r="M13" s="85"/>
    </row>
    <row r="14" spans="1:22" ht="94.15" customHeight="1" x14ac:dyDescent="0.25">
      <c r="A14" s="106"/>
      <c r="B14" s="206" t="s">
        <v>258</v>
      </c>
      <c r="C14" s="82" t="s">
        <v>177</v>
      </c>
      <c r="D14" s="185">
        <v>88200</v>
      </c>
      <c r="E14" s="185">
        <v>88200</v>
      </c>
      <c r="F14" s="185">
        <v>88200</v>
      </c>
      <c r="G14" s="185">
        <v>88200</v>
      </c>
      <c r="H14" s="185">
        <v>88200</v>
      </c>
      <c r="I14" s="75">
        <f>82.53*92.75%+2.18</f>
        <v>78.726575000000011</v>
      </c>
      <c r="J14" s="75">
        <f>I14*D14</f>
        <v>6943683.915000001</v>
      </c>
      <c r="K14" s="75">
        <f t="shared" si="1"/>
        <v>6943683.915000001</v>
      </c>
      <c r="L14" s="75">
        <f t="shared" si="0"/>
        <v>6943683.915000001</v>
      </c>
      <c r="M14" s="85"/>
      <c r="O14" s="85"/>
    </row>
    <row r="15" spans="1:22" ht="42.6" customHeight="1" x14ac:dyDescent="0.25">
      <c r="A15" s="106" t="s">
        <v>263</v>
      </c>
      <c r="B15" s="203" t="s">
        <v>241</v>
      </c>
      <c r="C15" s="82"/>
      <c r="D15" s="185">
        <f>SUM(D10:D14)</f>
        <v>203652</v>
      </c>
      <c r="E15" s="185">
        <f t="shared" ref="E15:L15" si="2">SUM(E10:E14)</f>
        <v>203652</v>
      </c>
      <c r="F15" s="185">
        <f t="shared" si="2"/>
        <v>203652</v>
      </c>
      <c r="G15" s="185">
        <f t="shared" si="2"/>
        <v>203652</v>
      </c>
      <c r="H15" s="185">
        <f t="shared" si="2"/>
        <v>203652</v>
      </c>
      <c r="I15" s="75">
        <f>AVERAGE(I10:I14)</f>
        <v>80.242035000000016</v>
      </c>
      <c r="J15" s="75">
        <f t="shared" si="2"/>
        <v>16436482.312500002</v>
      </c>
      <c r="K15" s="75">
        <f t="shared" si="2"/>
        <v>16436482.312500002</v>
      </c>
      <c r="L15" s="75">
        <f t="shared" si="2"/>
        <v>16436482.312500002</v>
      </c>
      <c r="M15" s="85"/>
      <c r="O15" s="85"/>
    </row>
    <row r="16" spans="1:22" ht="54.6" customHeight="1" x14ac:dyDescent="0.25">
      <c r="A16" s="106" t="s">
        <v>157</v>
      </c>
      <c r="B16" s="208" t="s">
        <v>262</v>
      </c>
      <c r="C16" s="82" t="s">
        <v>239</v>
      </c>
      <c r="D16" s="185">
        <v>1</v>
      </c>
      <c r="E16" s="185">
        <v>1</v>
      </c>
      <c r="F16" s="185">
        <v>1</v>
      </c>
      <c r="G16" s="185">
        <v>1</v>
      </c>
      <c r="H16" s="185">
        <v>1</v>
      </c>
      <c r="I16" s="75">
        <f>104787.64+68611.35</f>
        <v>173398.99</v>
      </c>
      <c r="J16" s="75">
        <f>D16*I16</f>
        <v>173398.99</v>
      </c>
      <c r="K16" s="75">
        <f t="shared" si="1"/>
        <v>173398.99</v>
      </c>
      <c r="L16" s="75">
        <f t="shared" si="0"/>
        <v>173398.99</v>
      </c>
      <c r="M16" s="85"/>
    </row>
    <row r="17" spans="1:16" ht="48.6" customHeight="1" x14ac:dyDescent="0.25">
      <c r="A17" s="106"/>
      <c r="B17" s="206" t="s">
        <v>259</v>
      </c>
      <c r="C17" s="82" t="s">
        <v>239</v>
      </c>
      <c r="D17" s="185">
        <v>7</v>
      </c>
      <c r="E17" s="185">
        <v>7</v>
      </c>
      <c r="F17" s="185">
        <v>7</v>
      </c>
      <c r="G17" s="185">
        <v>7</v>
      </c>
      <c r="H17" s="185">
        <v>7</v>
      </c>
      <c r="I17" s="75">
        <v>460384.49</v>
      </c>
      <c r="J17" s="75">
        <f>D17*I17</f>
        <v>3222691.4299999997</v>
      </c>
      <c r="K17" s="75">
        <f t="shared" si="1"/>
        <v>3222691.4299999997</v>
      </c>
      <c r="L17" s="75">
        <f t="shared" si="0"/>
        <v>3222691.4299999997</v>
      </c>
      <c r="M17" s="85"/>
      <c r="P17" s="85"/>
    </row>
    <row r="18" spans="1:16" ht="41.45" customHeight="1" x14ac:dyDescent="0.25">
      <c r="A18" s="106" t="s">
        <v>264</v>
      </c>
      <c r="B18" s="203" t="s">
        <v>242</v>
      </c>
      <c r="C18" s="82"/>
      <c r="D18" s="205">
        <f>SUM(D16:D17)</f>
        <v>8</v>
      </c>
      <c r="E18" s="205">
        <f t="shared" ref="E18:H18" si="3">SUM(E16:E17)</f>
        <v>8</v>
      </c>
      <c r="F18" s="205">
        <f t="shared" si="3"/>
        <v>8</v>
      </c>
      <c r="G18" s="205">
        <f t="shared" si="3"/>
        <v>8</v>
      </c>
      <c r="H18" s="205">
        <f t="shared" si="3"/>
        <v>8</v>
      </c>
      <c r="I18" s="205">
        <f>AVERAGE(I16:I17)</f>
        <v>316891.74</v>
      </c>
      <c r="J18" s="75">
        <f t="shared" ref="J18" si="4">SUM(J16:J17)</f>
        <v>3396090.42</v>
      </c>
      <c r="K18" s="75">
        <f t="shared" ref="K18" si="5">SUM(K16:K17)</f>
        <v>3396090.42</v>
      </c>
      <c r="L18" s="75">
        <f t="shared" ref="L18" si="6">SUM(L16:L17)</f>
        <v>3396090.42</v>
      </c>
      <c r="M18" s="85"/>
      <c r="P18" s="85"/>
    </row>
    <row r="19" spans="1:16" ht="51" customHeight="1" x14ac:dyDescent="0.25">
      <c r="A19" s="106" t="s">
        <v>157</v>
      </c>
      <c r="B19" s="192" t="s">
        <v>240</v>
      </c>
      <c r="C19" s="184" t="s">
        <v>20</v>
      </c>
      <c r="D19" s="185">
        <v>2</v>
      </c>
      <c r="E19" s="185"/>
      <c r="F19" s="185"/>
      <c r="G19" s="185">
        <v>2</v>
      </c>
      <c r="H19" s="185">
        <v>2</v>
      </c>
      <c r="I19" s="75"/>
      <c r="J19" s="75">
        <v>39300</v>
      </c>
      <c r="K19" s="75">
        <v>39300</v>
      </c>
      <c r="L19" s="75">
        <v>39300</v>
      </c>
      <c r="M19" s="85"/>
      <c r="P19" s="85"/>
    </row>
    <row r="20" spans="1:16" x14ac:dyDescent="0.25">
      <c r="A20" s="184"/>
      <c r="B20" s="187" t="s">
        <v>229</v>
      </c>
      <c r="C20" s="184" t="s">
        <v>20</v>
      </c>
      <c r="D20" s="185">
        <v>20</v>
      </c>
      <c r="E20" s="185">
        <v>20</v>
      </c>
      <c r="F20" s="185">
        <v>20</v>
      </c>
      <c r="G20" s="185">
        <v>20</v>
      </c>
      <c r="H20" s="185">
        <v>20</v>
      </c>
      <c r="I20" s="75"/>
      <c r="J20" s="75">
        <v>1574519</v>
      </c>
      <c r="K20" s="75">
        <v>1574519</v>
      </c>
      <c r="L20" s="75">
        <v>1574519</v>
      </c>
      <c r="M20" s="85"/>
    </row>
    <row r="21" spans="1:16" x14ac:dyDescent="0.25">
      <c r="A21" s="254" t="s">
        <v>231</v>
      </c>
      <c r="B21" s="255"/>
      <c r="C21" s="256"/>
      <c r="D21" s="185"/>
      <c r="E21" s="185"/>
      <c r="F21" s="185"/>
      <c r="G21" s="185"/>
      <c r="H21" s="185"/>
      <c r="I21" s="75"/>
      <c r="J21" s="78">
        <f>J15+J18+J19+J20</f>
        <v>21446391.732500002</v>
      </c>
      <c r="K21" s="78">
        <f t="shared" ref="K21:L21" si="7">K15+K18+K19+K20</f>
        <v>21446391.732500002</v>
      </c>
      <c r="L21" s="78">
        <f t="shared" si="7"/>
        <v>21446391.732500002</v>
      </c>
      <c r="M21" s="85"/>
    </row>
    <row r="22" spans="1:16" ht="135" x14ac:dyDescent="0.25">
      <c r="A22" s="179" t="s">
        <v>160</v>
      </c>
      <c r="B22" s="206" t="s">
        <v>253</v>
      </c>
      <c r="C22" s="82" t="s">
        <v>177</v>
      </c>
      <c r="D22" s="185">
        <v>40824</v>
      </c>
      <c r="E22" s="185">
        <v>40824</v>
      </c>
      <c r="F22" s="185">
        <v>40824</v>
      </c>
      <c r="G22" s="185">
        <v>40824</v>
      </c>
      <c r="H22" s="185">
        <v>40824</v>
      </c>
      <c r="I22" s="75">
        <f>J22/D22</f>
        <v>99.331943709582603</v>
      </c>
      <c r="J22" s="75">
        <f>3895727.27+159400</f>
        <v>4055127.27</v>
      </c>
      <c r="K22" s="75">
        <f>I22*G22</f>
        <v>4055127.27</v>
      </c>
      <c r="L22" s="75">
        <f t="shared" ref="L22" si="8">K22</f>
        <v>4055127.27</v>
      </c>
      <c r="M22" s="85"/>
    </row>
    <row r="23" spans="1:16" x14ac:dyDescent="0.25">
      <c r="A23" s="184"/>
      <c r="B23" s="187" t="s">
        <v>229</v>
      </c>
      <c r="C23" s="184" t="s">
        <v>20</v>
      </c>
      <c r="D23" s="184">
        <v>11</v>
      </c>
      <c r="E23" s="184">
        <v>11</v>
      </c>
      <c r="F23" s="184">
        <v>11</v>
      </c>
      <c r="G23" s="184">
        <v>11</v>
      </c>
      <c r="H23" s="184">
        <v>11</v>
      </c>
      <c r="I23" s="184"/>
      <c r="J23" s="186">
        <v>731281</v>
      </c>
      <c r="K23" s="186">
        <v>731281</v>
      </c>
      <c r="L23" s="186">
        <v>731281</v>
      </c>
      <c r="P23" s="85"/>
    </row>
    <row r="24" spans="1:16" x14ac:dyDescent="0.25">
      <c r="A24" s="254" t="s">
        <v>231</v>
      </c>
      <c r="B24" s="255"/>
      <c r="C24" s="256"/>
      <c r="D24" s="184"/>
      <c r="E24" s="184"/>
      <c r="F24" s="184"/>
      <c r="G24" s="184"/>
      <c r="H24" s="184"/>
      <c r="I24" s="184"/>
      <c r="J24" s="188">
        <f>J22+J23</f>
        <v>4786408.2699999996</v>
      </c>
      <c r="K24" s="188">
        <f t="shared" ref="K24:L24" si="9">K22+K23</f>
        <v>4786408.2699999996</v>
      </c>
      <c r="L24" s="188">
        <f t="shared" si="9"/>
        <v>4786408.2699999996</v>
      </c>
    </row>
    <row r="25" spans="1:16" x14ac:dyDescent="0.25">
      <c r="A25" s="254" t="s">
        <v>230</v>
      </c>
      <c r="B25" s="255"/>
      <c r="C25" s="256"/>
      <c r="D25" s="187"/>
      <c r="E25" s="187"/>
      <c r="F25" s="187"/>
      <c r="G25" s="187"/>
      <c r="H25" s="187"/>
      <c r="I25" s="187"/>
      <c r="J25" s="188">
        <f>J21+J24</f>
        <v>26232800.002500001</v>
      </c>
      <c r="K25" s="188">
        <f t="shared" ref="K25:L25" si="10">K21+K24</f>
        <v>26232800.002500001</v>
      </c>
      <c r="L25" s="188">
        <f t="shared" si="10"/>
        <v>26232800.002500001</v>
      </c>
    </row>
    <row r="29" spans="1:16" x14ac:dyDescent="0.25">
      <c r="A29" s="80" t="s">
        <v>238</v>
      </c>
    </row>
    <row r="30" spans="1:16" x14ac:dyDescent="0.25">
      <c r="A30" s="80" t="s">
        <v>178</v>
      </c>
    </row>
  </sheetData>
  <mergeCells count="7">
    <mergeCell ref="A5:L5"/>
    <mergeCell ref="A21:C21"/>
    <mergeCell ref="A24:C24"/>
    <mergeCell ref="A25:C25"/>
    <mergeCell ref="D7:H7"/>
    <mergeCell ref="I7:I8"/>
    <mergeCell ref="J7:L7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33"/>
  <sheetViews>
    <sheetView zoomScale="80" zoomScaleNormal="80" workbookViewId="0">
      <pane xSplit="1" ySplit="11" topLeftCell="I128" activePane="bottomRight" state="frozen"/>
      <selection pane="topRight" activeCell="B1" sqref="B1"/>
      <selection pane="bottomLeft" activeCell="A12" sqref="A12"/>
      <selection pane="bottomRight" activeCell="V119" sqref="V119"/>
    </sheetView>
  </sheetViews>
  <sheetFormatPr defaultColWidth="9.140625" defaultRowHeight="15" x14ac:dyDescent="0.25"/>
  <cols>
    <col min="1" max="1" width="27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7.140625" style="80" customWidth="1"/>
    <col min="21" max="21" width="16.28515625" style="80" customWidth="1"/>
    <col min="22" max="22" width="15.140625" style="80" bestFit="1" customWidth="1"/>
    <col min="23" max="23" width="15.28515625" style="80" customWidth="1"/>
    <col min="24" max="24" width="13.5703125" style="80" bestFit="1" customWidth="1"/>
    <col min="25" max="25" width="9.42578125" style="80" bestFit="1" customWidth="1"/>
    <col min="26" max="16384" width="9.140625" style="80"/>
  </cols>
  <sheetData>
    <row r="1" spans="1:24" hidden="1" x14ac:dyDescent="0.25">
      <c r="T1" s="117" t="s">
        <v>203</v>
      </c>
    </row>
    <row r="2" spans="1:24" hidden="1" x14ac:dyDescent="0.25">
      <c r="T2" s="117" t="s">
        <v>204</v>
      </c>
    </row>
    <row r="3" spans="1:24" x14ac:dyDescent="0.25">
      <c r="T3" s="117" t="s">
        <v>175</v>
      </c>
    </row>
    <row r="4" spans="1:24" x14ac:dyDescent="0.25">
      <c r="T4" s="117" t="s">
        <v>236</v>
      </c>
    </row>
    <row r="5" spans="1:24" x14ac:dyDescent="0.25">
      <c r="A5" s="236" t="s">
        <v>207</v>
      </c>
      <c r="B5" s="236"/>
      <c r="C5" s="237"/>
      <c r="D5" s="236"/>
      <c r="E5" s="236"/>
      <c r="F5" s="237"/>
      <c r="G5" s="237"/>
      <c r="H5" s="236"/>
      <c r="I5" s="236"/>
      <c r="J5" s="236"/>
      <c r="K5" s="237"/>
      <c r="L5" s="236"/>
      <c r="M5" s="236"/>
      <c r="N5" s="236"/>
      <c r="O5" s="236"/>
      <c r="P5" s="237"/>
      <c r="Q5" s="237"/>
      <c r="R5" s="237"/>
      <c r="S5" s="237"/>
      <c r="T5" s="236"/>
      <c r="U5" s="236"/>
      <c r="V5" s="236"/>
    </row>
    <row r="6" spans="1:24" x14ac:dyDescent="0.25">
      <c r="A6" s="81" t="s">
        <v>155</v>
      </c>
    </row>
    <row r="8" spans="1:24" ht="45" x14ac:dyDescent="0.25">
      <c r="A8" s="178" t="s">
        <v>3</v>
      </c>
      <c r="B8" s="178" t="s">
        <v>81</v>
      </c>
      <c r="C8" s="178" t="s">
        <v>152</v>
      </c>
      <c r="D8" s="178" t="s">
        <v>4</v>
      </c>
      <c r="E8" s="133" t="s">
        <v>5</v>
      </c>
      <c r="F8" s="134"/>
      <c r="G8" s="134"/>
      <c r="H8" s="134"/>
      <c r="I8" s="135"/>
      <c r="J8" s="238" t="s">
        <v>6</v>
      </c>
      <c r="K8" s="239"/>
      <c r="L8" s="239"/>
      <c r="M8" s="240"/>
      <c r="N8" s="229" t="s">
        <v>7</v>
      </c>
      <c r="O8" s="229"/>
      <c r="P8" s="229"/>
      <c r="Q8" s="229"/>
      <c r="R8" s="229"/>
      <c r="S8" s="229"/>
      <c r="T8" s="229"/>
      <c r="U8" s="229"/>
      <c r="V8" s="229"/>
    </row>
    <row r="9" spans="1:24" x14ac:dyDescent="0.25">
      <c r="A9" s="178"/>
      <c r="B9" s="178"/>
      <c r="C9" s="178"/>
      <c r="D9" s="178"/>
      <c r="E9" s="243"/>
      <c r="F9" s="244"/>
      <c r="G9" s="245"/>
      <c r="H9" s="181"/>
      <c r="I9" s="181"/>
      <c r="J9" s="178"/>
      <c r="K9" s="178"/>
      <c r="L9" s="212"/>
      <c r="M9" s="178"/>
      <c r="N9" s="238"/>
      <c r="O9" s="248"/>
      <c r="P9" s="248"/>
      <c r="Q9" s="248"/>
      <c r="R9" s="248"/>
      <c r="S9" s="248"/>
      <c r="T9" s="249"/>
      <c r="U9" s="178"/>
      <c r="V9" s="178"/>
    </row>
    <row r="10" spans="1:24" ht="75" x14ac:dyDescent="0.25">
      <c r="A10" s="82"/>
      <c r="B10" s="82"/>
      <c r="C10" s="82"/>
      <c r="D10" s="82"/>
      <c r="E10" s="196" t="s">
        <v>176</v>
      </c>
      <c r="F10" s="200" t="s">
        <v>208</v>
      </c>
      <c r="G10" s="191" t="s">
        <v>212</v>
      </c>
      <c r="H10" s="197" t="s">
        <v>183</v>
      </c>
      <c r="I10" s="197" t="s">
        <v>205</v>
      </c>
      <c r="J10" s="83" t="s">
        <v>79</v>
      </c>
      <c r="K10" s="196" t="s">
        <v>224</v>
      </c>
      <c r="L10" s="83" t="s">
        <v>11</v>
      </c>
      <c r="M10" s="197" t="s">
        <v>12</v>
      </c>
      <c r="N10" s="241" t="s">
        <v>176</v>
      </c>
      <c r="O10" s="241"/>
      <c r="P10" s="241"/>
      <c r="Q10" s="241"/>
      <c r="R10" s="241"/>
      <c r="S10" s="241"/>
      <c r="T10" s="241"/>
      <c r="U10" s="197" t="s">
        <v>183</v>
      </c>
      <c r="V10" s="197" t="s">
        <v>205</v>
      </c>
    </row>
    <row r="11" spans="1:24" ht="75" x14ac:dyDescent="0.25">
      <c r="A11" s="83" t="s">
        <v>13</v>
      </c>
      <c r="B11" s="83" t="s">
        <v>14</v>
      </c>
      <c r="C11" s="83"/>
      <c r="D11" s="196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96" t="s">
        <v>17</v>
      </c>
      <c r="K11" s="196" t="s">
        <v>17</v>
      </c>
      <c r="L11" s="212" t="s">
        <v>17</v>
      </c>
      <c r="M11" s="196" t="s">
        <v>17</v>
      </c>
      <c r="N11" s="196" t="s">
        <v>85</v>
      </c>
      <c r="O11" s="196" t="s">
        <v>83</v>
      </c>
      <c r="P11" s="84" t="s">
        <v>228</v>
      </c>
      <c r="Q11" s="212" t="s">
        <v>84</v>
      </c>
      <c r="R11" s="84" t="s">
        <v>227</v>
      </c>
      <c r="S11" s="84" t="s">
        <v>221</v>
      </c>
      <c r="T11" s="196" t="s">
        <v>12</v>
      </c>
      <c r="U11" s="196" t="s">
        <v>17</v>
      </c>
      <c r="V11" s="196" t="s">
        <v>17</v>
      </c>
    </row>
    <row r="12" spans="1:24" ht="21.6" customHeight="1" x14ac:dyDescent="0.25">
      <c r="A12" s="198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75"/>
      <c r="M12" s="75"/>
      <c r="N12" s="78">
        <f>N13+N18</f>
        <v>6384282</v>
      </c>
      <c r="O12" s="204">
        <f>O13+O18</f>
        <v>2680227.9983392479</v>
      </c>
      <c r="P12" s="78">
        <f>P13</f>
        <v>199806</v>
      </c>
      <c r="Q12" s="78">
        <f>Q13+Q18</f>
        <v>3828093.6679999996</v>
      </c>
      <c r="R12" s="78">
        <f>R13</f>
        <v>1015270</v>
      </c>
      <c r="S12" s="78">
        <f>S13</f>
        <v>1518868.56</v>
      </c>
      <c r="T12" s="78">
        <f>T13+T18+T19</f>
        <v>15626548.226339249</v>
      </c>
      <c r="U12" s="78">
        <f t="shared" ref="U12:V12" si="0">U13+U18+U19</f>
        <v>15626548.226339247</v>
      </c>
      <c r="V12" s="78">
        <f t="shared" si="0"/>
        <v>15626548.226339247</v>
      </c>
    </row>
    <row r="13" spans="1:24" ht="91.9" customHeight="1" x14ac:dyDescent="0.25">
      <c r="A13" s="206" t="s">
        <v>260</v>
      </c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75"/>
      <c r="M13" s="75"/>
      <c r="N13" s="75">
        <f>N14+N15+N17+N16</f>
        <v>6384282</v>
      </c>
      <c r="O13" s="75">
        <f>O14+O15+O17+O16</f>
        <v>2680227.9983392479</v>
      </c>
      <c r="P13" s="75">
        <f>P21</f>
        <v>199806</v>
      </c>
      <c r="Q13" s="75">
        <f>Q14+Q15+Q16+Q17</f>
        <v>2352529.2399999998</v>
      </c>
      <c r="R13" s="75">
        <f>R20</f>
        <v>1015270</v>
      </c>
      <c r="S13" s="75">
        <f>S19</f>
        <v>1518868.56</v>
      </c>
      <c r="T13" s="75">
        <f>T14+T15+T17+T16+T20+T21</f>
        <v>12632115.238339249</v>
      </c>
      <c r="U13" s="75">
        <f>U14+U15+U17+U16+U20+U21</f>
        <v>12632115.238339247</v>
      </c>
      <c r="V13" s="75">
        <f>V14+V15+V17+V16+V20+V21</f>
        <v>12632115.238339247</v>
      </c>
      <c r="X13" s="85"/>
    </row>
    <row r="14" spans="1:24" ht="105" x14ac:dyDescent="0.25">
      <c r="A14" s="83"/>
      <c r="B14" s="97" t="s">
        <v>19</v>
      </c>
      <c r="C14" s="93" t="s">
        <v>0</v>
      </c>
      <c r="D14" s="86" t="s">
        <v>20</v>
      </c>
      <c r="E14" s="87">
        <v>20</v>
      </c>
      <c r="F14" s="87">
        <v>20</v>
      </c>
      <c r="G14" s="87">
        <f>(E14*8+F14*4)/12</f>
        <v>20</v>
      </c>
      <c r="H14" s="87">
        <v>20</v>
      </c>
      <c r="I14" s="87">
        <v>20</v>
      </c>
      <c r="J14" s="75">
        <v>49378.38</v>
      </c>
      <c r="K14" s="75">
        <v>21614.746317252</v>
      </c>
      <c r="L14" s="75">
        <v>18972.009999999998</v>
      </c>
      <c r="M14" s="75">
        <f>J14+K14+L14</f>
        <v>89965.136317251992</v>
      </c>
      <c r="N14" s="75">
        <f>G14*J14-0.41</f>
        <v>987567.19</v>
      </c>
      <c r="O14" s="75">
        <f>G14*K14-0.545</f>
        <v>432294.38134503999</v>
      </c>
      <c r="P14" s="75"/>
      <c r="Q14" s="75">
        <f>G14*L14</f>
        <v>379440.19999999995</v>
      </c>
      <c r="R14" s="75"/>
      <c r="S14" s="75">
        <v>0</v>
      </c>
      <c r="T14" s="75">
        <f>SUM(N14:Q14)</f>
        <v>1799301.7713450398</v>
      </c>
      <c r="U14" s="75">
        <f>T14</f>
        <v>1799301.7713450398</v>
      </c>
      <c r="V14" s="75">
        <f>U14</f>
        <v>1799301.7713450398</v>
      </c>
      <c r="X14" s="85"/>
    </row>
    <row r="15" spans="1:24" x14ac:dyDescent="0.25">
      <c r="A15" s="88"/>
      <c r="B15" s="97" t="s">
        <v>24</v>
      </c>
      <c r="C15" s="127"/>
      <c r="D15" s="197" t="s">
        <v>20</v>
      </c>
      <c r="E15" s="87">
        <v>63</v>
      </c>
      <c r="F15" s="87">
        <v>63</v>
      </c>
      <c r="G15" s="87">
        <f>(E15*8+F15*4)/12</f>
        <v>63</v>
      </c>
      <c r="H15" s="87">
        <v>63</v>
      </c>
      <c r="I15" s="87">
        <v>63</v>
      </c>
      <c r="J15" s="75">
        <v>39098.57</v>
      </c>
      <c r="K15" s="75">
        <v>21614.746317252</v>
      </c>
      <c r="L15" s="75">
        <v>18972.009999999998</v>
      </c>
      <c r="M15" s="75">
        <f>J15+K15+L15</f>
        <v>79685.326317251995</v>
      </c>
      <c r="N15" s="75">
        <f>G15*J15</f>
        <v>2463209.91</v>
      </c>
      <c r="O15" s="75">
        <f>G15*K15</f>
        <v>1361729.017986876</v>
      </c>
      <c r="P15" s="75"/>
      <c r="Q15" s="75">
        <f>G15*L15</f>
        <v>1195236.6299999999</v>
      </c>
      <c r="R15" s="75"/>
      <c r="S15" s="75">
        <v>0</v>
      </c>
      <c r="T15" s="75">
        <f>SUM(N15:Q15)</f>
        <v>5020175.557986876</v>
      </c>
      <c r="U15" s="75">
        <f>H15*M15</f>
        <v>5020175.557986876</v>
      </c>
      <c r="V15" s="75">
        <f>I15*M15</f>
        <v>5020175.557986876</v>
      </c>
      <c r="X15" s="85"/>
    </row>
    <row r="16" spans="1:24" ht="105" x14ac:dyDescent="0.25">
      <c r="A16" s="88"/>
      <c r="B16" s="97" t="s">
        <v>24</v>
      </c>
      <c r="C16" s="93" t="s">
        <v>179</v>
      </c>
      <c r="D16" s="197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71548.899999999994</v>
      </c>
      <c r="K16" s="75">
        <v>21614.746317252</v>
      </c>
      <c r="L16" s="75">
        <v>18972.009999999998</v>
      </c>
      <c r="M16" s="75">
        <f>J16+K16+L16</f>
        <v>112135.65631725198</v>
      </c>
      <c r="N16" s="75">
        <f>G16*J16</f>
        <v>2933504.9</v>
      </c>
      <c r="O16" s="75">
        <f>G16*K16</f>
        <v>886204.599007332</v>
      </c>
      <c r="P16" s="75"/>
      <c r="Q16" s="75">
        <f>G16*L16</f>
        <v>777852.40999999992</v>
      </c>
      <c r="R16" s="75"/>
      <c r="S16" s="75">
        <v>0</v>
      </c>
      <c r="T16" s="75">
        <f>SUM(N16:Q16)</f>
        <v>4597561.9090073323</v>
      </c>
      <c r="U16" s="75">
        <f>H16*M16</f>
        <v>4597561.9090073314</v>
      </c>
      <c r="V16" s="75">
        <f>I16*M16</f>
        <v>4597561.9090073314</v>
      </c>
      <c r="X16" s="85"/>
    </row>
    <row r="17" spans="1:24" ht="120" x14ac:dyDescent="0.25">
      <c r="A17" s="88"/>
      <c r="B17" s="97" t="s">
        <v>24</v>
      </c>
      <c r="C17" s="93" t="s">
        <v>162</v>
      </c>
      <c r="D17" s="197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44526.26</v>
      </c>
      <c r="K17" s="75">
        <v>21614.746317252</v>
      </c>
      <c r="L17" s="75">
        <v>18972.009999999998</v>
      </c>
      <c r="M17" s="75">
        <f>J17+K17+L17</f>
        <v>85113.016317251997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 t="shared" ref="T17:T119" si="1">SUM(N17:Q17)</f>
        <v>0</v>
      </c>
      <c r="U17" s="75">
        <f>H17*M17</f>
        <v>0</v>
      </c>
      <c r="V17" s="75">
        <f t="shared" ref="V17:V114" si="2">I17*M17</f>
        <v>0</v>
      </c>
      <c r="X17" s="85"/>
    </row>
    <row r="18" spans="1:24" ht="63" customHeight="1" x14ac:dyDescent="0.25">
      <c r="A18" s="206" t="s">
        <v>261</v>
      </c>
      <c r="B18" s="197" t="s">
        <v>28</v>
      </c>
      <c r="C18" s="127" t="s">
        <v>219</v>
      </c>
      <c r="D18" s="82"/>
      <c r="E18" s="87">
        <f>E17+E16+E15+E14</f>
        <v>124</v>
      </c>
      <c r="F18" s="87">
        <f>F17+F16+F15+F14</f>
        <v>124</v>
      </c>
      <c r="G18" s="87">
        <f>(E18*8+F18*4)/12</f>
        <v>124</v>
      </c>
      <c r="H18" s="87">
        <f>H17+H16+H15+H14</f>
        <v>124</v>
      </c>
      <c r="I18" s="87">
        <f>I17+I16+I15+I14</f>
        <v>124</v>
      </c>
      <c r="J18" s="75">
        <v>0</v>
      </c>
      <c r="K18" s="75"/>
      <c r="L18" s="75">
        <v>12405.807000000001</v>
      </c>
      <c r="M18" s="75">
        <f>J18+K18+L18</f>
        <v>12405.807000000001</v>
      </c>
      <c r="N18" s="75">
        <f t="shared" ref="N18" si="3">E18*J18</f>
        <v>0</v>
      </c>
      <c r="O18" s="75">
        <f t="shared" ref="O18" si="4">G18*K18</f>
        <v>0</v>
      </c>
      <c r="P18" s="75"/>
      <c r="Q18" s="75">
        <f>G18*L18-62755.64</f>
        <v>1475564.4280000001</v>
      </c>
      <c r="R18" s="75"/>
      <c r="S18" s="75">
        <v>0</v>
      </c>
      <c r="T18" s="75">
        <f>SUM(N18:Q18)</f>
        <v>1475564.4280000001</v>
      </c>
      <c r="U18" s="75">
        <f>T18</f>
        <v>1475564.4280000001</v>
      </c>
      <c r="V18" s="75">
        <f>U18</f>
        <v>1475564.4280000001</v>
      </c>
    </row>
    <row r="19" spans="1:24" x14ac:dyDescent="0.25">
      <c r="A19" s="197"/>
      <c r="B19" s="197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75">
        <v>12248.94</v>
      </c>
      <c r="M19" s="75"/>
      <c r="N19" s="75"/>
      <c r="O19" s="75"/>
      <c r="P19" s="75"/>
      <c r="Q19" s="75"/>
      <c r="R19" s="75"/>
      <c r="S19" s="75">
        <f>G18*L19</f>
        <v>1518868.56</v>
      </c>
      <c r="T19" s="75">
        <f>S19</f>
        <v>1518868.56</v>
      </c>
      <c r="U19" s="75">
        <f>S19</f>
        <v>1518868.56</v>
      </c>
      <c r="V19" s="75">
        <f>S19</f>
        <v>1518868.56</v>
      </c>
    </row>
    <row r="20" spans="1:24" x14ac:dyDescent="0.25">
      <c r="A20" s="197"/>
      <c r="B20" s="89" t="s">
        <v>225</v>
      </c>
      <c r="C20" s="127" t="s">
        <v>219</v>
      </c>
      <c r="D20" s="82"/>
      <c r="E20" s="87"/>
      <c r="F20" s="87"/>
      <c r="G20" s="87">
        <v>13</v>
      </c>
      <c r="H20" s="87">
        <v>13</v>
      </c>
      <c r="I20" s="87">
        <v>13</v>
      </c>
      <c r="J20" s="75"/>
      <c r="K20" s="75"/>
      <c r="L20" s="75"/>
      <c r="M20" s="75"/>
      <c r="N20" s="75"/>
      <c r="O20" s="75"/>
      <c r="P20" s="75"/>
      <c r="Q20" s="75"/>
      <c r="R20" s="75">
        <v>1015270</v>
      </c>
      <c r="S20" s="75"/>
      <c r="T20" s="75">
        <f>R20</f>
        <v>1015270</v>
      </c>
      <c r="U20" s="75">
        <f>R20</f>
        <v>1015270</v>
      </c>
      <c r="V20" s="75">
        <f>R20</f>
        <v>1015270</v>
      </c>
    </row>
    <row r="21" spans="1:24" x14ac:dyDescent="0.25">
      <c r="A21" s="197"/>
      <c r="B21" s="89" t="s">
        <v>225</v>
      </c>
      <c r="C21" s="127" t="s">
        <v>226</v>
      </c>
      <c r="D21" s="82"/>
      <c r="E21" s="87"/>
      <c r="F21" s="87"/>
      <c r="G21" s="87">
        <v>7</v>
      </c>
      <c r="H21" s="87">
        <v>7</v>
      </c>
      <c r="I21" s="87">
        <v>7</v>
      </c>
      <c r="J21" s="75"/>
      <c r="K21" s="75"/>
      <c r="L21" s="75"/>
      <c r="M21" s="75"/>
      <c r="N21" s="75"/>
      <c r="O21" s="75"/>
      <c r="P21" s="75">
        <v>199806</v>
      </c>
      <c r="Q21" s="75"/>
      <c r="R21" s="75"/>
      <c r="S21" s="75"/>
      <c r="T21" s="75">
        <f>N21+O21+P21+Q21</f>
        <v>199806</v>
      </c>
      <c r="U21" s="75">
        <f>N21+O21+P21+Q21</f>
        <v>199806</v>
      </c>
      <c r="V21" s="75">
        <f>N21+O21+P21+Q21</f>
        <v>199806</v>
      </c>
    </row>
    <row r="22" spans="1:24" x14ac:dyDescent="0.25">
      <c r="A22" s="89" t="s">
        <v>29</v>
      </c>
      <c r="B22" s="197"/>
      <c r="C22" s="127"/>
      <c r="D22" s="82"/>
      <c r="E22" s="87"/>
      <c r="F22" s="87"/>
      <c r="G22" s="87"/>
      <c r="H22" s="87"/>
      <c r="I22" s="87"/>
      <c r="J22" s="75"/>
      <c r="K22" s="75"/>
      <c r="L22" s="75"/>
      <c r="M22" s="75">
        <f t="shared" ref="M22:M121" si="5">J22+K22+L22</f>
        <v>0</v>
      </c>
      <c r="N22" s="78">
        <f>N23+N25</f>
        <v>2199027.9999999995</v>
      </c>
      <c r="O22" s="78">
        <f>O23+O25</f>
        <v>756516.00110382005</v>
      </c>
      <c r="P22" s="78">
        <f>P23</f>
        <v>114175</v>
      </c>
      <c r="Q22" s="78">
        <f>Q23+Q25</f>
        <v>1908254.08</v>
      </c>
      <c r="R22" s="78">
        <f>R23+R25</f>
        <v>671736</v>
      </c>
      <c r="S22" s="78">
        <f>S26</f>
        <v>428712.9</v>
      </c>
      <c r="T22" s="78">
        <f>T23+T25+T26</f>
        <v>6078421.9811038198</v>
      </c>
      <c r="U22" s="78">
        <f t="shared" ref="U22:V22" si="6">U23+U25+U26</f>
        <v>6078421.9811038198</v>
      </c>
      <c r="V22" s="78">
        <f t="shared" si="6"/>
        <v>6078421.9811038198</v>
      </c>
    </row>
    <row r="23" spans="1:24" ht="96.6" customHeight="1" x14ac:dyDescent="0.25">
      <c r="A23" s="206" t="s">
        <v>260</v>
      </c>
      <c r="B23" s="84" t="s">
        <v>76</v>
      </c>
      <c r="C23" s="128"/>
      <c r="D23" s="82"/>
      <c r="E23" s="68"/>
      <c r="F23" s="68"/>
      <c r="G23" s="68"/>
      <c r="H23" s="68"/>
      <c r="I23" s="68"/>
      <c r="J23" s="75"/>
      <c r="K23" s="75"/>
      <c r="L23" s="75"/>
      <c r="M23" s="75">
        <f t="shared" si="5"/>
        <v>0</v>
      </c>
      <c r="N23" s="75">
        <f t="shared" ref="N23" si="7">SUM(N24:N24)</f>
        <v>2199027.9999999995</v>
      </c>
      <c r="O23" s="75">
        <f>SUM(O24:O24)</f>
        <v>756516.00110382005</v>
      </c>
      <c r="P23" s="75">
        <f>P28</f>
        <v>114175</v>
      </c>
      <c r="Q23" s="75">
        <f>Q24</f>
        <v>1530176.2</v>
      </c>
      <c r="R23" s="75">
        <f>R27</f>
        <v>671736</v>
      </c>
      <c r="S23" s="75"/>
      <c r="T23" s="75">
        <f>T24+T28+T27</f>
        <v>5271631.2011038195</v>
      </c>
      <c r="U23" s="75">
        <f t="shared" ref="U23:V23" si="8">U24+U28+U27</f>
        <v>5271631.2011038195</v>
      </c>
      <c r="V23" s="75">
        <f t="shared" si="8"/>
        <v>5271631.2011038195</v>
      </c>
    </row>
    <row r="24" spans="1:24" ht="105" x14ac:dyDescent="0.25">
      <c r="A24" s="83"/>
      <c r="B24" s="82"/>
      <c r="C24" s="93" t="s">
        <v>30</v>
      </c>
      <c r="D24" s="197" t="s">
        <v>31</v>
      </c>
      <c r="E24" s="87">
        <v>35</v>
      </c>
      <c r="F24" s="87">
        <v>35</v>
      </c>
      <c r="G24" s="87">
        <f>(E24*8+F24*4)/12</f>
        <v>35</v>
      </c>
      <c r="H24" s="87">
        <v>35</v>
      </c>
      <c r="I24" s="87">
        <v>35</v>
      </c>
      <c r="J24" s="75">
        <v>733009.33</v>
      </c>
      <c r="K24" s="75">
        <v>21614.746317252</v>
      </c>
      <c r="L24" s="75">
        <f>49452.628-5733.31</f>
        <v>43719.317999999999</v>
      </c>
      <c r="M24" s="75">
        <f>J24+K24+L24</f>
        <v>798343.39431725198</v>
      </c>
      <c r="N24" s="75">
        <f>3*J24+0.01</f>
        <v>2199027.9999999995</v>
      </c>
      <c r="O24" s="75">
        <f>G24*K24-0.12</f>
        <v>756516.00110382005</v>
      </c>
      <c r="P24" s="75"/>
      <c r="Q24" s="75">
        <f>L24*G25+0.07</f>
        <v>1530176.2</v>
      </c>
      <c r="R24" s="75"/>
      <c r="S24" s="75"/>
      <c r="T24" s="75">
        <f>SUM(N24:Q24)</f>
        <v>4485720.2011038195</v>
      </c>
      <c r="U24" s="75">
        <f>T24</f>
        <v>4485720.2011038195</v>
      </c>
      <c r="V24" s="75">
        <f>U24</f>
        <v>4485720.2011038195</v>
      </c>
    </row>
    <row r="25" spans="1:24" ht="90" x14ac:dyDescent="0.25">
      <c r="A25" s="206" t="s">
        <v>261</v>
      </c>
      <c r="B25" s="197" t="s">
        <v>28</v>
      </c>
      <c r="C25" s="127" t="s">
        <v>219</v>
      </c>
      <c r="D25" s="197" t="s">
        <v>20</v>
      </c>
      <c r="E25" s="87">
        <v>35</v>
      </c>
      <c r="F25" s="87">
        <v>35</v>
      </c>
      <c r="G25" s="87">
        <f>(E25*8+F25*4)/12</f>
        <v>35</v>
      </c>
      <c r="H25" s="87">
        <v>35</v>
      </c>
      <c r="I25" s="87">
        <v>35</v>
      </c>
      <c r="J25" s="75" t="s">
        <v>23</v>
      </c>
      <c r="K25" s="75"/>
      <c r="L25" s="75">
        <f>6672.5+5733.31</f>
        <v>12405.810000000001</v>
      </c>
      <c r="M25" s="75">
        <f t="shared" si="5"/>
        <v>12405.810000000001</v>
      </c>
      <c r="N25" s="75">
        <f t="shared" ref="N25" si="9">E25*J25</f>
        <v>0</v>
      </c>
      <c r="O25" s="75">
        <f t="shared" ref="O25:O37" si="10">E25*K25</f>
        <v>0</v>
      </c>
      <c r="P25" s="75"/>
      <c r="Q25" s="75">
        <f>L25*I25-0.34-56125.13</f>
        <v>378077.88</v>
      </c>
      <c r="R25" s="75"/>
      <c r="S25" s="75"/>
      <c r="T25" s="75">
        <f>SUM(N25:Q25)</f>
        <v>378077.88</v>
      </c>
      <c r="U25" s="75">
        <f>T25</f>
        <v>378077.88</v>
      </c>
      <c r="V25" s="75">
        <f>U25</f>
        <v>378077.88</v>
      </c>
    </row>
    <row r="26" spans="1:24" x14ac:dyDescent="0.25">
      <c r="A26" s="197"/>
      <c r="B26" s="197" t="s">
        <v>28</v>
      </c>
      <c r="C26" s="127" t="s">
        <v>220</v>
      </c>
      <c r="D26" s="197"/>
      <c r="E26" s="87"/>
      <c r="F26" s="87"/>
      <c r="G26" s="87"/>
      <c r="H26" s="87"/>
      <c r="I26" s="87"/>
      <c r="J26" s="75"/>
      <c r="K26" s="75"/>
      <c r="L26" s="75">
        <v>12248.94</v>
      </c>
      <c r="M26" s="75"/>
      <c r="N26" s="75"/>
      <c r="O26" s="75"/>
      <c r="P26" s="75"/>
      <c r="Q26" s="75"/>
      <c r="R26" s="75"/>
      <c r="S26" s="75">
        <f>L26*G25</f>
        <v>428712.9</v>
      </c>
      <c r="T26" s="75">
        <f>S26</f>
        <v>428712.9</v>
      </c>
      <c r="U26" s="75">
        <f>S26</f>
        <v>428712.9</v>
      </c>
      <c r="V26" s="75">
        <f>S26</f>
        <v>428712.9</v>
      </c>
    </row>
    <row r="27" spans="1:24" x14ac:dyDescent="0.25">
      <c r="A27" s="197"/>
      <c r="B27" s="89" t="s">
        <v>225</v>
      </c>
      <c r="C27" s="127" t="s">
        <v>219</v>
      </c>
      <c r="D27" s="197"/>
      <c r="E27" s="87"/>
      <c r="F27" s="87"/>
      <c r="G27" s="87">
        <v>9</v>
      </c>
      <c r="H27" s="87">
        <v>9</v>
      </c>
      <c r="I27" s="87">
        <v>9</v>
      </c>
      <c r="J27" s="75"/>
      <c r="K27" s="75"/>
      <c r="L27" s="75"/>
      <c r="M27" s="75"/>
      <c r="N27" s="75"/>
      <c r="O27" s="75"/>
      <c r="P27" s="75"/>
      <c r="Q27" s="75"/>
      <c r="R27" s="75">
        <v>671736</v>
      </c>
      <c r="S27" s="75"/>
      <c r="T27" s="75">
        <f>R27</f>
        <v>671736</v>
      </c>
      <c r="U27" s="75">
        <f>R27</f>
        <v>671736</v>
      </c>
      <c r="V27" s="75">
        <f>R27</f>
        <v>671736</v>
      </c>
    </row>
    <row r="28" spans="1:24" x14ac:dyDescent="0.25">
      <c r="A28" s="197"/>
      <c r="B28" s="89" t="s">
        <v>225</v>
      </c>
      <c r="C28" s="127" t="s">
        <v>226</v>
      </c>
      <c r="D28" s="197"/>
      <c r="E28" s="87"/>
      <c r="F28" s="87"/>
      <c r="G28" s="87">
        <v>4</v>
      </c>
      <c r="H28" s="87">
        <v>4</v>
      </c>
      <c r="I28" s="87">
        <v>4</v>
      </c>
      <c r="J28" s="75"/>
      <c r="K28" s="75"/>
      <c r="L28" s="75"/>
      <c r="M28" s="75"/>
      <c r="N28" s="75"/>
      <c r="O28" s="75"/>
      <c r="P28" s="75">
        <v>114175</v>
      </c>
      <c r="Q28" s="75"/>
      <c r="R28" s="75"/>
      <c r="S28" s="75"/>
      <c r="T28" s="75">
        <f>N28+O28+P28+Q28</f>
        <v>114175</v>
      </c>
      <c r="U28" s="75">
        <f>N28+O28+P28+Q28</f>
        <v>114175</v>
      </c>
      <c r="V28" s="75">
        <f>N28+O28+P28+Q28</f>
        <v>114175</v>
      </c>
    </row>
    <row r="29" spans="1:24" ht="28.9" customHeight="1" x14ac:dyDescent="0.25">
      <c r="A29" s="198" t="s">
        <v>35</v>
      </c>
      <c r="B29" s="197" t="s">
        <v>28</v>
      </c>
      <c r="C29" s="127"/>
      <c r="D29" s="91"/>
      <c r="E29" s="92"/>
      <c r="F29" s="92"/>
      <c r="G29" s="92"/>
      <c r="H29" s="92"/>
      <c r="I29" s="92"/>
      <c r="J29" s="78"/>
      <c r="K29" s="78"/>
      <c r="L29" s="78"/>
      <c r="M29" s="78">
        <f t="shared" si="5"/>
        <v>0</v>
      </c>
      <c r="N29" s="78">
        <f>N30+N37</f>
        <v>7771867</v>
      </c>
      <c r="O29" s="78">
        <f>O30+O37</f>
        <v>2399237.0012149718</v>
      </c>
      <c r="P29" s="78">
        <f>P30</f>
        <v>199806</v>
      </c>
      <c r="Q29" s="78">
        <f>Q30+Q37</f>
        <v>3451559.8669999996</v>
      </c>
      <c r="R29" s="78">
        <f>R30</f>
        <v>1072823</v>
      </c>
      <c r="S29" s="78">
        <f>S38</f>
        <v>1359632.34</v>
      </c>
      <c r="T29" s="78">
        <f>T30+T37+T38</f>
        <v>16254925.208214972</v>
      </c>
      <c r="U29" s="78">
        <f t="shared" ref="U29:V29" si="11">U30+U37+U38</f>
        <v>16254925.208214972</v>
      </c>
      <c r="V29" s="78">
        <f t="shared" si="11"/>
        <v>16254925.208214972</v>
      </c>
    </row>
    <row r="30" spans="1:24" ht="94.9" customHeight="1" x14ac:dyDescent="0.25">
      <c r="A30" s="206" t="s">
        <v>260</v>
      </c>
      <c r="B30" s="84" t="s">
        <v>76</v>
      </c>
      <c r="C30" s="128"/>
      <c r="D30" s="82"/>
      <c r="E30" s="68"/>
      <c r="F30" s="68"/>
      <c r="G30" s="68"/>
      <c r="H30" s="68"/>
      <c r="I30" s="68"/>
      <c r="J30" s="75"/>
      <c r="K30" s="75"/>
      <c r="L30" s="75"/>
      <c r="M30" s="75">
        <f t="shared" si="5"/>
        <v>0</v>
      </c>
      <c r="N30" s="75">
        <f>SUM(N31:N34)</f>
        <v>7771867</v>
      </c>
      <c r="O30" s="75">
        <f t="shared" ref="O30:Q30" si="12">SUM(O31:O34)</f>
        <v>2399237.0012149718</v>
      </c>
      <c r="P30" s="75">
        <f>P36</f>
        <v>199806</v>
      </c>
      <c r="Q30" s="75">
        <f t="shared" si="12"/>
        <v>2105893.11</v>
      </c>
      <c r="R30" s="75">
        <f>R35</f>
        <v>1072823</v>
      </c>
      <c r="S30" s="75"/>
      <c r="T30" s="75">
        <f>SUM(T31:T36)</f>
        <v>13549626.111214973</v>
      </c>
      <c r="U30" s="75">
        <f>SUM(U31:U36)</f>
        <v>13549626.111214973</v>
      </c>
      <c r="V30" s="75">
        <f>SUM(V31:V36)</f>
        <v>13549626.111214973</v>
      </c>
    </row>
    <row r="31" spans="1:24" ht="105" x14ac:dyDescent="0.25">
      <c r="A31" s="83"/>
      <c r="B31" s="97" t="s">
        <v>19</v>
      </c>
      <c r="C31" s="93" t="s">
        <v>0</v>
      </c>
      <c r="D31" s="197" t="s">
        <v>20</v>
      </c>
      <c r="E31" s="87">
        <v>0</v>
      </c>
      <c r="F31" s="87">
        <v>0</v>
      </c>
      <c r="G31" s="87">
        <f t="shared" ref="G31:G33" si="13">(E31*8+F31*4)/12</f>
        <v>0</v>
      </c>
      <c r="H31" s="87">
        <v>0</v>
      </c>
      <c r="I31" s="87">
        <v>0</v>
      </c>
      <c r="J31" s="75">
        <v>43138.04</v>
      </c>
      <c r="K31" s="75">
        <v>21614.746317252</v>
      </c>
      <c r="L31" s="75">
        <v>18972.009999999998</v>
      </c>
      <c r="M31" s="75">
        <f t="shared" si="5"/>
        <v>83724.796317251996</v>
      </c>
      <c r="N31" s="75">
        <f>G31*J31</f>
        <v>0</v>
      </c>
      <c r="O31" s="75">
        <f>G31*K31</f>
        <v>0</v>
      </c>
      <c r="P31" s="75"/>
      <c r="Q31" s="75">
        <f>G31*L31</f>
        <v>0</v>
      </c>
      <c r="R31" s="75"/>
      <c r="S31" s="75"/>
      <c r="T31" s="75">
        <f t="shared" si="1"/>
        <v>0</v>
      </c>
      <c r="U31" s="75">
        <f t="shared" ref="U31:U114" si="14">H31*M31</f>
        <v>0</v>
      </c>
      <c r="V31" s="75">
        <f t="shared" si="2"/>
        <v>0</v>
      </c>
    </row>
    <row r="32" spans="1:24" x14ac:dyDescent="0.25">
      <c r="A32" s="88"/>
      <c r="B32" s="97" t="s">
        <v>24</v>
      </c>
      <c r="C32" s="97"/>
      <c r="D32" s="86" t="s">
        <v>20</v>
      </c>
      <c r="E32" s="87">
        <v>0</v>
      </c>
      <c r="F32" s="87">
        <v>0</v>
      </c>
      <c r="G32" s="87">
        <f t="shared" si="13"/>
        <v>0</v>
      </c>
      <c r="H32" s="87">
        <v>0</v>
      </c>
      <c r="I32" s="87">
        <v>0</v>
      </c>
      <c r="J32" s="75">
        <v>34198.17</v>
      </c>
      <c r="K32" s="75">
        <v>21614.746317252</v>
      </c>
      <c r="L32" s="75">
        <v>18972.009999999998</v>
      </c>
      <c r="M32" s="75">
        <f t="shared" si="5"/>
        <v>74784.926317252</v>
      </c>
      <c r="N32" s="75">
        <f>G32*J32</f>
        <v>0</v>
      </c>
      <c r="O32" s="75">
        <f>G32*K32</f>
        <v>0</v>
      </c>
      <c r="P32" s="75"/>
      <c r="Q32" s="75">
        <f>G32*L32</f>
        <v>0</v>
      </c>
      <c r="R32" s="75"/>
      <c r="S32" s="75"/>
      <c r="T32" s="75">
        <f t="shared" si="1"/>
        <v>0</v>
      </c>
      <c r="U32" s="75">
        <f t="shared" si="14"/>
        <v>0</v>
      </c>
      <c r="V32" s="75">
        <f t="shared" si="2"/>
        <v>0</v>
      </c>
    </row>
    <row r="33" spans="1:23" ht="105" x14ac:dyDescent="0.25">
      <c r="A33" s="83"/>
      <c r="B33" s="97" t="s">
        <v>24</v>
      </c>
      <c r="C33" s="93" t="s">
        <v>38</v>
      </c>
      <c r="D33" s="197" t="s">
        <v>20</v>
      </c>
      <c r="E33" s="87">
        <v>29</v>
      </c>
      <c r="F33" s="87">
        <v>29</v>
      </c>
      <c r="G33" s="87">
        <f t="shared" si="13"/>
        <v>29</v>
      </c>
      <c r="H33" s="87">
        <v>29</v>
      </c>
      <c r="I33" s="87">
        <v>29</v>
      </c>
      <c r="J33" s="75">
        <v>142093.57999999999</v>
      </c>
      <c r="K33" s="75">
        <v>21614.746317252</v>
      </c>
      <c r="L33" s="75">
        <v>18972.009999999998</v>
      </c>
      <c r="M33" s="75">
        <f t="shared" si="5"/>
        <v>182680.33631725199</v>
      </c>
      <c r="N33" s="75">
        <f>G33*J33-0.14</f>
        <v>4120713.6799999997</v>
      </c>
      <c r="O33" s="75">
        <f>G33*K33+0.16</f>
        <v>626827.803200308</v>
      </c>
      <c r="P33" s="75"/>
      <c r="Q33" s="75">
        <f>G33*L33</f>
        <v>550188.28999999992</v>
      </c>
      <c r="R33" s="75"/>
      <c r="S33" s="75"/>
      <c r="T33" s="75">
        <f t="shared" si="1"/>
        <v>5297729.773200308</v>
      </c>
      <c r="U33" s="75">
        <f>T33</f>
        <v>5297729.773200308</v>
      </c>
      <c r="V33" s="75">
        <f>U33</f>
        <v>5297729.773200308</v>
      </c>
    </row>
    <row r="34" spans="1:23" ht="120" x14ac:dyDescent="0.25">
      <c r="A34" s="83"/>
      <c r="B34" s="97" t="s">
        <v>24</v>
      </c>
      <c r="C34" s="93" t="s">
        <v>162</v>
      </c>
      <c r="D34" s="197" t="s">
        <v>20</v>
      </c>
      <c r="E34" s="87">
        <v>82</v>
      </c>
      <c r="F34" s="87">
        <v>82</v>
      </c>
      <c r="G34" s="87">
        <f>(E34*8+F34*4)/12</f>
        <v>82</v>
      </c>
      <c r="H34" s="87">
        <v>82</v>
      </c>
      <c r="I34" s="87">
        <v>82</v>
      </c>
      <c r="J34" s="75">
        <v>44526.26</v>
      </c>
      <c r="K34" s="75">
        <v>21614.746317252</v>
      </c>
      <c r="L34" s="75">
        <v>18972.009999999998</v>
      </c>
      <c r="M34" s="75">
        <f t="shared" si="5"/>
        <v>85113.016317251997</v>
      </c>
      <c r="N34" s="75">
        <f>G34*J34</f>
        <v>3651153.3200000003</v>
      </c>
      <c r="O34" s="75">
        <f>G34*K34</f>
        <v>1772409.198014664</v>
      </c>
      <c r="P34" s="75"/>
      <c r="Q34" s="75">
        <f>G34*L34</f>
        <v>1555704.8199999998</v>
      </c>
      <c r="R34" s="75"/>
      <c r="S34" s="75"/>
      <c r="T34" s="75">
        <f t="shared" si="1"/>
        <v>6979267.3380146641</v>
      </c>
      <c r="U34" s="75">
        <f t="shared" si="14"/>
        <v>6979267.3380146641</v>
      </c>
      <c r="V34" s="75">
        <f t="shared" si="2"/>
        <v>6979267.3380146641</v>
      </c>
    </row>
    <row r="35" spans="1:23" x14ac:dyDescent="0.25">
      <c r="A35" s="83"/>
      <c r="B35" s="89" t="s">
        <v>225</v>
      </c>
      <c r="C35" s="127" t="s">
        <v>219</v>
      </c>
      <c r="D35" s="197"/>
      <c r="E35" s="87"/>
      <c r="F35" s="87"/>
      <c r="G35" s="87">
        <v>13</v>
      </c>
      <c r="H35" s="87">
        <v>13</v>
      </c>
      <c r="I35" s="87">
        <v>13</v>
      </c>
      <c r="J35" s="75"/>
      <c r="K35" s="75"/>
      <c r="L35" s="75"/>
      <c r="M35" s="75"/>
      <c r="N35" s="75"/>
      <c r="O35" s="75"/>
      <c r="P35" s="75"/>
      <c r="Q35" s="75"/>
      <c r="R35" s="75">
        <v>1072823</v>
      </c>
      <c r="S35" s="75"/>
      <c r="T35" s="75">
        <f>R35</f>
        <v>1072823</v>
      </c>
      <c r="U35" s="75">
        <f>R35</f>
        <v>1072823</v>
      </c>
      <c r="V35" s="75">
        <f>R35</f>
        <v>1072823</v>
      </c>
    </row>
    <row r="36" spans="1:23" x14ac:dyDescent="0.25">
      <c r="A36" s="83"/>
      <c r="B36" s="89" t="s">
        <v>225</v>
      </c>
      <c r="C36" s="127" t="s">
        <v>226</v>
      </c>
      <c r="D36" s="197"/>
      <c r="E36" s="87"/>
      <c r="F36" s="87"/>
      <c r="G36" s="87">
        <v>7</v>
      </c>
      <c r="H36" s="87">
        <v>7</v>
      </c>
      <c r="I36" s="87">
        <v>7</v>
      </c>
      <c r="J36" s="75"/>
      <c r="K36" s="75"/>
      <c r="L36" s="75"/>
      <c r="M36" s="75"/>
      <c r="N36" s="75"/>
      <c r="O36" s="75"/>
      <c r="P36" s="75">
        <v>199806</v>
      </c>
      <c r="Q36" s="75"/>
      <c r="R36" s="75"/>
      <c r="S36" s="75"/>
      <c r="T36" s="75">
        <f>P36</f>
        <v>199806</v>
      </c>
      <c r="U36" s="75">
        <f>P36</f>
        <v>199806</v>
      </c>
      <c r="V36" s="75">
        <f>P36</f>
        <v>199806</v>
      </c>
    </row>
    <row r="37" spans="1:23" ht="90" x14ac:dyDescent="0.25">
      <c r="A37" s="206" t="s">
        <v>261</v>
      </c>
      <c r="B37" s="197" t="s">
        <v>28</v>
      </c>
      <c r="C37" s="127" t="s">
        <v>219</v>
      </c>
      <c r="D37" s="197" t="s">
        <v>20</v>
      </c>
      <c r="E37" s="87">
        <f>E34+E33+E32+E31</f>
        <v>111</v>
      </c>
      <c r="F37" s="87">
        <f>F34+F33+F32+F31</f>
        <v>111</v>
      </c>
      <c r="G37" s="87">
        <f>(E37*8+F37*4)/12</f>
        <v>111</v>
      </c>
      <c r="H37" s="87">
        <f>H34+H33+H32+H31</f>
        <v>111</v>
      </c>
      <c r="I37" s="87">
        <f>I34+I33+I32+I31</f>
        <v>111</v>
      </c>
      <c r="J37" s="75" t="s">
        <v>23</v>
      </c>
      <c r="K37" s="75"/>
      <c r="L37" s="75">
        <v>12405.807000000001</v>
      </c>
      <c r="M37" s="75">
        <f t="shared" si="5"/>
        <v>12405.807000000001</v>
      </c>
      <c r="N37" s="75">
        <f t="shared" ref="N37:N75" si="15">E37*J37</f>
        <v>0</v>
      </c>
      <c r="O37" s="75">
        <f t="shared" si="10"/>
        <v>0</v>
      </c>
      <c r="P37" s="75"/>
      <c r="Q37" s="75">
        <f>G37*L37-31377.82</f>
        <v>1345666.757</v>
      </c>
      <c r="R37" s="75"/>
      <c r="S37" s="75"/>
      <c r="T37" s="75">
        <f>SUM(N37:Q37)</f>
        <v>1345666.757</v>
      </c>
      <c r="U37" s="75">
        <f>T37</f>
        <v>1345666.757</v>
      </c>
      <c r="V37" s="75">
        <f>U37</f>
        <v>1345666.757</v>
      </c>
    </row>
    <row r="38" spans="1:23" x14ac:dyDescent="0.25">
      <c r="A38" s="86"/>
      <c r="B38" s="197" t="s">
        <v>28</v>
      </c>
      <c r="C38" s="127" t="s">
        <v>220</v>
      </c>
      <c r="D38" s="197"/>
      <c r="E38" s="87"/>
      <c r="F38" s="87"/>
      <c r="G38" s="87"/>
      <c r="H38" s="87"/>
      <c r="I38" s="87"/>
      <c r="J38" s="75"/>
      <c r="K38" s="75"/>
      <c r="L38" s="75">
        <v>12248.94</v>
      </c>
      <c r="M38" s="75"/>
      <c r="N38" s="75"/>
      <c r="O38" s="75"/>
      <c r="P38" s="75"/>
      <c r="Q38" s="75"/>
      <c r="R38" s="75"/>
      <c r="S38" s="75">
        <f>L38*G37</f>
        <v>1359632.34</v>
      </c>
      <c r="T38" s="75">
        <f>S38</f>
        <v>1359632.34</v>
      </c>
      <c r="U38" s="75">
        <f>S38</f>
        <v>1359632.34</v>
      </c>
      <c r="V38" s="75">
        <f>S38</f>
        <v>1359632.34</v>
      </c>
    </row>
    <row r="39" spans="1:23" x14ac:dyDescent="0.25">
      <c r="A39" s="198" t="s">
        <v>40</v>
      </c>
      <c r="B39" s="94"/>
      <c r="C39" s="94"/>
      <c r="D39" s="94"/>
      <c r="E39" s="92"/>
      <c r="F39" s="92"/>
      <c r="G39" s="92"/>
      <c r="H39" s="92"/>
      <c r="I39" s="92"/>
      <c r="J39" s="78"/>
      <c r="K39" s="78"/>
      <c r="L39" s="78"/>
      <c r="M39" s="78">
        <f t="shared" si="5"/>
        <v>0</v>
      </c>
      <c r="N39" s="78">
        <f>N40+N46</f>
        <v>4697761</v>
      </c>
      <c r="O39" s="78">
        <f>O40+O46</f>
        <v>2399237.0012149718</v>
      </c>
      <c r="P39" s="78">
        <f>P40</f>
        <v>199806</v>
      </c>
      <c r="Q39" s="78">
        <f t="shared" ref="Q39" si="16">Q40+Q46</f>
        <v>3357426.4169999999</v>
      </c>
      <c r="R39" s="78">
        <f>R40</f>
        <v>937882</v>
      </c>
      <c r="S39" s="78">
        <f>S47</f>
        <v>1359632.34</v>
      </c>
      <c r="T39" s="78">
        <f>T40+T46+T47</f>
        <v>12951744.758214973</v>
      </c>
      <c r="U39" s="78">
        <f>U40+U46+U47</f>
        <v>12951744.758214973</v>
      </c>
      <c r="V39" s="78">
        <f>V40+V46+V47</f>
        <v>12951744.758214973</v>
      </c>
      <c r="W39" s="85">
        <f>T39-U39</f>
        <v>0</v>
      </c>
    </row>
    <row r="40" spans="1:23" ht="93.6" customHeight="1" x14ac:dyDescent="0.25">
      <c r="A40" s="206" t="s">
        <v>260</v>
      </c>
      <c r="B40" s="84" t="s">
        <v>76</v>
      </c>
      <c r="C40" s="128"/>
      <c r="D40" s="95"/>
      <c r="E40" s="68"/>
      <c r="F40" s="68"/>
      <c r="G40" s="68"/>
      <c r="H40" s="68"/>
      <c r="I40" s="68"/>
      <c r="J40" s="75"/>
      <c r="K40" s="75"/>
      <c r="L40" s="75"/>
      <c r="M40" s="75">
        <f t="shared" si="5"/>
        <v>0</v>
      </c>
      <c r="N40" s="75">
        <f>SUM(N41:N43)</f>
        <v>4697761</v>
      </c>
      <c r="O40" s="75">
        <f>SUM(O41:O43)</f>
        <v>2399237.0012149718</v>
      </c>
      <c r="P40" s="75">
        <f>P45</f>
        <v>199806</v>
      </c>
      <c r="Q40" s="75">
        <f t="shared" ref="Q40" si="17">SUM(Q41:Q43)</f>
        <v>2105893.11</v>
      </c>
      <c r="R40" s="75">
        <f>R44</f>
        <v>937882</v>
      </c>
      <c r="S40" s="75"/>
      <c r="T40" s="75">
        <f>SUM(T41:T45)</f>
        <v>10340579.111214973</v>
      </c>
      <c r="U40" s="75">
        <f>T40</f>
        <v>10340579.111214973</v>
      </c>
      <c r="V40" s="75">
        <f>T40</f>
        <v>10340579.111214973</v>
      </c>
    </row>
    <row r="41" spans="1:23" ht="105" x14ac:dyDescent="0.25">
      <c r="A41" s="83"/>
      <c r="B41" s="97" t="s">
        <v>19</v>
      </c>
      <c r="C41" s="93" t="s">
        <v>0</v>
      </c>
      <c r="D41" s="197" t="s">
        <v>20</v>
      </c>
      <c r="E41" s="87">
        <v>20</v>
      </c>
      <c r="F41" s="87">
        <v>20</v>
      </c>
      <c r="G41" s="87">
        <f>(E41*8+F41*4)/12</f>
        <v>20</v>
      </c>
      <c r="H41" s="87">
        <v>20</v>
      </c>
      <c r="I41" s="87">
        <v>20</v>
      </c>
      <c r="J41" s="75">
        <v>43138.04</v>
      </c>
      <c r="K41" s="75">
        <v>21614.746317252</v>
      </c>
      <c r="L41" s="75">
        <v>18972.009999999998</v>
      </c>
      <c r="M41" s="75">
        <f t="shared" si="5"/>
        <v>83724.796317251996</v>
      </c>
      <c r="N41" s="75">
        <f>G41*J41</f>
        <v>862760.8</v>
      </c>
      <c r="O41" s="75">
        <f>G41*K41</f>
        <v>432294.92634503997</v>
      </c>
      <c r="P41" s="75"/>
      <c r="Q41" s="75">
        <f>G41*L41</f>
        <v>379440.19999999995</v>
      </c>
      <c r="R41" s="75"/>
      <c r="S41" s="75"/>
      <c r="T41" s="75">
        <f t="shared" si="1"/>
        <v>1674495.9263450399</v>
      </c>
      <c r="U41" s="75">
        <f t="shared" si="14"/>
        <v>1674495.9263450399</v>
      </c>
      <c r="V41" s="75">
        <f t="shared" si="2"/>
        <v>1674495.9263450399</v>
      </c>
    </row>
    <row r="42" spans="1:23" x14ac:dyDescent="0.25">
      <c r="A42" s="88"/>
      <c r="B42" s="97" t="s">
        <v>24</v>
      </c>
      <c r="C42" s="97"/>
      <c r="D42" s="86" t="s">
        <v>20</v>
      </c>
      <c r="E42" s="87">
        <v>21</v>
      </c>
      <c r="F42" s="87">
        <v>21</v>
      </c>
      <c r="G42" s="87">
        <f t="shared" ref="G42:G43" si="18">(E42*8+F42*4)/12</f>
        <v>21</v>
      </c>
      <c r="H42" s="87">
        <v>21</v>
      </c>
      <c r="I42" s="87">
        <v>21</v>
      </c>
      <c r="J42" s="75">
        <v>34198.17</v>
      </c>
      <c r="K42" s="75">
        <v>21614.746317252</v>
      </c>
      <c r="L42" s="75">
        <v>18972.009999999998</v>
      </c>
      <c r="M42" s="75">
        <f t="shared" si="5"/>
        <v>74784.926317252</v>
      </c>
      <c r="N42" s="75">
        <f>G42*J42</f>
        <v>718161.57</v>
      </c>
      <c r="O42" s="75">
        <f>G42*K42</f>
        <v>453909.67266229203</v>
      </c>
      <c r="P42" s="75"/>
      <c r="Q42" s="75">
        <f>G42*L42</f>
        <v>398412.20999999996</v>
      </c>
      <c r="R42" s="75"/>
      <c r="S42" s="75"/>
      <c r="T42" s="75">
        <f t="shared" si="1"/>
        <v>1570483.4526622919</v>
      </c>
      <c r="U42" s="75">
        <f t="shared" si="14"/>
        <v>1570483.4526622919</v>
      </c>
      <c r="V42" s="75">
        <f t="shared" si="2"/>
        <v>1570483.4526622919</v>
      </c>
    </row>
    <row r="43" spans="1:23" ht="120" x14ac:dyDescent="0.25">
      <c r="A43" s="88"/>
      <c r="B43" s="97" t="s">
        <v>24</v>
      </c>
      <c r="C43" s="93" t="s">
        <v>162</v>
      </c>
      <c r="D43" s="197" t="s">
        <v>20</v>
      </c>
      <c r="E43" s="87">
        <v>70</v>
      </c>
      <c r="F43" s="87">
        <v>70</v>
      </c>
      <c r="G43" s="87">
        <f t="shared" si="18"/>
        <v>70</v>
      </c>
      <c r="H43" s="87">
        <v>70</v>
      </c>
      <c r="I43" s="87">
        <v>70</v>
      </c>
      <c r="J43" s="75">
        <v>44526.26</v>
      </c>
      <c r="K43" s="75">
        <v>21614.746317252</v>
      </c>
      <c r="L43" s="75">
        <v>18972.009999999998</v>
      </c>
      <c r="M43" s="75">
        <f t="shared" si="5"/>
        <v>85113.016317251997</v>
      </c>
      <c r="N43" s="75">
        <f>G43*J43+0.43</f>
        <v>3116838.6300000004</v>
      </c>
      <c r="O43" s="75">
        <f>G43*K43+0.16</f>
        <v>1513032.40220764</v>
      </c>
      <c r="P43" s="75"/>
      <c r="Q43" s="75">
        <f>G43*L43</f>
        <v>1328040.7</v>
      </c>
      <c r="R43" s="75"/>
      <c r="S43" s="75"/>
      <c r="T43" s="75">
        <f t="shared" si="1"/>
        <v>5957911.7322076401</v>
      </c>
      <c r="U43" s="75">
        <f t="shared" si="14"/>
        <v>5957911.1422076402</v>
      </c>
      <c r="V43" s="75">
        <f t="shared" si="2"/>
        <v>5957911.1422076402</v>
      </c>
    </row>
    <row r="44" spans="1:23" x14ac:dyDescent="0.25">
      <c r="A44" s="88"/>
      <c r="B44" s="89" t="s">
        <v>225</v>
      </c>
      <c r="C44" s="127" t="s">
        <v>219</v>
      </c>
      <c r="D44" s="197"/>
      <c r="E44" s="87"/>
      <c r="F44" s="87"/>
      <c r="G44" s="87">
        <v>11</v>
      </c>
      <c r="H44" s="87">
        <v>11</v>
      </c>
      <c r="I44" s="87">
        <v>11</v>
      </c>
      <c r="J44" s="75"/>
      <c r="K44" s="75"/>
      <c r="L44" s="75"/>
      <c r="M44" s="75"/>
      <c r="N44" s="75"/>
      <c r="O44" s="75"/>
      <c r="P44" s="75"/>
      <c r="Q44" s="75"/>
      <c r="R44" s="75">
        <v>937882</v>
      </c>
      <c r="S44" s="75"/>
      <c r="T44" s="75">
        <f>R44</f>
        <v>937882</v>
      </c>
      <c r="U44" s="75">
        <f>R44</f>
        <v>937882</v>
      </c>
      <c r="V44" s="75">
        <f>R44</f>
        <v>937882</v>
      </c>
    </row>
    <row r="45" spans="1:23" x14ac:dyDescent="0.25">
      <c r="A45" s="88"/>
      <c r="B45" s="89" t="s">
        <v>225</v>
      </c>
      <c r="C45" s="127" t="s">
        <v>226</v>
      </c>
      <c r="D45" s="197"/>
      <c r="E45" s="87"/>
      <c r="F45" s="87"/>
      <c r="G45" s="87">
        <v>7</v>
      </c>
      <c r="H45" s="87">
        <v>7</v>
      </c>
      <c r="I45" s="87">
        <v>7</v>
      </c>
      <c r="J45" s="75"/>
      <c r="K45" s="75"/>
      <c r="L45" s="75"/>
      <c r="M45" s="75"/>
      <c r="N45" s="75"/>
      <c r="O45" s="75"/>
      <c r="P45" s="75">
        <v>199806</v>
      </c>
      <c r="Q45" s="75"/>
      <c r="R45" s="75"/>
      <c r="S45" s="75"/>
      <c r="T45" s="75">
        <f>P45</f>
        <v>199806</v>
      </c>
      <c r="U45" s="75">
        <f>P45</f>
        <v>199806</v>
      </c>
      <c r="V45" s="75">
        <f>P45</f>
        <v>199806</v>
      </c>
    </row>
    <row r="46" spans="1:23" ht="90" x14ac:dyDescent="0.25">
      <c r="A46" s="206" t="s">
        <v>261</v>
      </c>
      <c r="B46" s="197" t="s">
        <v>28</v>
      </c>
      <c r="C46" s="127" t="s">
        <v>219</v>
      </c>
      <c r="D46" s="86" t="s">
        <v>20</v>
      </c>
      <c r="E46" s="87">
        <f>E43+E42+E41</f>
        <v>111</v>
      </c>
      <c r="F46" s="87">
        <f>F43+F42+F41</f>
        <v>111</v>
      </c>
      <c r="G46" s="87">
        <f>(E46*8+F46*4)/12</f>
        <v>111</v>
      </c>
      <c r="H46" s="87">
        <f>H43+H42+H41</f>
        <v>111</v>
      </c>
      <c r="I46" s="87">
        <f>I43+I42+I41</f>
        <v>111</v>
      </c>
      <c r="J46" s="75" t="s">
        <v>23</v>
      </c>
      <c r="K46" s="75"/>
      <c r="L46" s="75">
        <v>12405.807000000001</v>
      </c>
      <c r="M46" s="75">
        <f t="shared" si="5"/>
        <v>12405.807000000001</v>
      </c>
      <c r="N46" s="75">
        <f t="shared" ref="N46" si="19">G46*J46</f>
        <v>0</v>
      </c>
      <c r="O46" s="75">
        <f t="shared" ref="O46" si="20">G46*K46</f>
        <v>0</v>
      </c>
      <c r="P46" s="75"/>
      <c r="Q46" s="75">
        <f>E46*L46-125511.27</f>
        <v>1251533.307</v>
      </c>
      <c r="R46" s="75"/>
      <c r="S46" s="75"/>
      <c r="T46" s="75">
        <f>SUM(N46:Q46)</f>
        <v>1251533.307</v>
      </c>
      <c r="U46" s="75">
        <f>T46</f>
        <v>1251533.307</v>
      </c>
      <c r="V46" s="75">
        <f>U46</f>
        <v>1251533.307</v>
      </c>
    </row>
    <row r="47" spans="1:23" x14ac:dyDescent="0.25">
      <c r="A47" s="86"/>
      <c r="B47" s="197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75">
        <v>12248.94</v>
      </c>
      <c r="M47" s="75"/>
      <c r="N47" s="75"/>
      <c r="O47" s="75"/>
      <c r="P47" s="75"/>
      <c r="Q47" s="75"/>
      <c r="R47" s="75"/>
      <c r="S47" s="75">
        <f>L47*G46</f>
        <v>1359632.34</v>
      </c>
      <c r="T47" s="75">
        <f>S47</f>
        <v>1359632.34</v>
      </c>
      <c r="U47" s="75">
        <f>S47</f>
        <v>1359632.34</v>
      </c>
      <c r="V47" s="75">
        <f>S47</f>
        <v>1359632.34</v>
      </c>
    </row>
    <row r="48" spans="1:23" x14ac:dyDescent="0.25">
      <c r="A48" s="198" t="s">
        <v>44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78"/>
      <c r="M48" s="78">
        <f t="shared" si="5"/>
        <v>0</v>
      </c>
      <c r="N48" s="78">
        <f>N49+N56</f>
        <v>10905385</v>
      </c>
      <c r="O48" s="78">
        <f>O49+O56</f>
        <v>4625556.0018919278</v>
      </c>
      <c r="P48" s="78">
        <f>P49</f>
        <v>342524</v>
      </c>
      <c r="Q48" s="78">
        <f t="shared" ref="Q48" si="21">Q49+Q56</f>
        <v>6871741.9179999996</v>
      </c>
      <c r="R48" s="78">
        <f>R49</f>
        <v>1586809</v>
      </c>
      <c r="S48" s="78">
        <f>S57</f>
        <v>2621273.16</v>
      </c>
      <c r="T48" s="78">
        <f>T49+T56+T57</f>
        <v>26953289.079891924</v>
      </c>
      <c r="U48" s="78">
        <f t="shared" ref="U48:V48" si="22">U49+U56+U57</f>
        <v>26953289.079891928</v>
      </c>
      <c r="V48" s="78">
        <f t="shared" si="22"/>
        <v>26953289.079891928</v>
      </c>
    </row>
    <row r="49" spans="1:23" ht="96.6" customHeight="1" x14ac:dyDescent="0.25">
      <c r="A49" s="206" t="s">
        <v>260</v>
      </c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75"/>
      <c r="M49" s="75">
        <f t="shared" si="5"/>
        <v>0</v>
      </c>
      <c r="N49" s="75">
        <f>SUM(N50:N53)</f>
        <v>10905385</v>
      </c>
      <c r="O49" s="75">
        <f t="shared" ref="O49:Q49" si="23">SUM(O50:O53)</f>
        <v>4625556.0018919278</v>
      </c>
      <c r="P49" s="75">
        <f>P55</f>
        <v>342524</v>
      </c>
      <c r="Q49" s="75">
        <f t="shared" si="23"/>
        <v>4216899.22</v>
      </c>
      <c r="R49" s="75">
        <f>R54</f>
        <v>1586809</v>
      </c>
      <c r="S49" s="75"/>
      <c r="T49" s="75">
        <f>SUM(T50:T55)</f>
        <v>21677173.221891925</v>
      </c>
      <c r="U49" s="75">
        <f t="shared" ref="U49:V49" si="24">SUM(U50:U55)</f>
        <v>21677173.221891928</v>
      </c>
      <c r="V49" s="75">
        <f t="shared" si="24"/>
        <v>21677173.221891928</v>
      </c>
      <c r="W49" s="85">
        <f>S48+T49</f>
        <v>24298446.381891925</v>
      </c>
    </row>
    <row r="50" spans="1:23" ht="105" x14ac:dyDescent="0.25">
      <c r="A50" s="83"/>
      <c r="B50" s="97" t="s">
        <v>19</v>
      </c>
      <c r="C50" s="93" t="s">
        <v>0</v>
      </c>
      <c r="D50" s="197" t="s">
        <v>20</v>
      </c>
      <c r="E50" s="87">
        <v>37</v>
      </c>
      <c r="F50" s="87">
        <v>37</v>
      </c>
      <c r="G50" s="87">
        <f>(E50*8+F50*4)/12</f>
        <v>37</v>
      </c>
      <c r="H50" s="87">
        <v>37</v>
      </c>
      <c r="I50" s="87">
        <v>37</v>
      </c>
      <c r="J50" s="75">
        <v>43138.04</v>
      </c>
      <c r="K50" s="75">
        <v>21614.746317252</v>
      </c>
      <c r="L50" s="75">
        <v>18972.009999999998</v>
      </c>
      <c r="M50" s="75">
        <f t="shared" si="5"/>
        <v>83724.796317251996</v>
      </c>
      <c r="N50" s="75">
        <f>G50*J50+0.25</f>
        <v>1596107.73</v>
      </c>
      <c r="O50" s="75">
        <f>G50*K50+0.29</f>
        <v>799745.90373832406</v>
      </c>
      <c r="P50" s="75"/>
      <c r="Q50" s="75">
        <f>G50*L50</f>
        <v>701964.37</v>
      </c>
      <c r="R50" s="75"/>
      <c r="S50" s="75"/>
      <c r="T50" s="75">
        <f>SUM(N50:Q50)</f>
        <v>3097818.0037383242</v>
      </c>
      <c r="U50" s="75">
        <f>T50</f>
        <v>3097818.0037383242</v>
      </c>
      <c r="V50" s="75">
        <f>U50</f>
        <v>3097818.0037383242</v>
      </c>
    </row>
    <row r="51" spans="1:23" x14ac:dyDescent="0.25">
      <c r="A51" s="88"/>
      <c r="B51" s="97" t="s">
        <v>24</v>
      </c>
      <c r="C51" s="97"/>
      <c r="D51" s="86" t="s">
        <v>20</v>
      </c>
      <c r="E51" s="87">
        <v>79</v>
      </c>
      <c r="F51" s="87">
        <v>79</v>
      </c>
      <c r="G51" s="87">
        <f>(E51*8+F51*4)/12</f>
        <v>79</v>
      </c>
      <c r="H51" s="87">
        <v>79</v>
      </c>
      <c r="I51" s="87">
        <v>79</v>
      </c>
      <c r="J51" s="75">
        <v>34198.17</v>
      </c>
      <c r="K51" s="75">
        <v>21614.746317252</v>
      </c>
      <c r="L51" s="75">
        <v>18972.009999999998</v>
      </c>
      <c r="M51" s="75">
        <f t="shared" si="5"/>
        <v>74784.926317252</v>
      </c>
      <c r="N51" s="75">
        <f t="shared" ref="N51:N56" si="25">G51*J51</f>
        <v>2701655.4299999997</v>
      </c>
      <c r="O51" s="75">
        <f t="shared" ref="O51:O56" si="26">G51*K51</f>
        <v>1707564.9590629081</v>
      </c>
      <c r="P51" s="75"/>
      <c r="Q51" s="75">
        <f t="shared" ref="Q51:Q52" si="27">G51*L51</f>
        <v>1498788.7899999998</v>
      </c>
      <c r="R51" s="75"/>
      <c r="S51" s="75"/>
      <c r="T51" s="75">
        <f t="shared" si="1"/>
        <v>5908009.1790629076</v>
      </c>
      <c r="U51" s="75">
        <f t="shared" si="14"/>
        <v>5908009.1790629076</v>
      </c>
      <c r="V51" s="75">
        <f t="shared" si="2"/>
        <v>5908009.1790629076</v>
      </c>
    </row>
    <row r="52" spans="1:23" ht="105" x14ac:dyDescent="0.25">
      <c r="A52" s="83"/>
      <c r="B52" s="130"/>
      <c r="C52" s="93" t="s">
        <v>38</v>
      </c>
      <c r="D52" s="197" t="s">
        <v>20</v>
      </c>
      <c r="E52" s="87">
        <v>23</v>
      </c>
      <c r="F52" s="87">
        <v>23</v>
      </c>
      <c r="G52" s="87">
        <f t="shared" ref="G52:G56" si="28">(E52*8+F52*4)/12</f>
        <v>23</v>
      </c>
      <c r="H52" s="87">
        <v>23</v>
      </c>
      <c r="I52" s="87">
        <v>23</v>
      </c>
      <c r="J52" s="75">
        <v>142093.57999999999</v>
      </c>
      <c r="K52" s="75">
        <v>21614.746317252</v>
      </c>
      <c r="L52" s="75">
        <v>18972.009999999998</v>
      </c>
      <c r="M52" s="75">
        <f t="shared" si="5"/>
        <v>182680.33631725199</v>
      </c>
      <c r="N52" s="75">
        <f t="shared" si="25"/>
        <v>3268152.34</v>
      </c>
      <c r="O52" s="75">
        <f t="shared" si="26"/>
        <v>497139.16529679601</v>
      </c>
      <c r="P52" s="75"/>
      <c r="Q52" s="75">
        <f t="shared" si="27"/>
        <v>436356.23</v>
      </c>
      <c r="R52" s="75"/>
      <c r="S52" s="75"/>
      <c r="T52" s="75">
        <f t="shared" si="1"/>
        <v>4201647.7352967951</v>
      </c>
      <c r="U52" s="75">
        <f t="shared" si="14"/>
        <v>4201647.7352967961</v>
      </c>
      <c r="V52" s="75">
        <f t="shared" si="2"/>
        <v>4201647.7352967961</v>
      </c>
    </row>
    <row r="53" spans="1:23" ht="120" x14ac:dyDescent="0.25">
      <c r="A53" s="83"/>
      <c r="B53" s="97" t="s">
        <v>24</v>
      </c>
      <c r="C53" s="93" t="s">
        <v>162</v>
      </c>
      <c r="D53" s="197" t="s">
        <v>20</v>
      </c>
      <c r="E53" s="87">
        <v>75</v>
      </c>
      <c r="F53" s="87">
        <v>75</v>
      </c>
      <c r="G53" s="87">
        <f t="shared" si="28"/>
        <v>75</v>
      </c>
      <c r="H53" s="87">
        <v>75</v>
      </c>
      <c r="I53" s="87">
        <v>75</v>
      </c>
      <c r="J53" s="75">
        <v>44526.26</v>
      </c>
      <c r="K53" s="75">
        <v>21614.746317252</v>
      </c>
      <c r="L53" s="75">
        <v>18972.009999999998</v>
      </c>
      <c r="M53" s="75">
        <f t="shared" si="5"/>
        <v>85113.016317251997</v>
      </c>
      <c r="N53" s="75">
        <f t="shared" si="25"/>
        <v>3339469.5</v>
      </c>
      <c r="O53" s="75">
        <f t="shared" si="26"/>
        <v>1621105.9737939001</v>
      </c>
      <c r="P53" s="75"/>
      <c r="Q53" s="75">
        <f>G53*L53+156889.08</f>
        <v>1579789.8299999998</v>
      </c>
      <c r="R53" s="75"/>
      <c r="S53" s="75"/>
      <c r="T53" s="75">
        <f t="shared" si="1"/>
        <v>6540365.3037938997</v>
      </c>
      <c r="U53" s="75">
        <f>T53</f>
        <v>6540365.3037938997</v>
      </c>
      <c r="V53" s="75">
        <f>U53</f>
        <v>6540365.3037938997</v>
      </c>
    </row>
    <row r="54" spans="1:23" x14ac:dyDescent="0.25">
      <c r="A54" s="83"/>
      <c r="B54" s="89" t="s">
        <v>225</v>
      </c>
      <c r="C54" s="127" t="s">
        <v>219</v>
      </c>
      <c r="D54" s="197"/>
      <c r="E54" s="87"/>
      <c r="F54" s="87"/>
      <c r="G54" s="87">
        <v>20</v>
      </c>
      <c r="H54" s="87">
        <v>20</v>
      </c>
      <c r="I54" s="87">
        <v>20</v>
      </c>
      <c r="J54" s="75"/>
      <c r="K54" s="75"/>
      <c r="L54" s="75"/>
      <c r="M54" s="75"/>
      <c r="N54" s="75"/>
      <c r="O54" s="75"/>
      <c r="P54" s="75"/>
      <c r="Q54" s="75"/>
      <c r="R54" s="75">
        <v>1586809</v>
      </c>
      <c r="S54" s="75"/>
      <c r="T54" s="75">
        <f>R54</f>
        <v>1586809</v>
      </c>
      <c r="U54" s="75">
        <f>R54</f>
        <v>1586809</v>
      </c>
      <c r="V54" s="75">
        <f>R54</f>
        <v>1586809</v>
      </c>
    </row>
    <row r="55" spans="1:23" x14ac:dyDescent="0.25">
      <c r="A55" s="83"/>
      <c r="B55" s="89" t="s">
        <v>225</v>
      </c>
      <c r="C55" s="127" t="s">
        <v>226</v>
      </c>
      <c r="D55" s="197"/>
      <c r="E55" s="87"/>
      <c r="F55" s="87"/>
      <c r="G55" s="87">
        <v>12</v>
      </c>
      <c r="H55" s="87">
        <v>12</v>
      </c>
      <c r="I55" s="87">
        <v>12</v>
      </c>
      <c r="J55" s="75"/>
      <c r="K55" s="75"/>
      <c r="L55" s="75"/>
      <c r="M55" s="75"/>
      <c r="N55" s="75"/>
      <c r="O55" s="75"/>
      <c r="P55" s="75">
        <v>342524</v>
      </c>
      <c r="Q55" s="75"/>
      <c r="R55" s="75"/>
      <c r="S55" s="75"/>
      <c r="T55" s="75">
        <f>P55</f>
        <v>342524</v>
      </c>
      <c r="U55" s="75">
        <f>P55</f>
        <v>342524</v>
      </c>
      <c r="V55" s="75">
        <f>P55</f>
        <v>342524</v>
      </c>
    </row>
    <row r="56" spans="1:23" ht="90" x14ac:dyDescent="0.25">
      <c r="A56" s="206" t="s">
        <v>261</v>
      </c>
      <c r="B56" s="197" t="s">
        <v>28</v>
      </c>
      <c r="C56" s="127" t="s">
        <v>219</v>
      </c>
      <c r="D56" s="86" t="s">
        <v>20</v>
      </c>
      <c r="E56" s="87">
        <f>E53+E52+E51+E50</f>
        <v>214</v>
      </c>
      <c r="F56" s="87">
        <f>F53+F52+F51+F50</f>
        <v>214</v>
      </c>
      <c r="G56" s="87">
        <f t="shared" si="28"/>
        <v>214</v>
      </c>
      <c r="H56" s="87">
        <f>H53+H52+H51+H50</f>
        <v>214</v>
      </c>
      <c r="I56" s="87">
        <f>I53+I52+I51+I50</f>
        <v>214</v>
      </c>
      <c r="J56" s="75" t="s">
        <v>23</v>
      </c>
      <c r="K56" s="75"/>
      <c r="L56" s="75">
        <v>12405.807000000001</v>
      </c>
      <c r="M56" s="75">
        <f t="shared" si="5"/>
        <v>12405.807000000001</v>
      </c>
      <c r="N56" s="75">
        <f t="shared" si="25"/>
        <v>0</v>
      </c>
      <c r="O56" s="75">
        <f t="shared" si="26"/>
        <v>0</v>
      </c>
      <c r="P56" s="75"/>
      <c r="Q56" s="75">
        <f>G56*L56</f>
        <v>2654842.6980000003</v>
      </c>
      <c r="R56" s="75"/>
      <c r="S56" s="75"/>
      <c r="T56" s="75">
        <f t="shared" si="1"/>
        <v>2654842.6980000003</v>
      </c>
      <c r="U56" s="75">
        <f t="shared" si="14"/>
        <v>2654842.6980000003</v>
      </c>
      <c r="V56" s="75">
        <f t="shared" si="2"/>
        <v>2654842.6980000003</v>
      </c>
    </row>
    <row r="57" spans="1:23" x14ac:dyDescent="0.25">
      <c r="A57" s="86"/>
      <c r="B57" s="197" t="s">
        <v>28</v>
      </c>
      <c r="C57" s="127" t="s">
        <v>220</v>
      </c>
      <c r="D57" s="86"/>
      <c r="E57" s="87"/>
      <c r="F57" s="87"/>
      <c r="G57" s="87"/>
      <c r="H57" s="87"/>
      <c r="I57" s="87"/>
      <c r="J57" s="75"/>
      <c r="K57" s="75"/>
      <c r="L57" s="75">
        <v>12248.94</v>
      </c>
      <c r="M57" s="75"/>
      <c r="N57" s="75"/>
      <c r="O57" s="75"/>
      <c r="P57" s="75"/>
      <c r="Q57" s="75"/>
      <c r="R57" s="75"/>
      <c r="S57" s="75">
        <f>L57*G56</f>
        <v>2621273.16</v>
      </c>
      <c r="T57" s="75">
        <f>S57</f>
        <v>2621273.16</v>
      </c>
      <c r="U57" s="75">
        <f>S57</f>
        <v>2621273.16</v>
      </c>
      <c r="V57" s="75">
        <f>S57</f>
        <v>2621273.16</v>
      </c>
    </row>
    <row r="58" spans="1:23" x14ac:dyDescent="0.25">
      <c r="A58" s="198" t="s">
        <v>49</v>
      </c>
      <c r="B58" s="94"/>
      <c r="C58" s="94"/>
      <c r="D58" s="94"/>
      <c r="E58" s="92"/>
      <c r="F58" s="92"/>
      <c r="G58" s="92"/>
      <c r="H58" s="92"/>
      <c r="I58" s="92"/>
      <c r="J58" s="78"/>
      <c r="K58" s="78"/>
      <c r="L58" s="78"/>
      <c r="M58" s="78">
        <f t="shared" si="5"/>
        <v>0</v>
      </c>
      <c r="N58" s="78">
        <f>N59+N66</f>
        <v>5042427</v>
      </c>
      <c r="O58" s="78">
        <f>O59+O66</f>
        <v>2550539.9954357361</v>
      </c>
      <c r="P58" s="78">
        <f>P59</f>
        <v>171262</v>
      </c>
      <c r="Q58" s="78">
        <f>Q59+Q66</f>
        <v>3577071.1359999999</v>
      </c>
      <c r="R58" s="78">
        <f>R59</f>
        <v>982773</v>
      </c>
      <c r="S58" s="78">
        <f>S67</f>
        <v>1445374.9200000002</v>
      </c>
      <c r="T58" s="78">
        <f>T59+T66+T67</f>
        <v>13769448.051435737</v>
      </c>
      <c r="U58" s="78">
        <f>U59+U66+U67</f>
        <v>13769448.051435737</v>
      </c>
      <c r="V58" s="78">
        <f t="shared" ref="V58" si="29">V59+V66+V67</f>
        <v>13769448.051435737</v>
      </c>
    </row>
    <row r="59" spans="1:23" ht="96" customHeight="1" x14ac:dyDescent="0.25">
      <c r="A59" s="206" t="s">
        <v>260</v>
      </c>
      <c r="B59" s="84" t="s">
        <v>76</v>
      </c>
      <c r="C59" s="128"/>
      <c r="D59" s="95"/>
      <c r="E59" s="68"/>
      <c r="F59" s="68"/>
      <c r="G59" s="68"/>
      <c r="H59" s="68"/>
      <c r="I59" s="68"/>
      <c r="J59" s="75"/>
      <c r="K59" s="75"/>
      <c r="L59" s="75"/>
      <c r="M59" s="75">
        <f t="shared" si="5"/>
        <v>0</v>
      </c>
      <c r="N59" s="75">
        <f>SUM(N60:N63)</f>
        <v>5042427</v>
      </c>
      <c r="O59" s="75">
        <f t="shared" ref="O59:Q59" si="30">SUM(O60:O63)</f>
        <v>2550539.9954357361</v>
      </c>
      <c r="P59" s="190">
        <f>P65</f>
        <v>171262</v>
      </c>
      <c r="Q59" s="75">
        <f t="shared" si="30"/>
        <v>2238697.1799999997</v>
      </c>
      <c r="R59" s="75">
        <f>R64</f>
        <v>982773</v>
      </c>
      <c r="S59" s="75"/>
      <c r="T59" s="75">
        <f>SUM(T60:T65)</f>
        <v>10985699.175435737</v>
      </c>
      <c r="U59" s="75">
        <f>SUM(U60:U65)</f>
        <v>10985699.175435737</v>
      </c>
      <c r="V59" s="75">
        <f t="shared" ref="V59" si="31">SUM(V60:V65)</f>
        <v>10985699.175435737</v>
      </c>
    </row>
    <row r="60" spans="1:23" ht="105" x14ac:dyDescent="0.25">
      <c r="A60" s="83"/>
      <c r="B60" s="97" t="s">
        <v>19</v>
      </c>
      <c r="C60" s="93" t="s">
        <v>0</v>
      </c>
      <c r="D60" s="197" t="s">
        <v>20</v>
      </c>
      <c r="E60" s="87">
        <v>26</v>
      </c>
      <c r="F60" s="87">
        <v>26</v>
      </c>
      <c r="G60" s="87">
        <f t="shared" ref="G60:G63" si="32">(E60*8+F60*4)/12</f>
        <v>26</v>
      </c>
      <c r="H60" s="87">
        <v>26</v>
      </c>
      <c r="I60" s="87">
        <v>26</v>
      </c>
      <c r="J60" s="75">
        <v>43138.04</v>
      </c>
      <c r="K60" s="75">
        <v>21614.746317252</v>
      </c>
      <c r="L60" s="75">
        <v>18972.009999999998</v>
      </c>
      <c r="M60" s="75">
        <f t="shared" si="5"/>
        <v>83724.796317251996</v>
      </c>
      <c r="N60" s="75">
        <f>G60*J60-0.43</f>
        <v>1121588.6100000001</v>
      </c>
      <c r="O60" s="75">
        <f>G60*K60-0.07</f>
        <v>561983.3342485521</v>
      </c>
      <c r="P60" s="75"/>
      <c r="Q60" s="75">
        <f>G60*L60</f>
        <v>493272.25999999995</v>
      </c>
      <c r="R60" s="75"/>
      <c r="S60" s="75"/>
      <c r="T60" s="75">
        <f>SUM(N60:Q60)</f>
        <v>2176844.2042485522</v>
      </c>
      <c r="U60" s="75">
        <f>T60</f>
        <v>2176844.2042485522</v>
      </c>
      <c r="V60" s="75">
        <f>U60</f>
        <v>2176844.2042485522</v>
      </c>
    </row>
    <row r="61" spans="1:23" x14ac:dyDescent="0.25">
      <c r="A61" s="88"/>
      <c r="B61" s="97" t="s">
        <v>24</v>
      </c>
      <c r="C61" s="97"/>
      <c r="D61" s="86" t="s">
        <v>20</v>
      </c>
      <c r="E61" s="87">
        <v>17</v>
      </c>
      <c r="F61" s="87">
        <v>17</v>
      </c>
      <c r="G61" s="87">
        <f>(E61*8+F61*4)/12</f>
        <v>17</v>
      </c>
      <c r="H61" s="87">
        <v>17</v>
      </c>
      <c r="I61" s="87">
        <v>17</v>
      </c>
      <c r="J61" s="75">
        <v>34198.17</v>
      </c>
      <c r="K61" s="75">
        <v>21614.746317252</v>
      </c>
      <c r="L61" s="75">
        <v>18972.009999999998</v>
      </c>
      <c r="M61" s="75">
        <f t="shared" si="5"/>
        <v>74784.926317252</v>
      </c>
      <c r="N61" s="75">
        <f>G61*J61</f>
        <v>581368.89</v>
      </c>
      <c r="O61" s="75">
        <f>G61*K61</f>
        <v>367450.687393284</v>
      </c>
      <c r="P61" s="75"/>
      <c r="Q61" s="75">
        <f>G61*L61</f>
        <v>322524.17</v>
      </c>
      <c r="R61" s="75"/>
      <c r="S61" s="75"/>
      <c r="T61" s="75">
        <f>SUM(N61:Q61)</f>
        <v>1271343.747393284</v>
      </c>
      <c r="U61" s="75">
        <f>H61*M61</f>
        <v>1271343.747393284</v>
      </c>
      <c r="V61" s="75">
        <f>I61*M61</f>
        <v>1271343.747393284</v>
      </c>
    </row>
    <row r="62" spans="1:23" ht="105" x14ac:dyDescent="0.25">
      <c r="A62" s="88"/>
      <c r="B62" s="97" t="s">
        <v>24</v>
      </c>
      <c r="C62" s="93" t="s">
        <v>179</v>
      </c>
      <c r="D62" s="86" t="s">
        <v>20</v>
      </c>
      <c r="E62" s="87">
        <v>0</v>
      </c>
      <c r="F62" s="87">
        <v>0</v>
      </c>
      <c r="G62" s="87">
        <f>(E62*8+F62*4)/12</f>
        <v>0</v>
      </c>
      <c r="H62" s="87">
        <v>0</v>
      </c>
      <c r="I62" s="87">
        <v>0</v>
      </c>
      <c r="J62" s="75">
        <v>67236.92</v>
      </c>
      <c r="K62" s="75">
        <v>21614.746317252</v>
      </c>
      <c r="L62" s="75">
        <v>18972.009999999998</v>
      </c>
      <c r="M62" s="75">
        <f>J62+K62+L62</f>
        <v>107823.676317252</v>
      </c>
      <c r="N62" s="75">
        <f>G62*J62</f>
        <v>0</v>
      </c>
      <c r="O62" s="75">
        <f>G62*K62</f>
        <v>0</v>
      </c>
      <c r="P62" s="75"/>
      <c r="Q62" s="75">
        <f>G62*L62</f>
        <v>0</v>
      </c>
      <c r="R62" s="75"/>
      <c r="S62" s="75"/>
      <c r="T62" s="75">
        <f>SUM(N62:Q62)</f>
        <v>0</v>
      </c>
      <c r="U62" s="75">
        <f>H62*M62</f>
        <v>0</v>
      </c>
      <c r="V62" s="75">
        <f>I62*M62</f>
        <v>0</v>
      </c>
    </row>
    <row r="63" spans="1:23" ht="120" x14ac:dyDescent="0.25">
      <c r="A63" s="88"/>
      <c r="B63" s="97" t="s">
        <v>24</v>
      </c>
      <c r="C63" s="93" t="s">
        <v>162</v>
      </c>
      <c r="D63" s="197" t="s">
        <v>20</v>
      </c>
      <c r="E63" s="87">
        <v>75</v>
      </c>
      <c r="F63" s="87">
        <v>75</v>
      </c>
      <c r="G63" s="87">
        <f t="shared" si="32"/>
        <v>75</v>
      </c>
      <c r="H63" s="87">
        <v>75</v>
      </c>
      <c r="I63" s="87">
        <v>75</v>
      </c>
      <c r="J63" s="75">
        <v>44526.26</v>
      </c>
      <c r="K63" s="75">
        <v>21614.746317252</v>
      </c>
      <c r="L63" s="75">
        <v>18972.009999999998</v>
      </c>
      <c r="M63" s="75">
        <f t="shared" ref="M63" si="33">J63+K63+L63</f>
        <v>85113.016317251997</v>
      </c>
      <c r="N63" s="75">
        <f t="shared" ref="N63:N66" si="34">G63*J63</f>
        <v>3339469.5</v>
      </c>
      <c r="O63" s="75">
        <f t="shared" ref="O63:O66" si="35">G63*K63</f>
        <v>1621105.9737939001</v>
      </c>
      <c r="P63" s="75"/>
      <c r="Q63" s="75">
        <f t="shared" ref="Q63" si="36">G63*L63</f>
        <v>1422900.7499999998</v>
      </c>
      <c r="R63" s="75"/>
      <c r="S63" s="75"/>
      <c r="T63" s="75">
        <f t="shared" ref="T63" si="37">SUM(N63:Q63)</f>
        <v>6383476.2237938996</v>
      </c>
      <c r="U63" s="75">
        <f t="shared" ref="U63" si="38">H63*M63</f>
        <v>6383476.2237938996</v>
      </c>
      <c r="V63" s="75">
        <f t="shared" ref="V63" si="39">I63*M63</f>
        <v>6383476.2237938996</v>
      </c>
    </row>
    <row r="64" spans="1:23" x14ac:dyDescent="0.25">
      <c r="A64" s="88"/>
      <c r="B64" s="89" t="s">
        <v>225</v>
      </c>
      <c r="C64" s="127" t="s">
        <v>219</v>
      </c>
      <c r="D64" s="197"/>
      <c r="E64" s="87"/>
      <c r="F64" s="87"/>
      <c r="G64" s="87">
        <v>12</v>
      </c>
      <c r="H64" s="87">
        <v>12</v>
      </c>
      <c r="I64" s="87">
        <v>12</v>
      </c>
      <c r="J64" s="75"/>
      <c r="K64" s="75"/>
      <c r="L64" s="75"/>
      <c r="M64" s="75"/>
      <c r="N64" s="75"/>
      <c r="O64" s="75"/>
      <c r="P64" s="75"/>
      <c r="Q64" s="75"/>
      <c r="R64" s="75">
        <v>982773</v>
      </c>
      <c r="S64" s="75"/>
      <c r="T64" s="75">
        <f>R64</f>
        <v>982773</v>
      </c>
      <c r="U64" s="75">
        <f>R64</f>
        <v>982773</v>
      </c>
      <c r="V64" s="75">
        <f>R64</f>
        <v>982773</v>
      </c>
    </row>
    <row r="65" spans="1:22" x14ac:dyDescent="0.25">
      <c r="A65" s="88"/>
      <c r="B65" s="89" t="s">
        <v>225</v>
      </c>
      <c r="C65" s="127" t="s">
        <v>226</v>
      </c>
      <c r="D65" s="197"/>
      <c r="E65" s="87"/>
      <c r="F65" s="87"/>
      <c r="G65" s="87">
        <v>6</v>
      </c>
      <c r="H65" s="87">
        <v>6</v>
      </c>
      <c r="I65" s="87">
        <v>6</v>
      </c>
      <c r="J65" s="75"/>
      <c r="K65" s="75"/>
      <c r="L65" s="75"/>
      <c r="M65" s="75"/>
      <c r="N65" s="75"/>
      <c r="O65" s="75"/>
      <c r="P65" s="75">
        <v>171262</v>
      </c>
      <c r="Q65" s="75"/>
      <c r="R65" s="75"/>
      <c r="S65" s="75"/>
      <c r="T65" s="75">
        <f>P65</f>
        <v>171262</v>
      </c>
      <c r="U65" s="75">
        <f>P65</f>
        <v>171262</v>
      </c>
      <c r="V65" s="75">
        <f>P65</f>
        <v>171262</v>
      </c>
    </row>
    <row r="66" spans="1:22" x14ac:dyDescent="0.25">
      <c r="A66" s="86" t="s">
        <v>261</v>
      </c>
      <c r="B66" s="197" t="s">
        <v>28</v>
      </c>
      <c r="C66" s="127" t="s">
        <v>219</v>
      </c>
      <c r="D66" s="86" t="s">
        <v>20</v>
      </c>
      <c r="E66" s="87">
        <f>E63+E62+E61+E60</f>
        <v>118</v>
      </c>
      <c r="F66" s="87">
        <f>F63+F62+F61+F60</f>
        <v>118</v>
      </c>
      <c r="G66" s="87">
        <f>(E66*8+F66*4)/12</f>
        <v>118</v>
      </c>
      <c r="H66" s="87">
        <f>H63+H62+H61+H60</f>
        <v>118</v>
      </c>
      <c r="I66" s="87">
        <f>I63+I62+I61+I60</f>
        <v>118</v>
      </c>
      <c r="J66" s="75" t="s">
        <v>23</v>
      </c>
      <c r="K66" s="75"/>
      <c r="L66" s="75">
        <v>12405.807000000001</v>
      </c>
      <c r="M66" s="75">
        <f t="shared" si="5"/>
        <v>12405.807000000001</v>
      </c>
      <c r="N66" s="75">
        <f t="shared" si="34"/>
        <v>0</v>
      </c>
      <c r="O66" s="75">
        <f t="shared" si="35"/>
        <v>0</v>
      </c>
      <c r="P66" s="75"/>
      <c r="Q66" s="75">
        <f>G66*L66-125511.27</f>
        <v>1338373.956</v>
      </c>
      <c r="R66" s="75"/>
      <c r="S66" s="75"/>
      <c r="T66" s="75">
        <f t="shared" si="1"/>
        <v>1338373.956</v>
      </c>
      <c r="U66" s="75">
        <f>T66</f>
        <v>1338373.956</v>
      </c>
      <c r="V66" s="75">
        <f>U66</f>
        <v>1338373.956</v>
      </c>
    </row>
    <row r="67" spans="1:22" x14ac:dyDescent="0.25">
      <c r="A67" s="86"/>
      <c r="B67" s="197" t="s">
        <v>28</v>
      </c>
      <c r="C67" s="127" t="s">
        <v>220</v>
      </c>
      <c r="D67" s="86"/>
      <c r="E67" s="87"/>
      <c r="F67" s="87"/>
      <c r="G67" s="87"/>
      <c r="H67" s="87"/>
      <c r="I67" s="87"/>
      <c r="J67" s="75"/>
      <c r="K67" s="75"/>
      <c r="L67" s="75">
        <v>12248.94</v>
      </c>
      <c r="M67" s="75"/>
      <c r="N67" s="75"/>
      <c r="O67" s="75"/>
      <c r="P67" s="75"/>
      <c r="Q67" s="75"/>
      <c r="R67" s="75"/>
      <c r="S67" s="75">
        <f>L67*G66</f>
        <v>1445374.9200000002</v>
      </c>
      <c r="T67" s="75">
        <f>S67</f>
        <v>1445374.9200000002</v>
      </c>
      <c r="U67" s="75">
        <f>S67</f>
        <v>1445374.9200000002</v>
      </c>
      <c r="V67" s="75">
        <f>S67</f>
        <v>1445374.9200000002</v>
      </c>
    </row>
    <row r="68" spans="1:22" x14ac:dyDescent="0.25">
      <c r="A68" s="198" t="s">
        <v>53</v>
      </c>
      <c r="B68" s="94"/>
      <c r="C68" s="94"/>
      <c r="D68" s="94"/>
      <c r="E68" s="92"/>
      <c r="F68" s="92"/>
      <c r="G68" s="92"/>
      <c r="H68" s="92"/>
      <c r="I68" s="92"/>
      <c r="J68" s="78"/>
      <c r="K68" s="78"/>
      <c r="L68" s="78"/>
      <c r="M68" s="78">
        <f t="shared" si="5"/>
        <v>0</v>
      </c>
      <c r="N68" s="78">
        <f>N69+N75</f>
        <v>6665434</v>
      </c>
      <c r="O68" s="78">
        <f>O69+O75</f>
        <v>3458359.0007603196</v>
      </c>
      <c r="P68" s="78">
        <f>P69</f>
        <v>285437</v>
      </c>
      <c r="Q68" s="78">
        <f t="shared" ref="Q68" si="40">Q69+Q75</f>
        <v>5051828.54</v>
      </c>
      <c r="R68" s="78">
        <f>R69</f>
        <v>2153854</v>
      </c>
      <c r="S68" s="78">
        <f>S76</f>
        <v>1959830.4000000001</v>
      </c>
      <c r="T68" s="78">
        <f>T69+T75+T76</f>
        <v>19574742.940760318</v>
      </c>
      <c r="U68" s="78">
        <f t="shared" ref="U68:V68" si="41">U69+U75+U76</f>
        <v>19574742.940760318</v>
      </c>
      <c r="V68" s="78">
        <f t="shared" si="41"/>
        <v>19574742.940760318</v>
      </c>
    </row>
    <row r="69" spans="1:22" ht="94.9" customHeight="1" x14ac:dyDescent="0.25">
      <c r="A69" s="206" t="s">
        <v>260</v>
      </c>
      <c r="B69" s="84" t="s">
        <v>76</v>
      </c>
      <c r="C69" s="128"/>
      <c r="D69" s="95"/>
      <c r="E69" s="68"/>
      <c r="F69" s="68"/>
      <c r="G69" s="68"/>
      <c r="H69" s="68"/>
      <c r="I69" s="68"/>
      <c r="J69" s="75"/>
      <c r="K69" s="75"/>
      <c r="L69" s="75"/>
      <c r="M69" s="75">
        <f t="shared" si="5"/>
        <v>0</v>
      </c>
      <c r="N69" s="75">
        <f>SUM(N70:N72)</f>
        <v>6665434</v>
      </c>
      <c r="O69" s="75">
        <f>SUM(O70:O72)</f>
        <v>3458359.0007603196</v>
      </c>
      <c r="P69" s="75">
        <f>P74</f>
        <v>285437</v>
      </c>
      <c r="Q69" s="75">
        <f t="shared" ref="Q69" si="42">SUM(Q70:Q72)</f>
        <v>3035521.5999999996</v>
      </c>
      <c r="R69" s="75">
        <f>R73</f>
        <v>2153854</v>
      </c>
      <c r="S69" s="75"/>
      <c r="T69" s="75">
        <f>SUM(T70:T74)</f>
        <v>15598605.60076032</v>
      </c>
      <c r="U69" s="75">
        <f t="shared" ref="U69:V69" si="43">SUM(U70:U74)</f>
        <v>15598605.60076032</v>
      </c>
      <c r="V69" s="75">
        <f t="shared" si="43"/>
        <v>15598605.60076032</v>
      </c>
    </row>
    <row r="70" spans="1:22" ht="105" x14ac:dyDescent="0.25">
      <c r="A70" s="83"/>
      <c r="B70" s="97" t="s">
        <v>19</v>
      </c>
      <c r="C70" s="93" t="s">
        <v>0</v>
      </c>
      <c r="D70" s="197" t="s">
        <v>20</v>
      </c>
      <c r="E70" s="87">
        <v>18</v>
      </c>
      <c r="F70" s="87">
        <v>18</v>
      </c>
      <c r="G70" s="87">
        <f t="shared" ref="G70:G75" si="44">(E70*8+F70*4)/12</f>
        <v>18</v>
      </c>
      <c r="H70" s="87">
        <v>18</v>
      </c>
      <c r="I70" s="87">
        <v>18</v>
      </c>
      <c r="J70" s="75">
        <v>43138.04</v>
      </c>
      <c r="K70" s="75">
        <v>21614.746317252</v>
      </c>
      <c r="L70" s="75">
        <v>18972.009999999998</v>
      </c>
      <c r="M70" s="75">
        <f t="shared" si="5"/>
        <v>83724.796317251996</v>
      </c>
      <c r="N70" s="75">
        <f>G70*J70</f>
        <v>776484.72</v>
      </c>
      <c r="O70" s="75">
        <f>G70*K70</f>
        <v>389065.43371053599</v>
      </c>
      <c r="P70" s="75"/>
      <c r="Q70" s="75">
        <f>G70*L70</f>
        <v>341496.18</v>
      </c>
      <c r="R70" s="75"/>
      <c r="S70" s="75"/>
      <c r="T70" s="75">
        <f t="shared" si="1"/>
        <v>1507046.3337105359</v>
      </c>
      <c r="U70" s="75">
        <f t="shared" si="14"/>
        <v>1507046.3337105359</v>
      </c>
      <c r="V70" s="75">
        <f t="shared" si="2"/>
        <v>1507046.3337105359</v>
      </c>
    </row>
    <row r="71" spans="1:22" x14ac:dyDescent="0.25">
      <c r="A71" s="88"/>
      <c r="B71" s="97" t="s">
        <v>24</v>
      </c>
      <c r="C71" s="97"/>
      <c r="D71" s="86" t="s">
        <v>20</v>
      </c>
      <c r="E71" s="87">
        <v>42</v>
      </c>
      <c r="F71" s="87">
        <v>42</v>
      </c>
      <c r="G71" s="87">
        <f t="shared" si="44"/>
        <v>42</v>
      </c>
      <c r="H71" s="87">
        <v>42</v>
      </c>
      <c r="I71" s="87">
        <v>42</v>
      </c>
      <c r="J71" s="75">
        <v>34198.17</v>
      </c>
      <c r="K71" s="75">
        <v>21614.746317252</v>
      </c>
      <c r="L71" s="75">
        <v>18972.009999999998</v>
      </c>
      <c r="M71" s="75">
        <f t="shared" si="5"/>
        <v>74784.926317252</v>
      </c>
      <c r="N71" s="75">
        <f>G71*J71</f>
        <v>1436323.14</v>
      </c>
      <c r="O71" s="75">
        <f>G71*K71</f>
        <v>907819.34532458405</v>
      </c>
      <c r="P71" s="75"/>
      <c r="Q71" s="75">
        <f t="shared" ref="Q71:Q72" si="45">G71*L71</f>
        <v>796824.41999999993</v>
      </c>
      <c r="R71" s="75"/>
      <c r="S71" s="75"/>
      <c r="T71" s="75">
        <f t="shared" si="1"/>
        <v>3140966.9053245839</v>
      </c>
      <c r="U71" s="75">
        <f t="shared" si="14"/>
        <v>3140966.9053245839</v>
      </c>
      <c r="V71" s="75">
        <f t="shared" si="2"/>
        <v>3140966.9053245839</v>
      </c>
    </row>
    <row r="72" spans="1:22" ht="120" x14ac:dyDescent="0.25">
      <c r="A72" s="88"/>
      <c r="B72" s="97" t="s">
        <v>24</v>
      </c>
      <c r="C72" s="93" t="s">
        <v>162</v>
      </c>
      <c r="D72" s="197" t="s">
        <v>20</v>
      </c>
      <c r="E72" s="87">
        <v>100</v>
      </c>
      <c r="F72" s="87">
        <v>100</v>
      </c>
      <c r="G72" s="87">
        <f t="shared" si="44"/>
        <v>100</v>
      </c>
      <c r="H72" s="87">
        <v>100</v>
      </c>
      <c r="I72" s="87">
        <v>100</v>
      </c>
      <c r="J72" s="75">
        <v>44526.26</v>
      </c>
      <c r="K72" s="75">
        <v>21614.746317252</v>
      </c>
      <c r="L72" s="75">
        <v>18972.009999999998</v>
      </c>
      <c r="M72" s="75">
        <f t="shared" si="5"/>
        <v>85113.016317251997</v>
      </c>
      <c r="N72" s="75">
        <f>G72*J72+0.14</f>
        <v>4452626.1399999997</v>
      </c>
      <c r="O72" s="75">
        <f>G72*K72-0.41</f>
        <v>2161474.2217251998</v>
      </c>
      <c r="P72" s="75"/>
      <c r="Q72" s="75">
        <f t="shared" si="45"/>
        <v>1897200.9999999998</v>
      </c>
      <c r="R72" s="75"/>
      <c r="S72" s="75"/>
      <c r="T72" s="75">
        <f t="shared" si="1"/>
        <v>8511301.3617252</v>
      </c>
      <c r="U72" s="75">
        <f>T72</f>
        <v>8511301.3617252</v>
      </c>
      <c r="V72" s="75">
        <f>U72</f>
        <v>8511301.3617252</v>
      </c>
    </row>
    <row r="73" spans="1:22" x14ac:dyDescent="0.25">
      <c r="A73" s="88"/>
      <c r="B73" s="89" t="s">
        <v>225</v>
      </c>
      <c r="C73" s="127" t="s">
        <v>219</v>
      </c>
      <c r="D73" s="197"/>
      <c r="E73" s="87"/>
      <c r="F73" s="87"/>
      <c r="G73" s="87">
        <v>26</v>
      </c>
      <c r="H73" s="87">
        <v>26</v>
      </c>
      <c r="I73" s="87">
        <v>26</v>
      </c>
      <c r="J73" s="75"/>
      <c r="K73" s="75"/>
      <c r="L73" s="75"/>
      <c r="M73" s="75"/>
      <c r="N73" s="75"/>
      <c r="O73" s="75"/>
      <c r="P73" s="75"/>
      <c r="Q73" s="75"/>
      <c r="R73" s="75">
        <v>2153854</v>
      </c>
      <c r="S73" s="75"/>
      <c r="T73" s="75">
        <f>R73</f>
        <v>2153854</v>
      </c>
      <c r="U73" s="75">
        <f>R73</f>
        <v>2153854</v>
      </c>
      <c r="V73" s="75">
        <f>R73</f>
        <v>2153854</v>
      </c>
    </row>
    <row r="74" spans="1:22" x14ac:dyDescent="0.25">
      <c r="A74" s="88"/>
      <c r="B74" s="89" t="s">
        <v>225</v>
      </c>
      <c r="C74" s="127" t="s">
        <v>226</v>
      </c>
      <c r="D74" s="197"/>
      <c r="E74" s="87"/>
      <c r="F74" s="87"/>
      <c r="G74" s="87">
        <v>10</v>
      </c>
      <c r="H74" s="87">
        <v>10</v>
      </c>
      <c r="I74" s="87">
        <v>10</v>
      </c>
      <c r="J74" s="75"/>
      <c r="K74" s="75"/>
      <c r="L74" s="75"/>
      <c r="M74" s="75"/>
      <c r="N74" s="75"/>
      <c r="O74" s="75"/>
      <c r="P74" s="75">
        <v>285437</v>
      </c>
      <c r="Q74" s="75"/>
      <c r="R74" s="75"/>
      <c r="S74" s="75"/>
      <c r="T74" s="75">
        <f>P74</f>
        <v>285437</v>
      </c>
      <c r="U74" s="75">
        <f>P74</f>
        <v>285437</v>
      </c>
      <c r="V74" s="75">
        <f>P74</f>
        <v>285437</v>
      </c>
    </row>
    <row r="75" spans="1:22" ht="90" x14ac:dyDescent="0.25">
      <c r="A75" s="206" t="s">
        <v>261</v>
      </c>
      <c r="B75" s="197" t="s">
        <v>28</v>
      </c>
      <c r="C75" s="127" t="s">
        <v>219</v>
      </c>
      <c r="D75" s="86" t="s">
        <v>20</v>
      </c>
      <c r="E75" s="87">
        <f>E72+E71+E70</f>
        <v>160</v>
      </c>
      <c r="F75" s="87">
        <f>F72+F71+F70</f>
        <v>160</v>
      </c>
      <c r="G75" s="87">
        <f t="shared" si="44"/>
        <v>160</v>
      </c>
      <c r="H75" s="87">
        <f>H72+H71+H70</f>
        <v>160</v>
      </c>
      <c r="I75" s="87">
        <f>I72+I71+I70</f>
        <v>160</v>
      </c>
      <c r="J75" s="75" t="s">
        <v>23</v>
      </c>
      <c r="K75" s="75"/>
      <c r="L75" s="75">
        <v>12405.807000000001</v>
      </c>
      <c r="M75" s="75">
        <f t="shared" si="5"/>
        <v>12405.807000000001</v>
      </c>
      <c r="N75" s="75">
        <f t="shared" si="15"/>
        <v>0</v>
      </c>
      <c r="O75" s="75">
        <f t="shared" ref="O75" si="46">G75*K75</f>
        <v>0</v>
      </c>
      <c r="P75" s="75"/>
      <c r="Q75" s="75">
        <f>G75*L75+31377.82</f>
        <v>2016306.9400000002</v>
      </c>
      <c r="R75" s="75"/>
      <c r="S75" s="75"/>
      <c r="T75" s="75">
        <f t="shared" si="1"/>
        <v>2016306.9400000002</v>
      </c>
      <c r="U75" s="75">
        <f>T75</f>
        <v>2016306.9400000002</v>
      </c>
      <c r="V75" s="75">
        <f>U75</f>
        <v>2016306.9400000002</v>
      </c>
    </row>
    <row r="76" spans="1:22" x14ac:dyDescent="0.25">
      <c r="A76" s="86"/>
      <c r="B76" s="197" t="s">
        <v>28</v>
      </c>
      <c r="C76" s="127" t="s">
        <v>220</v>
      </c>
      <c r="D76" s="86"/>
      <c r="E76" s="87"/>
      <c r="F76" s="87"/>
      <c r="G76" s="87"/>
      <c r="H76" s="87"/>
      <c r="I76" s="87"/>
      <c r="J76" s="75"/>
      <c r="K76" s="75"/>
      <c r="L76" s="75">
        <v>12248.94</v>
      </c>
      <c r="M76" s="75"/>
      <c r="N76" s="75"/>
      <c r="O76" s="75"/>
      <c r="P76" s="75"/>
      <c r="Q76" s="75"/>
      <c r="R76" s="75"/>
      <c r="S76" s="75">
        <f>L76*G75</f>
        <v>1959830.4000000001</v>
      </c>
      <c r="T76" s="75">
        <f>S76:S77</f>
        <v>1959830.4000000001</v>
      </c>
      <c r="U76" s="75">
        <f>S76</f>
        <v>1959830.4000000001</v>
      </c>
      <c r="V76" s="75">
        <f>S76</f>
        <v>1959830.4000000001</v>
      </c>
    </row>
    <row r="77" spans="1:22" x14ac:dyDescent="0.25">
      <c r="A77" s="198" t="s">
        <v>57</v>
      </c>
      <c r="B77" s="94"/>
      <c r="C77" s="94"/>
      <c r="D77" s="94"/>
      <c r="E77" s="92"/>
      <c r="F77" s="92"/>
      <c r="G77" s="92"/>
      <c r="H77" s="92"/>
      <c r="I77" s="92"/>
      <c r="J77" s="78"/>
      <c r="K77" s="78"/>
      <c r="L77" s="78"/>
      <c r="M77" s="78">
        <f t="shared" si="5"/>
        <v>0</v>
      </c>
      <c r="N77" s="78">
        <f t="shared" ref="N77:Q77" si="47">N78+N87</f>
        <v>4915449.9999999991</v>
      </c>
      <c r="O77" s="78">
        <f>O78+O87</f>
        <v>2399237.0012149718</v>
      </c>
      <c r="P77" s="78">
        <f>P78</f>
        <v>199806</v>
      </c>
      <c r="Q77" s="78">
        <f t="shared" si="47"/>
        <v>3577071.1370000001</v>
      </c>
      <c r="R77" s="78">
        <f>R78</f>
        <v>1022346</v>
      </c>
      <c r="S77" s="78">
        <f>S88</f>
        <v>1359632.34</v>
      </c>
      <c r="T77" s="78">
        <f>T78+T87+T88</f>
        <v>13473542.478214974</v>
      </c>
      <c r="U77" s="78">
        <f>U78+U87+U88</f>
        <v>13473542.478214974</v>
      </c>
      <c r="V77" s="78">
        <f t="shared" ref="V77" si="48">V78+V87+V88</f>
        <v>13473542.478214974</v>
      </c>
    </row>
    <row r="78" spans="1:22" ht="96" customHeight="1" x14ac:dyDescent="0.25">
      <c r="A78" s="206" t="s">
        <v>260</v>
      </c>
      <c r="B78" s="84" t="s">
        <v>76</v>
      </c>
      <c r="C78" s="128"/>
      <c r="D78" s="95"/>
      <c r="E78" s="68"/>
      <c r="F78" s="68"/>
      <c r="G78" s="68"/>
      <c r="H78" s="68"/>
      <c r="I78" s="68"/>
      <c r="J78" s="75"/>
      <c r="K78" s="75"/>
      <c r="L78" s="75"/>
      <c r="M78" s="75">
        <f t="shared" si="5"/>
        <v>0</v>
      </c>
      <c r="N78" s="75">
        <f t="shared" ref="N78:Q78" si="49">SUM(N79:N84)</f>
        <v>4915449.9999999991</v>
      </c>
      <c r="O78" s="75">
        <f t="shared" si="49"/>
        <v>2399237.0012149718</v>
      </c>
      <c r="P78" s="75">
        <f>P86</f>
        <v>199806</v>
      </c>
      <c r="Q78" s="75">
        <f t="shared" si="49"/>
        <v>2105893.11</v>
      </c>
      <c r="R78" s="75">
        <f>R85</f>
        <v>1022346</v>
      </c>
      <c r="S78" s="75"/>
      <c r="T78" s="75">
        <f>SUM(T79:T86)</f>
        <v>10642732.111214973</v>
      </c>
      <c r="U78" s="75">
        <f t="shared" ref="U78:V78" si="50">SUM(U79:U86)</f>
        <v>10642732.111214973</v>
      </c>
      <c r="V78" s="75">
        <f t="shared" si="50"/>
        <v>10642732.111214973</v>
      </c>
    </row>
    <row r="79" spans="1:22" ht="105" x14ac:dyDescent="0.25">
      <c r="A79" s="83"/>
      <c r="B79" s="97" t="s">
        <v>19</v>
      </c>
      <c r="C79" s="93" t="s">
        <v>0</v>
      </c>
      <c r="D79" s="197" t="s">
        <v>20</v>
      </c>
      <c r="E79" s="87">
        <v>21</v>
      </c>
      <c r="F79" s="87">
        <v>21</v>
      </c>
      <c r="G79" s="87">
        <f t="shared" ref="G79:G80" si="51">(E79*8+F79*4)/12</f>
        <v>21</v>
      </c>
      <c r="H79" s="87">
        <v>21</v>
      </c>
      <c r="I79" s="87">
        <v>21</v>
      </c>
      <c r="J79" s="75">
        <v>43138.04</v>
      </c>
      <c r="K79" s="75">
        <v>21614.746317252</v>
      </c>
      <c r="L79" s="75">
        <v>18972.009999999998</v>
      </c>
      <c r="M79" s="75">
        <f t="shared" si="5"/>
        <v>83724.796317251996</v>
      </c>
      <c r="N79" s="75">
        <f>G79*J79+0.31</f>
        <v>905899.15</v>
      </c>
      <c r="O79" s="75">
        <f>G79*K79+0.16</f>
        <v>453909.832662292</v>
      </c>
      <c r="P79" s="75"/>
      <c r="Q79" s="75">
        <f>G79*L79</f>
        <v>398412.20999999996</v>
      </c>
      <c r="R79" s="75"/>
      <c r="S79" s="75"/>
      <c r="T79" s="75">
        <f t="shared" si="1"/>
        <v>1758221.1926622919</v>
      </c>
      <c r="U79" s="75">
        <f>T79</f>
        <v>1758221.1926622919</v>
      </c>
      <c r="V79" s="75">
        <f>U79</f>
        <v>1758221.1926622919</v>
      </c>
    </row>
    <row r="80" spans="1:22" x14ac:dyDescent="0.25">
      <c r="A80" s="88"/>
      <c r="B80" s="97" t="s">
        <v>24</v>
      </c>
      <c r="C80" s="97"/>
      <c r="D80" s="86" t="s">
        <v>20</v>
      </c>
      <c r="E80" s="87">
        <v>17</v>
      </c>
      <c r="F80" s="87">
        <v>17</v>
      </c>
      <c r="G80" s="87">
        <f t="shared" si="51"/>
        <v>17</v>
      </c>
      <c r="H80" s="87">
        <v>17</v>
      </c>
      <c r="I80" s="87">
        <v>17</v>
      </c>
      <c r="J80" s="75">
        <v>34198.17</v>
      </c>
      <c r="K80" s="75">
        <v>21614.746317252</v>
      </c>
      <c r="L80" s="75">
        <v>18972.009999999998</v>
      </c>
      <c r="M80" s="75">
        <f t="shared" si="5"/>
        <v>74784.926317252</v>
      </c>
      <c r="N80" s="75">
        <f t="shared" ref="N80:N87" si="52">G80*J80</f>
        <v>581368.89</v>
      </c>
      <c r="O80" s="75">
        <f t="shared" ref="O80:O87" si="53">G80*K80</f>
        <v>367450.687393284</v>
      </c>
      <c r="P80" s="75"/>
      <c r="Q80" s="75">
        <f t="shared" ref="Q80" si="54">G80*L80</f>
        <v>322524.17</v>
      </c>
      <c r="R80" s="75"/>
      <c r="S80" s="75"/>
      <c r="T80" s="75">
        <f t="shared" si="1"/>
        <v>1271343.747393284</v>
      </c>
      <c r="U80" s="75">
        <f t="shared" si="14"/>
        <v>1271343.747393284</v>
      </c>
      <c r="V80" s="75">
        <f t="shared" si="2"/>
        <v>1271343.747393284</v>
      </c>
    </row>
    <row r="81" spans="1:22" ht="120" x14ac:dyDescent="0.25">
      <c r="A81" s="83"/>
      <c r="B81" s="97" t="s">
        <v>24</v>
      </c>
      <c r="C81" s="93" t="s">
        <v>162</v>
      </c>
      <c r="D81" s="197" t="s">
        <v>20</v>
      </c>
      <c r="E81" s="87">
        <v>73</v>
      </c>
      <c r="F81" s="87">
        <v>73</v>
      </c>
      <c r="G81" s="87">
        <f>(E81*8+F81*4)/12</f>
        <v>73</v>
      </c>
      <c r="H81" s="87">
        <v>73</v>
      </c>
      <c r="I81" s="87">
        <v>73</v>
      </c>
      <c r="J81" s="75">
        <v>44526.26</v>
      </c>
      <c r="K81" s="75">
        <v>21614.746317252</v>
      </c>
      <c r="L81" s="75">
        <v>18972.009999999998</v>
      </c>
      <c r="M81" s="75">
        <f t="shared" si="5"/>
        <v>85113.016317251997</v>
      </c>
      <c r="N81" s="75">
        <f>G81*J81</f>
        <v>3250416.98</v>
      </c>
      <c r="O81" s="75">
        <f>G81*K81</f>
        <v>1577876.481159396</v>
      </c>
      <c r="P81" s="75"/>
      <c r="Q81" s="75">
        <f>G81*L81</f>
        <v>1384956.73</v>
      </c>
      <c r="R81" s="75"/>
      <c r="S81" s="75"/>
      <c r="T81" s="75">
        <f>SUM(N81:Q81)</f>
        <v>6213250.1911593955</v>
      </c>
      <c r="U81" s="75">
        <f t="shared" si="14"/>
        <v>6213250.1911593955</v>
      </c>
      <c r="V81" s="75">
        <f t="shared" si="2"/>
        <v>6213250.1911593955</v>
      </c>
    </row>
    <row r="82" spans="1:22" x14ac:dyDescent="0.25">
      <c r="A82" s="83"/>
      <c r="B82" s="97" t="s">
        <v>180</v>
      </c>
      <c r="C82" s="250" t="s">
        <v>78</v>
      </c>
      <c r="D82" s="252" t="s">
        <v>20</v>
      </c>
      <c r="E82" s="87">
        <v>0</v>
      </c>
      <c r="F82" s="87">
        <v>0</v>
      </c>
      <c r="G82" s="87">
        <f>(E82*8+F82*4)/12</f>
        <v>0</v>
      </c>
      <c r="H82" s="87">
        <v>0</v>
      </c>
      <c r="I82" s="87">
        <v>0</v>
      </c>
      <c r="J82" s="75">
        <v>2073.06</v>
      </c>
      <c r="K82" s="75"/>
      <c r="L82" s="75"/>
      <c r="M82" s="75">
        <f>J82+K82+L82</f>
        <v>2073.06</v>
      </c>
      <c r="N82" s="75">
        <f t="shared" si="52"/>
        <v>0</v>
      </c>
      <c r="O82" s="75">
        <f>G82*K82</f>
        <v>0</v>
      </c>
      <c r="P82" s="75"/>
      <c r="Q82" s="75">
        <f>G82*L82</f>
        <v>0</v>
      </c>
      <c r="R82" s="75"/>
      <c r="S82" s="75"/>
      <c r="T82" s="75">
        <f>SUM(N82:Q82)</f>
        <v>0</v>
      </c>
      <c r="U82" s="75">
        <f>H82*M82</f>
        <v>0</v>
      </c>
      <c r="V82" s="75">
        <f>I82*M82</f>
        <v>0</v>
      </c>
    </row>
    <row r="83" spans="1:22" x14ac:dyDescent="0.25">
      <c r="A83" s="83"/>
      <c r="B83" s="97" t="s">
        <v>181</v>
      </c>
      <c r="C83" s="251"/>
      <c r="D83" s="253"/>
      <c r="E83" s="87">
        <v>17</v>
      </c>
      <c r="F83" s="87">
        <v>17</v>
      </c>
      <c r="G83" s="87">
        <f>(E83*8+F83*4)/12</f>
        <v>17</v>
      </c>
      <c r="H83" s="87">
        <v>17</v>
      </c>
      <c r="I83" s="87">
        <v>17</v>
      </c>
      <c r="J83" s="75">
        <v>1554.8</v>
      </c>
      <c r="K83" s="75"/>
      <c r="L83" s="75"/>
      <c r="M83" s="75">
        <f>J83+K83+L83</f>
        <v>1554.8</v>
      </c>
      <c r="N83" s="75">
        <f>G83*J83</f>
        <v>26431.599999999999</v>
      </c>
      <c r="O83" s="75">
        <f>G83*K83</f>
        <v>0</v>
      </c>
      <c r="P83" s="75"/>
      <c r="Q83" s="75">
        <f>G83*L83</f>
        <v>0</v>
      </c>
      <c r="R83" s="75"/>
      <c r="S83" s="75"/>
      <c r="T83" s="75">
        <f>SUM(N83:Q83)</f>
        <v>26431.599999999999</v>
      </c>
      <c r="U83" s="75">
        <f>H83*M83</f>
        <v>26431.599999999999</v>
      </c>
      <c r="V83" s="75">
        <f>I83*M83</f>
        <v>26431.599999999999</v>
      </c>
    </row>
    <row r="84" spans="1:22" ht="75" x14ac:dyDescent="0.25">
      <c r="A84" s="83"/>
      <c r="B84" s="97" t="s">
        <v>181</v>
      </c>
      <c r="C84" s="202" t="s">
        <v>182</v>
      </c>
      <c r="D84" s="86" t="s">
        <v>20</v>
      </c>
      <c r="E84" s="87">
        <v>73</v>
      </c>
      <c r="F84" s="87">
        <v>73</v>
      </c>
      <c r="G84" s="87">
        <f>(E84*8+F84*4)/12</f>
        <v>73</v>
      </c>
      <c r="H84" s="87">
        <v>73</v>
      </c>
      <c r="I84" s="87">
        <v>73</v>
      </c>
      <c r="J84" s="75">
        <v>2073.06</v>
      </c>
      <c r="K84" s="75"/>
      <c r="L84" s="75"/>
      <c r="M84" s="75">
        <f>J84+K84+L84</f>
        <v>2073.06</v>
      </c>
      <c r="N84" s="75">
        <f t="shared" si="52"/>
        <v>151333.38</v>
      </c>
      <c r="O84" s="75">
        <f>G84*K84</f>
        <v>0</v>
      </c>
      <c r="P84" s="75"/>
      <c r="Q84" s="75">
        <f>G84*L84</f>
        <v>0</v>
      </c>
      <c r="R84" s="75"/>
      <c r="S84" s="75"/>
      <c r="T84" s="75">
        <f>SUM(N84:Q84)</f>
        <v>151333.38</v>
      </c>
      <c r="U84" s="75">
        <f>H84*M84</f>
        <v>151333.38</v>
      </c>
      <c r="V84" s="75">
        <f>I84*M84</f>
        <v>151333.38</v>
      </c>
    </row>
    <row r="85" spans="1:22" x14ac:dyDescent="0.25">
      <c r="A85" s="83"/>
      <c r="B85" s="89" t="s">
        <v>225</v>
      </c>
      <c r="C85" s="127" t="s">
        <v>219</v>
      </c>
      <c r="D85" s="86"/>
      <c r="E85" s="87"/>
      <c r="F85" s="87"/>
      <c r="G85" s="87">
        <v>13</v>
      </c>
      <c r="H85" s="87">
        <v>13</v>
      </c>
      <c r="I85" s="87">
        <v>13</v>
      </c>
      <c r="J85" s="75"/>
      <c r="K85" s="75"/>
      <c r="L85" s="75"/>
      <c r="M85" s="75"/>
      <c r="N85" s="75"/>
      <c r="O85" s="75"/>
      <c r="P85" s="75"/>
      <c r="Q85" s="75"/>
      <c r="R85" s="75">
        <v>1022346</v>
      </c>
      <c r="S85" s="75"/>
      <c r="T85" s="75">
        <f>R85</f>
        <v>1022346</v>
      </c>
      <c r="U85" s="75">
        <f>R85</f>
        <v>1022346</v>
      </c>
      <c r="V85" s="75">
        <f>R85</f>
        <v>1022346</v>
      </c>
    </row>
    <row r="86" spans="1:22" x14ac:dyDescent="0.25">
      <c r="A86" s="83"/>
      <c r="B86" s="89" t="s">
        <v>225</v>
      </c>
      <c r="C86" s="127" t="s">
        <v>226</v>
      </c>
      <c r="D86" s="86"/>
      <c r="E86" s="87"/>
      <c r="F86" s="87"/>
      <c r="G86" s="87">
        <v>7</v>
      </c>
      <c r="H86" s="87">
        <v>7</v>
      </c>
      <c r="I86" s="87">
        <v>7</v>
      </c>
      <c r="J86" s="75"/>
      <c r="K86" s="75"/>
      <c r="L86" s="75"/>
      <c r="M86" s="75"/>
      <c r="N86" s="75"/>
      <c r="O86" s="75"/>
      <c r="P86" s="75">
        <v>199806</v>
      </c>
      <c r="Q86" s="75"/>
      <c r="R86" s="75"/>
      <c r="S86" s="75"/>
      <c r="T86" s="75">
        <f>P86</f>
        <v>199806</v>
      </c>
      <c r="U86" s="75">
        <f>P86</f>
        <v>199806</v>
      </c>
      <c r="V86" s="75">
        <f>P86</f>
        <v>199806</v>
      </c>
    </row>
    <row r="87" spans="1:22" ht="90" x14ac:dyDescent="0.25">
      <c r="A87" s="206" t="s">
        <v>261</v>
      </c>
      <c r="B87" s="197" t="s">
        <v>28</v>
      </c>
      <c r="C87" s="127" t="s">
        <v>219</v>
      </c>
      <c r="D87" s="86" t="s">
        <v>20</v>
      </c>
      <c r="E87" s="87">
        <f>E81+E80+E79</f>
        <v>111</v>
      </c>
      <c r="F87" s="87">
        <f>F81+F80+F79</f>
        <v>111</v>
      </c>
      <c r="G87" s="87">
        <f>(E87*8+F87*4)/12</f>
        <v>111</v>
      </c>
      <c r="H87" s="87">
        <f>H81+H80+H79</f>
        <v>111</v>
      </c>
      <c r="I87" s="87">
        <f>I81+I80+I79</f>
        <v>111</v>
      </c>
      <c r="J87" s="75" t="s">
        <v>23</v>
      </c>
      <c r="K87" s="75"/>
      <c r="L87" s="75">
        <v>12405.807000000001</v>
      </c>
      <c r="M87" s="75">
        <f t="shared" si="5"/>
        <v>12405.807000000001</v>
      </c>
      <c r="N87" s="75">
        <f t="shared" si="52"/>
        <v>0</v>
      </c>
      <c r="O87" s="75">
        <f t="shared" si="53"/>
        <v>0</v>
      </c>
      <c r="P87" s="75"/>
      <c r="Q87" s="75">
        <f>G87*L87+94133.45</f>
        <v>1471178.027</v>
      </c>
      <c r="R87" s="75"/>
      <c r="S87" s="75"/>
      <c r="T87" s="75">
        <f t="shared" si="1"/>
        <v>1471178.027</v>
      </c>
      <c r="U87" s="75">
        <f>T87</f>
        <v>1471178.027</v>
      </c>
      <c r="V87" s="75">
        <f>U87</f>
        <v>1471178.027</v>
      </c>
    </row>
    <row r="88" spans="1:22" ht="33" customHeight="1" x14ac:dyDescent="0.25">
      <c r="A88" s="86"/>
      <c r="B88" s="197" t="s">
        <v>28</v>
      </c>
      <c r="C88" s="127" t="s">
        <v>220</v>
      </c>
      <c r="D88" s="86"/>
      <c r="E88" s="87"/>
      <c r="F88" s="87"/>
      <c r="G88" s="87"/>
      <c r="H88" s="87"/>
      <c r="I88" s="87"/>
      <c r="J88" s="75"/>
      <c r="K88" s="75"/>
      <c r="L88" s="75">
        <v>12248.94</v>
      </c>
      <c r="M88" s="75"/>
      <c r="N88" s="75"/>
      <c r="O88" s="75"/>
      <c r="P88" s="75"/>
      <c r="Q88" s="75"/>
      <c r="R88" s="75"/>
      <c r="S88" s="75">
        <f>L88*G87</f>
        <v>1359632.34</v>
      </c>
      <c r="T88" s="75">
        <f>S88</f>
        <v>1359632.34</v>
      </c>
      <c r="U88" s="75">
        <f>S88</f>
        <v>1359632.34</v>
      </c>
      <c r="V88" s="75">
        <f>S88</f>
        <v>1359632.34</v>
      </c>
    </row>
    <row r="89" spans="1:22" ht="19.899999999999999" customHeight="1" x14ac:dyDescent="0.25">
      <c r="A89" s="198" t="s">
        <v>61</v>
      </c>
      <c r="B89" s="94"/>
      <c r="C89" s="94"/>
      <c r="D89" s="94"/>
      <c r="E89" s="92"/>
      <c r="F89" s="92"/>
      <c r="G89" s="92"/>
      <c r="H89" s="92"/>
      <c r="I89" s="92"/>
      <c r="J89" s="78"/>
      <c r="K89" s="78"/>
      <c r="L89" s="78"/>
      <c r="M89" s="78">
        <f t="shared" si="5"/>
        <v>0</v>
      </c>
      <c r="N89" s="78">
        <f t="shared" ref="N89:Q89" si="55">N90+N99</f>
        <v>10232428</v>
      </c>
      <c r="O89" s="78">
        <f>O90+O99</f>
        <v>4820087.998747196</v>
      </c>
      <c r="P89" s="78">
        <f>P90</f>
        <v>399612</v>
      </c>
      <c r="Q89" s="78">
        <f t="shared" si="55"/>
        <v>7060008.8310000002</v>
      </c>
      <c r="R89" s="78">
        <f>R90</f>
        <v>1829894</v>
      </c>
      <c r="S89" s="78">
        <f>S100</f>
        <v>2731513.62</v>
      </c>
      <c r="T89" s="78">
        <f>T90+T99+T100</f>
        <v>27073544.449747201</v>
      </c>
      <c r="U89" s="78">
        <f t="shared" ref="U89:V89" si="56">U90+U99+U100</f>
        <v>27073544.449747197</v>
      </c>
      <c r="V89" s="78">
        <f t="shared" si="56"/>
        <v>27073544.449747197</v>
      </c>
    </row>
    <row r="90" spans="1:22" ht="94.9" customHeight="1" x14ac:dyDescent="0.25">
      <c r="A90" s="206" t="s">
        <v>260</v>
      </c>
      <c r="B90" s="84" t="s">
        <v>76</v>
      </c>
      <c r="C90" s="128"/>
      <c r="D90" s="95"/>
      <c r="E90" s="68"/>
      <c r="F90" s="68"/>
      <c r="G90" s="68"/>
      <c r="H90" s="68"/>
      <c r="I90" s="68"/>
      <c r="J90" s="75"/>
      <c r="K90" s="75"/>
      <c r="L90" s="75"/>
      <c r="M90" s="75">
        <f>J90+K90+L90</f>
        <v>0</v>
      </c>
      <c r="N90" s="75">
        <f t="shared" ref="N90:Q90" si="57">SUM(N91:N96)</f>
        <v>10232428</v>
      </c>
      <c r="O90" s="75">
        <f t="shared" si="57"/>
        <v>4820087.998747196</v>
      </c>
      <c r="P90" s="75">
        <f>P98</f>
        <v>399612</v>
      </c>
      <c r="Q90" s="75">
        <f t="shared" si="57"/>
        <v>4230758.2299999995</v>
      </c>
      <c r="R90" s="75">
        <f>R97</f>
        <v>1829894</v>
      </c>
      <c r="S90" s="75"/>
      <c r="T90" s="75">
        <f>SUM(T91:T98)</f>
        <v>21512780.2287472</v>
      </c>
      <c r="U90" s="75">
        <f t="shared" ref="U90:V90" si="58">SUM(U91:U98)</f>
        <v>21512780.228747196</v>
      </c>
      <c r="V90" s="75">
        <f t="shared" si="58"/>
        <v>21512780.228747196</v>
      </c>
    </row>
    <row r="91" spans="1:22" ht="105" x14ac:dyDescent="0.25">
      <c r="A91" s="83"/>
      <c r="B91" s="97" t="s">
        <v>19</v>
      </c>
      <c r="C91" s="93" t="s">
        <v>0</v>
      </c>
      <c r="D91" s="197" t="s">
        <v>20</v>
      </c>
      <c r="E91" s="87">
        <v>46</v>
      </c>
      <c r="F91" s="87">
        <v>46</v>
      </c>
      <c r="G91" s="87">
        <f t="shared" ref="G91:G96" si="59">(E91*8+F91*4)/12</f>
        <v>46</v>
      </c>
      <c r="H91" s="87">
        <v>46</v>
      </c>
      <c r="I91" s="87">
        <v>46</v>
      </c>
      <c r="J91" s="75">
        <v>43138.04</v>
      </c>
      <c r="K91" s="75">
        <v>21614.746317252</v>
      </c>
      <c r="L91" s="75">
        <v>18972.009999999998</v>
      </c>
      <c r="M91" s="75">
        <f t="shared" si="5"/>
        <v>83724.796317251996</v>
      </c>
      <c r="N91" s="75">
        <f>G91*J91-1.48</f>
        <v>1984348.36</v>
      </c>
      <c r="O91" s="75">
        <f>G91*K91-0.43</f>
        <v>994277.90059359197</v>
      </c>
      <c r="P91" s="75"/>
      <c r="Q91" s="75">
        <f>G91*L91</f>
        <v>872712.46</v>
      </c>
      <c r="R91" s="75"/>
      <c r="S91" s="75"/>
      <c r="T91" s="75">
        <f>SUM(N91:Q91)</f>
        <v>3851338.7205935922</v>
      </c>
      <c r="U91" s="75">
        <f>T91</f>
        <v>3851338.7205935922</v>
      </c>
      <c r="V91" s="75">
        <f>U91</f>
        <v>3851338.7205935922</v>
      </c>
    </row>
    <row r="92" spans="1:22" x14ac:dyDescent="0.25">
      <c r="A92" s="88"/>
      <c r="B92" s="97" t="s">
        <v>24</v>
      </c>
      <c r="C92" s="97"/>
      <c r="D92" s="86" t="s">
        <v>20</v>
      </c>
      <c r="E92" s="87">
        <v>0</v>
      </c>
      <c r="F92" s="87">
        <v>0</v>
      </c>
      <c r="G92" s="87">
        <f t="shared" si="59"/>
        <v>0</v>
      </c>
      <c r="H92" s="87">
        <v>0</v>
      </c>
      <c r="I92" s="87">
        <v>0</v>
      </c>
      <c r="J92" s="75">
        <v>34198.17</v>
      </c>
      <c r="K92" s="75">
        <v>21614.746317252</v>
      </c>
      <c r="L92" s="75">
        <v>18972.009999999998</v>
      </c>
      <c r="M92" s="75">
        <f>J92+K92+L92</f>
        <v>74784.926317252</v>
      </c>
      <c r="N92" s="75">
        <f>G92*J92</f>
        <v>0</v>
      </c>
      <c r="O92" s="75">
        <f t="shared" ref="O92:O99" si="60">G92*K92</f>
        <v>0</v>
      </c>
      <c r="P92" s="75"/>
      <c r="Q92" s="75">
        <f t="shared" ref="Q92:Q96" si="61">G92*L92</f>
        <v>0</v>
      </c>
      <c r="R92" s="75"/>
      <c r="S92" s="75"/>
      <c r="T92" s="75">
        <f t="shared" si="1"/>
        <v>0</v>
      </c>
      <c r="U92" s="75">
        <f t="shared" si="14"/>
        <v>0</v>
      </c>
      <c r="V92" s="75">
        <f t="shared" si="2"/>
        <v>0</v>
      </c>
    </row>
    <row r="93" spans="1:22" ht="120" x14ac:dyDescent="0.25">
      <c r="A93" s="88"/>
      <c r="B93" s="97" t="s">
        <v>24</v>
      </c>
      <c r="C93" s="202" t="s">
        <v>162</v>
      </c>
      <c r="D93" s="197" t="s">
        <v>20</v>
      </c>
      <c r="E93" s="87">
        <v>177</v>
      </c>
      <c r="F93" s="87">
        <v>177</v>
      </c>
      <c r="G93" s="87">
        <f t="shared" si="59"/>
        <v>177</v>
      </c>
      <c r="H93" s="87">
        <v>177</v>
      </c>
      <c r="I93" s="87">
        <v>177</v>
      </c>
      <c r="J93" s="75">
        <v>44526.26</v>
      </c>
      <c r="K93" s="75">
        <v>21614.746317252</v>
      </c>
      <c r="L93" s="75">
        <v>18972.009999999998</v>
      </c>
      <c r="M93" s="75">
        <f t="shared" si="5"/>
        <v>85113.016317251997</v>
      </c>
      <c r="N93" s="75">
        <f t="shared" ref="N93:N96" si="62">G93*J93</f>
        <v>7881148.0200000005</v>
      </c>
      <c r="O93" s="75">
        <f t="shared" si="60"/>
        <v>3825810.0981536042</v>
      </c>
      <c r="P93" s="75"/>
      <c r="Q93" s="75">
        <f t="shared" si="61"/>
        <v>3358045.7699999996</v>
      </c>
      <c r="R93" s="75"/>
      <c r="S93" s="75"/>
      <c r="T93" s="75">
        <f t="shared" si="1"/>
        <v>15065003.888153605</v>
      </c>
      <c r="U93" s="75">
        <f t="shared" si="14"/>
        <v>15065003.888153603</v>
      </c>
      <c r="V93" s="75">
        <f t="shared" si="2"/>
        <v>15065003.888153603</v>
      </c>
    </row>
    <row r="94" spans="1:22" ht="75" x14ac:dyDescent="0.25">
      <c r="A94" s="83"/>
      <c r="B94" s="97" t="s">
        <v>180</v>
      </c>
      <c r="C94" s="93" t="s">
        <v>78</v>
      </c>
      <c r="D94" s="197" t="s">
        <v>20</v>
      </c>
      <c r="E94" s="87"/>
      <c r="F94" s="87"/>
      <c r="G94" s="87">
        <f t="shared" si="59"/>
        <v>0</v>
      </c>
      <c r="H94" s="87"/>
      <c r="I94" s="87"/>
      <c r="J94" s="75">
        <v>2073.06</v>
      </c>
      <c r="K94" s="75"/>
      <c r="L94" s="75"/>
      <c r="M94" s="75">
        <f t="shared" si="5"/>
        <v>2073.06</v>
      </c>
      <c r="N94" s="75">
        <f t="shared" si="62"/>
        <v>0</v>
      </c>
      <c r="O94" s="75">
        <f t="shared" si="60"/>
        <v>0</v>
      </c>
      <c r="P94" s="75"/>
      <c r="Q94" s="75">
        <f t="shared" si="61"/>
        <v>0</v>
      </c>
      <c r="R94" s="75"/>
      <c r="S94" s="75"/>
      <c r="T94" s="75">
        <f t="shared" si="1"/>
        <v>0</v>
      </c>
      <c r="U94" s="75">
        <f t="shared" si="14"/>
        <v>0</v>
      </c>
      <c r="V94" s="75">
        <f t="shared" si="2"/>
        <v>0</v>
      </c>
    </row>
    <row r="95" spans="1:22" x14ac:dyDescent="0.25">
      <c r="A95" s="83"/>
      <c r="B95" s="97" t="s">
        <v>181</v>
      </c>
      <c r="C95" s="93"/>
      <c r="D95" s="197" t="s">
        <v>20</v>
      </c>
      <c r="E95" s="87"/>
      <c r="F95" s="87"/>
      <c r="G95" s="87">
        <f t="shared" si="59"/>
        <v>0</v>
      </c>
      <c r="H95" s="87"/>
      <c r="I95" s="87"/>
      <c r="J95" s="75">
        <v>1554.8</v>
      </c>
      <c r="K95" s="75"/>
      <c r="L95" s="75"/>
      <c r="M95" s="75">
        <f t="shared" si="5"/>
        <v>1554.8</v>
      </c>
      <c r="N95" s="75">
        <f t="shared" si="62"/>
        <v>0</v>
      </c>
      <c r="O95" s="75">
        <f t="shared" si="60"/>
        <v>0</v>
      </c>
      <c r="P95" s="75"/>
      <c r="Q95" s="75">
        <f t="shared" si="61"/>
        <v>0</v>
      </c>
      <c r="R95" s="75"/>
      <c r="S95" s="75"/>
      <c r="T95" s="75">
        <f t="shared" ref="T95:T96" si="63">SUM(N95:Q95)</f>
        <v>0</v>
      </c>
      <c r="U95" s="75">
        <f t="shared" si="14"/>
        <v>0</v>
      </c>
      <c r="V95" s="75">
        <f t="shared" si="2"/>
        <v>0</v>
      </c>
    </row>
    <row r="96" spans="1:22" ht="75" x14ac:dyDescent="0.25">
      <c r="A96" s="83"/>
      <c r="B96" s="97" t="s">
        <v>181</v>
      </c>
      <c r="C96" s="129" t="s">
        <v>182</v>
      </c>
      <c r="D96" s="197" t="s">
        <v>20</v>
      </c>
      <c r="E96" s="87">
        <v>177</v>
      </c>
      <c r="F96" s="87">
        <v>177</v>
      </c>
      <c r="G96" s="87">
        <f t="shared" si="59"/>
        <v>177</v>
      </c>
      <c r="H96" s="87">
        <v>177</v>
      </c>
      <c r="I96" s="87">
        <v>177</v>
      </c>
      <c r="J96" s="75">
        <v>2073.06</v>
      </c>
      <c r="K96" s="75"/>
      <c r="L96" s="75"/>
      <c r="M96" s="75">
        <f t="shared" si="5"/>
        <v>2073.06</v>
      </c>
      <c r="N96" s="75">
        <f t="shared" si="62"/>
        <v>366931.62</v>
      </c>
      <c r="O96" s="75">
        <f t="shared" si="60"/>
        <v>0</v>
      </c>
      <c r="P96" s="75"/>
      <c r="Q96" s="75">
        <f t="shared" si="61"/>
        <v>0</v>
      </c>
      <c r="R96" s="75"/>
      <c r="S96" s="75"/>
      <c r="T96" s="75">
        <f t="shared" si="63"/>
        <v>366931.62</v>
      </c>
      <c r="U96" s="75">
        <f t="shared" si="14"/>
        <v>366931.62</v>
      </c>
      <c r="V96" s="75">
        <f t="shared" si="2"/>
        <v>366931.62</v>
      </c>
    </row>
    <row r="97" spans="1:22" x14ac:dyDescent="0.25">
      <c r="A97" s="83"/>
      <c r="B97" s="89" t="s">
        <v>225</v>
      </c>
      <c r="C97" s="127" t="s">
        <v>219</v>
      </c>
      <c r="D97" s="197"/>
      <c r="E97" s="87"/>
      <c r="F97" s="87"/>
      <c r="G97" s="87">
        <v>23</v>
      </c>
      <c r="H97" s="87">
        <v>23</v>
      </c>
      <c r="I97" s="87">
        <v>23</v>
      </c>
      <c r="J97" s="75"/>
      <c r="K97" s="75"/>
      <c r="L97" s="75"/>
      <c r="M97" s="75"/>
      <c r="N97" s="75"/>
      <c r="O97" s="75"/>
      <c r="P97" s="75"/>
      <c r="Q97" s="75"/>
      <c r="R97" s="75">
        <v>1829894</v>
      </c>
      <c r="S97" s="75"/>
      <c r="T97" s="75">
        <f>R97</f>
        <v>1829894</v>
      </c>
      <c r="U97" s="75">
        <f>R97</f>
        <v>1829894</v>
      </c>
      <c r="V97" s="75">
        <f>R97</f>
        <v>1829894</v>
      </c>
    </row>
    <row r="98" spans="1:22" x14ac:dyDescent="0.25">
      <c r="A98" s="83"/>
      <c r="B98" s="89" t="s">
        <v>225</v>
      </c>
      <c r="C98" s="127" t="s">
        <v>226</v>
      </c>
      <c r="D98" s="197"/>
      <c r="E98" s="87"/>
      <c r="F98" s="87"/>
      <c r="G98" s="87">
        <v>14</v>
      </c>
      <c r="H98" s="87">
        <v>14</v>
      </c>
      <c r="I98" s="87">
        <v>14</v>
      </c>
      <c r="J98" s="75"/>
      <c r="K98" s="75"/>
      <c r="L98" s="75"/>
      <c r="M98" s="75"/>
      <c r="N98" s="75"/>
      <c r="O98" s="75"/>
      <c r="P98" s="75">
        <v>399612</v>
      </c>
      <c r="Q98" s="75"/>
      <c r="R98" s="75"/>
      <c r="S98" s="75"/>
      <c r="T98" s="75">
        <f>P98</f>
        <v>399612</v>
      </c>
      <c r="U98" s="75">
        <f>P98</f>
        <v>399612</v>
      </c>
      <c r="V98" s="75">
        <f>P98</f>
        <v>399612</v>
      </c>
    </row>
    <row r="99" spans="1:22" ht="90" x14ac:dyDescent="0.25">
      <c r="A99" s="206" t="s">
        <v>261</v>
      </c>
      <c r="B99" s="197" t="s">
        <v>28</v>
      </c>
      <c r="C99" s="127" t="s">
        <v>219</v>
      </c>
      <c r="D99" s="86" t="s">
        <v>20</v>
      </c>
      <c r="E99" s="87">
        <f>E93+E92+E91</f>
        <v>223</v>
      </c>
      <c r="F99" s="87">
        <f>F93+F92+F91</f>
        <v>223</v>
      </c>
      <c r="G99" s="87">
        <f>(E99*8+F99*4)/12</f>
        <v>223</v>
      </c>
      <c r="H99" s="87">
        <f>H93+H92+H91</f>
        <v>223</v>
      </c>
      <c r="I99" s="87">
        <f>I93+I92+I91</f>
        <v>223</v>
      </c>
      <c r="J99" s="75" t="s">
        <v>23</v>
      </c>
      <c r="K99" s="75"/>
      <c r="L99" s="75">
        <v>12405.807000000001</v>
      </c>
      <c r="M99" s="75">
        <f t="shared" si="5"/>
        <v>12405.807000000001</v>
      </c>
      <c r="N99" s="75">
        <f>G99*J99</f>
        <v>0</v>
      </c>
      <c r="O99" s="75">
        <f t="shared" si="60"/>
        <v>0</v>
      </c>
      <c r="P99" s="75"/>
      <c r="Q99" s="75">
        <f>G99*L99+62755.64</f>
        <v>2829250.6010000003</v>
      </c>
      <c r="R99" s="75"/>
      <c r="S99" s="75"/>
      <c r="T99" s="75">
        <f t="shared" si="1"/>
        <v>2829250.6010000003</v>
      </c>
      <c r="U99" s="75">
        <f>T99</f>
        <v>2829250.6010000003</v>
      </c>
      <c r="V99" s="75">
        <f>U99</f>
        <v>2829250.6010000003</v>
      </c>
    </row>
    <row r="100" spans="1:22" x14ac:dyDescent="0.25">
      <c r="A100" s="86"/>
      <c r="B100" s="197" t="s">
        <v>28</v>
      </c>
      <c r="C100" s="127" t="s">
        <v>220</v>
      </c>
      <c r="D100" s="86"/>
      <c r="E100" s="87"/>
      <c r="F100" s="87"/>
      <c r="G100" s="87"/>
      <c r="H100" s="87"/>
      <c r="I100" s="87"/>
      <c r="J100" s="75"/>
      <c r="K100" s="75"/>
      <c r="L100" s="75">
        <v>12248.94</v>
      </c>
      <c r="M100" s="75"/>
      <c r="N100" s="75"/>
      <c r="O100" s="75"/>
      <c r="P100" s="75"/>
      <c r="Q100" s="75"/>
      <c r="R100" s="75"/>
      <c r="S100" s="75">
        <f>L100*G99</f>
        <v>2731513.62</v>
      </c>
      <c r="T100" s="75">
        <f>S100</f>
        <v>2731513.62</v>
      </c>
      <c r="U100" s="75">
        <f>S100</f>
        <v>2731513.62</v>
      </c>
      <c r="V100" s="75">
        <f>S100</f>
        <v>2731513.62</v>
      </c>
    </row>
    <row r="101" spans="1:22" x14ac:dyDescent="0.25">
      <c r="A101" s="198" t="s">
        <v>65</v>
      </c>
      <c r="B101" s="94"/>
      <c r="C101" s="94"/>
      <c r="D101" s="94"/>
      <c r="E101" s="92"/>
      <c r="F101" s="92"/>
      <c r="G101" s="92"/>
      <c r="H101" s="92"/>
      <c r="I101" s="92"/>
      <c r="J101" s="78"/>
      <c r="K101" s="78"/>
      <c r="L101" s="78"/>
      <c r="M101" s="78">
        <f t="shared" si="5"/>
        <v>0</v>
      </c>
      <c r="N101" s="78">
        <f>N102+N109</f>
        <v>5750088</v>
      </c>
      <c r="O101" s="78">
        <f>O102+O109</f>
        <v>3026064.0044152802</v>
      </c>
      <c r="P101" s="78">
        <f>P102</f>
        <v>199806</v>
      </c>
      <c r="Q101" s="78">
        <f t="shared" ref="Q101" si="64">Q102+Q109</f>
        <v>4392894.379999999</v>
      </c>
      <c r="R101" s="78">
        <f>R102</f>
        <v>1067049</v>
      </c>
      <c r="S101" s="78">
        <f>S110</f>
        <v>1714851.6</v>
      </c>
      <c r="T101" s="78">
        <f>T102+T109+T110</f>
        <v>16150752.98441528</v>
      </c>
      <c r="U101" s="78">
        <f t="shared" ref="U101:V101" si="65">U102+U109+U110</f>
        <v>16150752.98441528</v>
      </c>
      <c r="V101" s="78">
        <f t="shared" si="65"/>
        <v>16150752.98441528</v>
      </c>
    </row>
    <row r="102" spans="1:22" ht="94.9" customHeight="1" x14ac:dyDescent="0.25">
      <c r="A102" s="206" t="s">
        <v>260</v>
      </c>
      <c r="B102" s="84" t="s">
        <v>76</v>
      </c>
      <c r="C102" s="128"/>
      <c r="D102" s="95"/>
      <c r="E102" s="68"/>
      <c r="F102" s="68"/>
      <c r="G102" s="68"/>
      <c r="H102" s="68"/>
      <c r="I102" s="68"/>
      <c r="J102" s="75"/>
      <c r="K102" s="75"/>
      <c r="L102" s="75"/>
      <c r="M102" s="75">
        <f t="shared" si="5"/>
        <v>0</v>
      </c>
      <c r="N102" s="75">
        <f>SUM(N103:N106)</f>
        <v>5750088</v>
      </c>
      <c r="O102" s="75">
        <f t="shared" ref="O102:Q102" si="66">SUM(O103:O106)</f>
        <v>3026064.0044152802</v>
      </c>
      <c r="P102" s="75">
        <f>P108</f>
        <v>199806</v>
      </c>
      <c r="Q102" s="75">
        <f t="shared" si="66"/>
        <v>2656081.3999999994</v>
      </c>
      <c r="R102" s="75">
        <f>R107</f>
        <v>1067049</v>
      </c>
      <c r="S102" s="75"/>
      <c r="T102" s="75">
        <f>SUM(T103:T108)</f>
        <v>12699088.40441528</v>
      </c>
      <c r="U102" s="75">
        <f t="shared" ref="U102:V102" si="67">SUM(U103:U108)</f>
        <v>12699088.40441528</v>
      </c>
      <c r="V102" s="75">
        <f t="shared" si="67"/>
        <v>12699088.40441528</v>
      </c>
    </row>
    <row r="103" spans="1:22" ht="105" x14ac:dyDescent="0.25">
      <c r="A103" s="83"/>
      <c r="B103" s="97" t="s">
        <v>19</v>
      </c>
      <c r="C103" s="93" t="s">
        <v>0</v>
      </c>
      <c r="D103" s="86" t="s">
        <v>20</v>
      </c>
      <c r="E103" s="87">
        <v>21</v>
      </c>
      <c r="F103" s="87">
        <v>21</v>
      </c>
      <c r="G103" s="87">
        <f t="shared" ref="G103:G109" si="68">(E103*8+F103*4)/12</f>
        <v>21</v>
      </c>
      <c r="H103" s="87">
        <v>21</v>
      </c>
      <c r="I103" s="87">
        <v>21</v>
      </c>
      <c r="J103" s="75">
        <v>43138.04</v>
      </c>
      <c r="K103" s="75">
        <v>21614.746317252</v>
      </c>
      <c r="L103" s="75">
        <v>18972.009999999998</v>
      </c>
      <c r="M103" s="75">
        <f t="shared" si="5"/>
        <v>83724.796317251996</v>
      </c>
      <c r="N103" s="75">
        <f>G103*J103+0.18</f>
        <v>905899.02</v>
      </c>
      <c r="O103" s="75">
        <f>G103*K103-0.48</f>
        <v>453909.19266229204</v>
      </c>
      <c r="P103" s="75"/>
      <c r="Q103" s="75">
        <f>G103*L103</f>
        <v>398412.20999999996</v>
      </c>
      <c r="R103" s="75"/>
      <c r="S103" s="75"/>
      <c r="T103" s="75">
        <f t="shared" si="1"/>
        <v>1758220.4226622921</v>
      </c>
      <c r="U103" s="75">
        <f>T103</f>
        <v>1758220.4226622921</v>
      </c>
      <c r="V103" s="75">
        <f>U103</f>
        <v>1758220.4226622921</v>
      </c>
    </row>
    <row r="104" spans="1:22" x14ac:dyDescent="0.25">
      <c r="A104" s="88"/>
      <c r="B104" s="97" t="s">
        <v>24</v>
      </c>
      <c r="C104" s="97"/>
      <c r="D104" s="86" t="s">
        <v>20</v>
      </c>
      <c r="E104" s="87">
        <v>44</v>
      </c>
      <c r="F104" s="87">
        <v>44</v>
      </c>
      <c r="G104" s="87">
        <f t="shared" si="68"/>
        <v>44</v>
      </c>
      <c r="H104" s="87">
        <v>44</v>
      </c>
      <c r="I104" s="87">
        <v>44</v>
      </c>
      <c r="J104" s="75">
        <v>34198.17</v>
      </c>
      <c r="K104" s="75">
        <v>21614.746317252</v>
      </c>
      <c r="L104" s="75">
        <v>18972.009999999998</v>
      </c>
      <c r="M104" s="75">
        <f t="shared" si="5"/>
        <v>74784.926317252</v>
      </c>
      <c r="N104" s="75">
        <f t="shared" ref="N104:N109" si="69">G104*J104</f>
        <v>1504719.48</v>
      </c>
      <c r="O104" s="75">
        <f t="shared" ref="O104:O109" si="70">G104*K104</f>
        <v>951048.83795908804</v>
      </c>
      <c r="P104" s="75"/>
      <c r="Q104" s="75">
        <f t="shared" ref="Q104:Q106" si="71">G104*L104</f>
        <v>834768.44</v>
      </c>
      <c r="R104" s="75"/>
      <c r="S104" s="75"/>
      <c r="T104" s="75">
        <f t="shared" si="1"/>
        <v>3290536.7579590878</v>
      </c>
      <c r="U104" s="75">
        <f t="shared" si="14"/>
        <v>3290536.7579590878</v>
      </c>
      <c r="V104" s="75">
        <f t="shared" si="2"/>
        <v>3290536.7579590878</v>
      </c>
    </row>
    <row r="105" spans="1:22" x14ac:dyDescent="0.25">
      <c r="A105" s="88"/>
      <c r="B105" s="97"/>
      <c r="C105" s="97"/>
      <c r="D105" s="86"/>
      <c r="E105" s="87"/>
      <c r="F105" s="87"/>
      <c r="G105" s="87"/>
      <c r="H105" s="87"/>
      <c r="I105" s="87"/>
      <c r="J105" s="75"/>
      <c r="K105" s="75"/>
      <c r="L105" s="75">
        <v>18972.009999999998</v>
      </c>
      <c r="M105" s="75"/>
      <c r="N105" s="75"/>
      <c r="O105" s="75"/>
      <c r="P105" s="75"/>
      <c r="Q105" s="75"/>
      <c r="R105" s="75"/>
      <c r="S105" s="75"/>
      <c r="T105" s="75"/>
      <c r="U105" s="75"/>
      <c r="V105" s="75"/>
    </row>
    <row r="106" spans="1:22" ht="120" x14ac:dyDescent="0.25">
      <c r="A106" s="88"/>
      <c r="B106" s="97" t="s">
        <v>24</v>
      </c>
      <c r="C106" s="202" t="s">
        <v>162</v>
      </c>
      <c r="D106" s="197" t="s">
        <v>20</v>
      </c>
      <c r="E106" s="87">
        <v>75</v>
      </c>
      <c r="F106" s="87">
        <v>75</v>
      </c>
      <c r="G106" s="87">
        <f t="shared" si="68"/>
        <v>75</v>
      </c>
      <c r="H106" s="87">
        <v>75</v>
      </c>
      <c r="I106" s="87">
        <v>75</v>
      </c>
      <c r="J106" s="75">
        <v>44526.26</v>
      </c>
      <c r="K106" s="75">
        <v>21614.746317252</v>
      </c>
      <c r="L106" s="75">
        <v>18972.009999999998</v>
      </c>
      <c r="M106" s="75">
        <f t="shared" si="5"/>
        <v>85113.016317251997</v>
      </c>
      <c r="N106" s="75">
        <f t="shared" si="69"/>
        <v>3339469.5</v>
      </c>
      <c r="O106" s="75">
        <f t="shared" si="70"/>
        <v>1621105.9737939001</v>
      </c>
      <c r="P106" s="75"/>
      <c r="Q106" s="75">
        <f t="shared" si="71"/>
        <v>1422900.7499999998</v>
      </c>
      <c r="R106" s="75"/>
      <c r="S106" s="75"/>
      <c r="T106" s="75">
        <f t="shared" ref="T106" si="72">SUM(N106:Q106)</f>
        <v>6383476.2237938996</v>
      </c>
      <c r="U106" s="75">
        <f t="shared" si="14"/>
        <v>6383476.2237938996</v>
      </c>
      <c r="V106" s="75">
        <f t="shared" si="2"/>
        <v>6383476.2237938996</v>
      </c>
    </row>
    <row r="107" spans="1:22" x14ac:dyDescent="0.25">
      <c r="A107" s="88"/>
      <c r="B107" s="89" t="s">
        <v>225</v>
      </c>
      <c r="C107" s="127" t="s">
        <v>219</v>
      </c>
      <c r="D107" s="197"/>
      <c r="E107" s="87"/>
      <c r="F107" s="87"/>
      <c r="G107" s="87">
        <v>13</v>
      </c>
      <c r="H107" s="87">
        <v>13</v>
      </c>
      <c r="I107" s="87">
        <v>13</v>
      </c>
      <c r="J107" s="75"/>
      <c r="K107" s="75"/>
      <c r="L107" s="75"/>
      <c r="M107" s="75"/>
      <c r="N107" s="75"/>
      <c r="O107" s="75"/>
      <c r="P107" s="75"/>
      <c r="Q107" s="75"/>
      <c r="R107" s="75">
        <v>1067049</v>
      </c>
      <c r="S107" s="75"/>
      <c r="T107" s="75">
        <f>R107</f>
        <v>1067049</v>
      </c>
      <c r="U107" s="75">
        <f>R107</f>
        <v>1067049</v>
      </c>
      <c r="V107" s="75">
        <f>R107</f>
        <v>1067049</v>
      </c>
    </row>
    <row r="108" spans="1:22" x14ac:dyDescent="0.25">
      <c r="A108" s="88"/>
      <c r="B108" s="89" t="s">
        <v>225</v>
      </c>
      <c r="C108" s="127" t="s">
        <v>226</v>
      </c>
      <c r="D108" s="197"/>
      <c r="E108" s="87"/>
      <c r="F108" s="87"/>
      <c r="G108" s="87">
        <v>7</v>
      </c>
      <c r="H108" s="87">
        <v>7</v>
      </c>
      <c r="I108" s="87">
        <v>7</v>
      </c>
      <c r="J108" s="75"/>
      <c r="K108" s="75"/>
      <c r="L108" s="75"/>
      <c r="M108" s="75"/>
      <c r="N108" s="75"/>
      <c r="O108" s="75"/>
      <c r="P108" s="75">
        <v>199806</v>
      </c>
      <c r="Q108" s="75"/>
      <c r="R108" s="75"/>
      <c r="S108" s="75"/>
      <c r="T108" s="75">
        <f>P108</f>
        <v>199806</v>
      </c>
      <c r="U108" s="75">
        <f>P108</f>
        <v>199806</v>
      </c>
      <c r="V108" s="75">
        <f>P108</f>
        <v>199806</v>
      </c>
    </row>
    <row r="109" spans="1:22" ht="90" x14ac:dyDescent="0.25">
      <c r="A109" s="206" t="s">
        <v>261</v>
      </c>
      <c r="B109" s="197" t="s">
        <v>28</v>
      </c>
      <c r="C109" s="127" t="s">
        <v>219</v>
      </c>
      <c r="D109" s="86" t="s">
        <v>20</v>
      </c>
      <c r="E109" s="87">
        <f>E106+E104+E103</f>
        <v>140</v>
      </c>
      <c r="F109" s="87">
        <f>F106+F104+F103</f>
        <v>140</v>
      </c>
      <c r="G109" s="87">
        <f t="shared" si="68"/>
        <v>140</v>
      </c>
      <c r="H109" s="87">
        <f>H106+H104+H103</f>
        <v>140</v>
      </c>
      <c r="I109" s="87">
        <f>I106+I104+I103</f>
        <v>140</v>
      </c>
      <c r="J109" s="75" t="s">
        <v>23</v>
      </c>
      <c r="K109" s="75"/>
      <c r="L109" s="75">
        <v>12405.807000000001</v>
      </c>
      <c r="M109" s="75">
        <f t="shared" si="5"/>
        <v>12405.807000000001</v>
      </c>
      <c r="N109" s="75">
        <f t="shared" si="69"/>
        <v>0</v>
      </c>
      <c r="O109" s="75">
        <f t="shared" si="70"/>
        <v>0</v>
      </c>
      <c r="P109" s="75"/>
      <c r="Q109" s="75">
        <f>G109*L109</f>
        <v>1736812.98</v>
      </c>
      <c r="R109" s="75"/>
      <c r="S109" s="75"/>
      <c r="T109" s="75">
        <f t="shared" si="1"/>
        <v>1736812.98</v>
      </c>
      <c r="U109" s="75">
        <f t="shared" si="14"/>
        <v>1736812.98</v>
      </c>
      <c r="V109" s="75">
        <f t="shared" si="2"/>
        <v>1736812.98</v>
      </c>
    </row>
    <row r="110" spans="1:22" x14ac:dyDescent="0.25">
      <c r="A110" s="86"/>
      <c r="B110" s="197" t="s">
        <v>28</v>
      </c>
      <c r="C110" s="127" t="s">
        <v>220</v>
      </c>
      <c r="D110" s="86"/>
      <c r="E110" s="87"/>
      <c r="F110" s="87"/>
      <c r="G110" s="87"/>
      <c r="H110" s="87"/>
      <c r="I110" s="87"/>
      <c r="J110" s="75"/>
      <c r="K110" s="75"/>
      <c r="L110" s="75">
        <v>12248.94</v>
      </c>
      <c r="M110" s="75"/>
      <c r="N110" s="75"/>
      <c r="O110" s="75"/>
      <c r="P110" s="75"/>
      <c r="Q110" s="75"/>
      <c r="R110" s="75"/>
      <c r="S110" s="75">
        <f>L110*G109</f>
        <v>1714851.6</v>
      </c>
      <c r="T110" s="75">
        <f>S110</f>
        <v>1714851.6</v>
      </c>
      <c r="U110" s="75">
        <f>S110</f>
        <v>1714851.6</v>
      </c>
      <c r="V110" s="75">
        <f>S110</f>
        <v>1714851.6</v>
      </c>
    </row>
    <row r="111" spans="1:22" x14ac:dyDescent="0.25">
      <c r="A111" s="198" t="s">
        <v>68</v>
      </c>
      <c r="B111" s="94"/>
      <c r="C111" s="94"/>
      <c r="D111" s="94"/>
      <c r="E111" s="92"/>
      <c r="F111" s="92"/>
      <c r="G111" s="92"/>
      <c r="H111" s="92"/>
      <c r="I111" s="92"/>
      <c r="J111" s="78"/>
      <c r="K111" s="78"/>
      <c r="L111" s="78"/>
      <c r="M111" s="78">
        <f t="shared" si="5"/>
        <v>0</v>
      </c>
      <c r="N111" s="78">
        <f>N112+N119</f>
        <v>5803645</v>
      </c>
      <c r="O111" s="78">
        <f>O112+O119</f>
        <v>3112522.9996842882</v>
      </c>
      <c r="P111" s="78">
        <f>P112</f>
        <v>228350</v>
      </c>
      <c r="Q111" s="78">
        <f t="shared" ref="Q111" si="73">Q112+Q119</f>
        <v>4455650.0079999994</v>
      </c>
      <c r="R111" s="78">
        <f>R112</f>
        <v>1243164</v>
      </c>
      <c r="S111" s="78">
        <f>S120</f>
        <v>1763847.36</v>
      </c>
      <c r="T111" s="78">
        <f>T112+T119+T120</f>
        <v>16607179.367684286</v>
      </c>
      <c r="U111" s="78">
        <f t="shared" ref="U111:V111" si="74">U112+U119+U120</f>
        <v>16607179.367684286</v>
      </c>
      <c r="V111" s="78">
        <f t="shared" si="74"/>
        <v>16607179.367684286</v>
      </c>
    </row>
    <row r="112" spans="1:22" ht="94.9" customHeight="1" x14ac:dyDescent="0.25">
      <c r="A112" s="206" t="s">
        <v>260</v>
      </c>
      <c r="B112" s="84" t="s">
        <v>76</v>
      </c>
      <c r="C112" s="128"/>
      <c r="D112" s="95"/>
      <c r="E112" s="68"/>
      <c r="F112" s="68"/>
      <c r="G112" s="68"/>
      <c r="H112" s="68"/>
      <c r="I112" s="68"/>
      <c r="J112" s="75"/>
      <c r="K112" s="75"/>
      <c r="L112" s="75"/>
      <c r="M112" s="75">
        <f t="shared" si="5"/>
        <v>0</v>
      </c>
      <c r="N112" s="75">
        <f>SUM(N113:N116)</f>
        <v>5803645</v>
      </c>
      <c r="O112" s="75">
        <f>SUM(O113:O116)</f>
        <v>3112522.9996842882</v>
      </c>
      <c r="P112" s="75">
        <f>P118</f>
        <v>228350</v>
      </c>
      <c r="Q112" s="75">
        <f t="shared" ref="Q112" si="75">SUM(Q113:Q116)</f>
        <v>2731963.8299999996</v>
      </c>
      <c r="R112" s="75">
        <f>R117</f>
        <v>1243164</v>
      </c>
      <c r="S112" s="75"/>
      <c r="T112" s="75">
        <f>SUM(T113:T118)</f>
        <v>13119645.829684287</v>
      </c>
      <c r="U112" s="75">
        <f t="shared" ref="U112:V112" si="76">SUM(U113:U118)</f>
        <v>13119645.829684287</v>
      </c>
      <c r="V112" s="75">
        <f t="shared" si="76"/>
        <v>13119645.829684287</v>
      </c>
    </row>
    <row r="113" spans="1:22" ht="105" x14ac:dyDescent="0.25">
      <c r="A113" s="83"/>
      <c r="B113" s="97" t="s">
        <v>19</v>
      </c>
      <c r="C113" s="93" t="s">
        <v>0</v>
      </c>
      <c r="D113" s="197" t="s">
        <v>20</v>
      </c>
      <c r="E113" s="87">
        <v>14</v>
      </c>
      <c r="F113" s="87">
        <v>14</v>
      </c>
      <c r="G113" s="87">
        <f t="shared" ref="G113:G119" si="77">(E113*8+F113*4)/12</f>
        <v>14</v>
      </c>
      <c r="H113" s="87">
        <v>14</v>
      </c>
      <c r="I113" s="87">
        <v>14</v>
      </c>
      <c r="J113" s="75">
        <v>43138.04</v>
      </c>
      <c r="K113" s="75">
        <v>21614.746317252</v>
      </c>
      <c r="L113" s="75">
        <v>18972.009999999998</v>
      </c>
      <c r="M113" s="75">
        <f t="shared" si="5"/>
        <v>83724.796317251996</v>
      </c>
      <c r="N113" s="75">
        <f>G113*J113</f>
        <v>603932.56000000006</v>
      </c>
      <c r="O113" s="75">
        <f>G113*K113</f>
        <v>302606.44844152802</v>
      </c>
      <c r="P113" s="75"/>
      <c r="Q113" s="75">
        <f>G113*L113</f>
        <v>265608.13999999996</v>
      </c>
      <c r="R113" s="75"/>
      <c r="S113" s="75"/>
      <c r="T113" s="75">
        <f t="shared" si="1"/>
        <v>1172147.148441528</v>
      </c>
      <c r="U113" s="75">
        <f t="shared" si="14"/>
        <v>1172147.148441528</v>
      </c>
      <c r="V113" s="75">
        <f t="shared" si="2"/>
        <v>1172147.148441528</v>
      </c>
    </row>
    <row r="114" spans="1:22" x14ac:dyDescent="0.25">
      <c r="A114" s="88"/>
      <c r="B114" s="97" t="s">
        <v>24</v>
      </c>
      <c r="C114" s="97"/>
      <c r="D114" s="86" t="s">
        <v>20</v>
      </c>
      <c r="E114" s="87">
        <v>57</v>
      </c>
      <c r="F114" s="87">
        <v>57</v>
      </c>
      <c r="G114" s="87">
        <f t="shared" si="77"/>
        <v>57</v>
      </c>
      <c r="H114" s="87">
        <v>57</v>
      </c>
      <c r="I114" s="87">
        <v>57</v>
      </c>
      <c r="J114" s="75">
        <v>34198.17</v>
      </c>
      <c r="K114" s="75">
        <v>21614.746317252</v>
      </c>
      <c r="L114" s="75">
        <v>18972.009999999998</v>
      </c>
      <c r="M114" s="75">
        <f t="shared" si="5"/>
        <v>74784.926317252</v>
      </c>
      <c r="N114" s="75">
        <f t="shared" ref="N114:N119" si="78">G114*J114</f>
        <v>1949295.69</v>
      </c>
      <c r="O114" s="75">
        <f>G114*K114</f>
        <v>1232040.5400833641</v>
      </c>
      <c r="P114" s="75"/>
      <c r="Q114" s="75">
        <f t="shared" ref="Q114" si="79">G114*L114</f>
        <v>1081404.5699999998</v>
      </c>
      <c r="R114" s="75"/>
      <c r="S114" s="75"/>
      <c r="T114" s="75">
        <f t="shared" si="1"/>
        <v>4262740.8000833634</v>
      </c>
      <c r="U114" s="75">
        <f t="shared" si="14"/>
        <v>4262740.8000833644</v>
      </c>
      <c r="V114" s="75">
        <f t="shared" si="2"/>
        <v>4262740.8000833644</v>
      </c>
    </row>
    <row r="115" spans="1:22" x14ac:dyDescent="0.25">
      <c r="A115" s="88"/>
      <c r="B115" s="97"/>
      <c r="C115" s="97"/>
      <c r="D115" s="86"/>
      <c r="E115" s="87"/>
      <c r="F115" s="87"/>
      <c r="G115" s="87"/>
      <c r="H115" s="87"/>
      <c r="I115" s="87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</row>
    <row r="116" spans="1:22" ht="120" x14ac:dyDescent="0.25">
      <c r="A116" s="88"/>
      <c r="B116" s="97" t="s">
        <v>24</v>
      </c>
      <c r="C116" s="93" t="s">
        <v>162</v>
      </c>
      <c r="D116" s="197" t="s">
        <v>20</v>
      </c>
      <c r="E116" s="87">
        <v>73</v>
      </c>
      <c r="F116" s="87">
        <v>73</v>
      </c>
      <c r="G116" s="87">
        <f t="shared" si="77"/>
        <v>73</v>
      </c>
      <c r="H116" s="87">
        <v>73</v>
      </c>
      <c r="I116" s="87">
        <v>73</v>
      </c>
      <c r="J116" s="75">
        <v>44526.26</v>
      </c>
      <c r="K116" s="75">
        <v>21614.746317252</v>
      </c>
      <c r="L116" s="75">
        <v>18972.009999999998</v>
      </c>
      <c r="M116" s="75">
        <f t="shared" si="5"/>
        <v>85113.016317251997</v>
      </c>
      <c r="N116" s="75">
        <f>G116*J116-0.23</f>
        <v>3250416.75</v>
      </c>
      <c r="O116" s="75">
        <f>G116*K116-0.47</f>
        <v>1577876.011159396</v>
      </c>
      <c r="P116" s="75"/>
      <c r="Q116" s="75">
        <f>G116*L116-5.61</f>
        <v>1384951.1199999999</v>
      </c>
      <c r="R116" s="75"/>
      <c r="S116" s="75"/>
      <c r="T116" s="75">
        <f t="shared" si="1"/>
        <v>6213243.8811593959</v>
      </c>
      <c r="U116" s="75">
        <f>T116</f>
        <v>6213243.8811593959</v>
      </c>
      <c r="V116" s="75">
        <f>U116</f>
        <v>6213243.8811593959</v>
      </c>
    </row>
    <row r="117" spans="1:22" x14ac:dyDescent="0.25">
      <c r="A117" s="88"/>
      <c r="B117" s="89" t="s">
        <v>225</v>
      </c>
      <c r="C117" s="127" t="s">
        <v>219</v>
      </c>
      <c r="D117" s="197"/>
      <c r="E117" s="87"/>
      <c r="F117" s="87"/>
      <c r="G117" s="87">
        <v>15</v>
      </c>
      <c r="H117" s="87">
        <v>15</v>
      </c>
      <c r="I117" s="87">
        <v>15</v>
      </c>
      <c r="J117" s="75"/>
      <c r="K117" s="75"/>
      <c r="L117" s="75"/>
      <c r="M117" s="75"/>
      <c r="N117" s="75"/>
      <c r="O117" s="75"/>
      <c r="P117" s="75"/>
      <c r="Q117" s="75"/>
      <c r="R117" s="75">
        <v>1243164</v>
      </c>
      <c r="S117" s="75"/>
      <c r="T117" s="75">
        <f>R117</f>
        <v>1243164</v>
      </c>
      <c r="U117" s="75">
        <f>R117</f>
        <v>1243164</v>
      </c>
      <c r="V117" s="75">
        <f>R117</f>
        <v>1243164</v>
      </c>
    </row>
    <row r="118" spans="1:22" x14ac:dyDescent="0.25">
      <c r="A118" s="88"/>
      <c r="B118" s="89" t="s">
        <v>225</v>
      </c>
      <c r="C118" s="127" t="s">
        <v>226</v>
      </c>
      <c r="D118" s="197"/>
      <c r="E118" s="87"/>
      <c r="F118" s="87"/>
      <c r="G118" s="87">
        <v>8</v>
      </c>
      <c r="H118" s="87">
        <v>8</v>
      </c>
      <c r="I118" s="87">
        <v>8</v>
      </c>
      <c r="J118" s="75"/>
      <c r="K118" s="75"/>
      <c r="L118" s="75"/>
      <c r="M118" s="75"/>
      <c r="N118" s="75"/>
      <c r="O118" s="75"/>
      <c r="P118" s="75">
        <v>228350</v>
      </c>
      <c r="Q118" s="75"/>
      <c r="R118" s="75"/>
      <c r="S118" s="75"/>
      <c r="T118" s="75">
        <f>N118+P118+Q118+R118</f>
        <v>228350</v>
      </c>
      <c r="U118" s="75">
        <f>T118</f>
        <v>228350</v>
      </c>
      <c r="V118" s="75">
        <f>T118</f>
        <v>228350</v>
      </c>
    </row>
    <row r="119" spans="1:22" ht="90" x14ac:dyDescent="0.25">
      <c r="A119" s="206" t="s">
        <v>261</v>
      </c>
      <c r="B119" s="197" t="s">
        <v>28</v>
      </c>
      <c r="C119" s="127" t="s">
        <v>219</v>
      </c>
      <c r="D119" s="86" t="s">
        <v>20</v>
      </c>
      <c r="E119" s="87">
        <f>E116+E114+E113</f>
        <v>144</v>
      </c>
      <c r="F119" s="87">
        <f>F116+F114+F113</f>
        <v>144</v>
      </c>
      <c r="G119" s="87">
        <f t="shared" si="77"/>
        <v>144</v>
      </c>
      <c r="H119" s="87">
        <f>H116+H114+H113</f>
        <v>144</v>
      </c>
      <c r="I119" s="87">
        <f>I116+I114+I113</f>
        <v>144</v>
      </c>
      <c r="J119" s="75" t="s">
        <v>23</v>
      </c>
      <c r="K119" s="75"/>
      <c r="L119" s="75">
        <v>12405.807000000001</v>
      </c>
      <c r="M119" s="75">
        <f t="shared" si="5"/>
        <v>12405.807000000001</v>
      </c>
      <c r="N119" s="75">
        <f t="shared" si="78"/>
        <v>0</v>
      </c>
      <c r="O119" s="75">
        <f t="shared" ref="O119" si="80">G119*K119</f>
        <v>0</v>
      </c>
      <c r="P119" s="75"/>
      <c r="Q119" s="75">
        <f>G119*L119-4.79+10.4-62755.64</f>
        <v>1723686.1780000001</v>
      </c>
      <c r="R119" s="75"/>
      <c r="S119" s="75"/>
      <c r="T119" s="75">
        <f t="shared" si="1"/>
        <v>1723686.1780000001</v>
      </c>
      <c r="U119" s="75">
        <f>T119</f>
        <v>1723686.1780000001</v>
      </c>
      <c r="V119" s="75">
        <f>U119</f>
        <v>1723686.1780000001</v>
      </c>
    </row>
    <row r="120" spans="1:22" ht="27.6" customHeight="1" x14ac:dyDescent="0.25">
      <c r="A120" s="86"/>
      <c r="B120" s="197" t="s">
        <v>28</v>
      </c>
      <c r="C120" s="127" t="s">
        <v>220</v>
      </c>
      <c r="D120" s="86"/>
      <c r="E120" s="87"/>
      <c r="F120" s="87"/>
      <c r="G120" s="87"/>
      <c r="H120" s="87"/>
      <c r="I120" s="87"/>
      <c r="J120" s="75"/>
      <c r="K120" s="75"/>
      <c r="L120" s="75">
        <v>12248.94</v>
      </c>
      <c r="M120" s="75"/>
      <c r="N120" s="75"/>
      <c r="O120" s="75"/>
      <c r="P120" s="75"/>
      <c r="Q120" s="75"/>
      <c r="R120" s="75"/>
      <c r="S120" s="75">
        <f>L120*G119</f>
        <v>1763847.36</v>
      </c>
      <c r="T120" s="75">
        <f>S120</f>
        <v>1763847.36</v>
      </c>
      <c r="U120" s="75">
        <f>S120</f>
        <v>1763847.36</v>
      </c>
      <c r="V120" s="75">
        <f>S120</f>
        <v>1763847.36</v>
      </c>
    </row>
    <row r="121" spans="1:22" s="96" customFormat="1" ht="14.25" x14ac:dyDescent="0.2">
      <c r="A121" s="198" t="s">
        <v>71</v>
      </c>
      <c r="B121" s="94"/>
      <c r="C121" s="94"/>
      <c r="D121" s="94"/>
      <c r="E121" s="92"/>
      <c r="F121" s="92"/>
      <c r="G121" s="92"/>
      <c r="H121" s="92"/>
      <c r="I121" s="92"/>
      <c r="J121" s="78"/>
      <c r="K121" s="78"/>
      <c r="L121" s="78"/>
      <c r="M121" s="78">
        <f t="shared" si="5"/>
        <v>0</v>
      </c>
      <c r="N121" s="78">
        <f>N122+N128</f>
        <v>10853405</v>
      </c>
      <c r="O121" s="78">
        <f>O122+O128</f>
        <v>5295614.9977267403</v>
      </c>
      <c r="P121" s="78">
        <f>P122</f>
        <v>399610</v>
      </c>
      <c r="Q121" s="213">
        <f>Q122+Q128+0.02</f>
        <v>7565100.0199999996</v>
      </c>
      <c r="R121" s="78">
        <f>R122</f>
        <v>2046300</v>
      </c>
      <c r="S121" s="78">
        <f>S129</f>
        <v>2878524.6</v>
      </c>
      <c r="T121" s="78">
        <f>T122+T128+T129</f>
        <v>29038554.59772674</v>
      </c>
      <c r="U121" s="78">
        <f t="shared" ref="U121:V121" si="81">U122+U128+U129</f>
        <v>29038554.59772674</v>
      </c>
      <c r="V121" s="78">
        <f t="shared" si="81"/>
        <v>29038554.59772674</v>
      </c>
    </row>
    <row r="122" spans="1:22" ht="106.9" customHeight="1" x14ac:dyDescent="0.25">
      <c r="A122" s="206" t="s">
        <v>260</v>
      </c>
      <c r="B122" s="84" t="s">
        <v>76</v>
      </c>
      <c r="C122" s="128"/>
      <c r="D122" s="95"/>
      <c r="E122" s="68"/>
      <c r="F122" s="68"/>
      <c r="G122" s="68"/>
      <c r="H122" s="68"/>
      <c r="I122" s="68"/>
      <c r="J122" s="75"/>
      <c r="K122" s="75"/>
      <c r="L122" s="75"/>
      <c r="M122" s="75">
        <f t="shared" ref="M122:M128" si="82">J122+K122+L122</f>
        <v>0</v>
      </c>
      <c r="N122" s="75">
        <f>SUM(N123:N125)</f>
        <v>10853405</v>
      </c>
      <c r="O122" s="75">
        <f>SUM(O123:O125)</f>
        <v>5295614.9977267403</v>
      </c>
      <c r="P122" s="75">
        <f>P127</f>
        <v>399610</v>
      </c>
      <c r="Q122" s="75">
        <f t="shared" ref="Q122" si="83">SUM(Q123:Q125)</f>
        <v>4648142.25</v>
      </c>
      <c r="R122" s="75">
        <f>R126</f>
        <v>2046300</v>
      </c>
      <c r="S122" s="75"/>
      <c r="T122" s="75">
        <f>SUM(T123:T127)</f>
        <v>23243072.247726738</v>
      </c>
      <c r="U122" s="75">
        <f t="shared" ref="U122:V122" si="84">SUM(U123:U127)</f>
        <v>23243072.247726738</v>
      </c>
      <c r="V122" s="75">
        <f t="shared" si="84"/>
        <v>23243072.247726738</v>
      </c>
    </row>
    <row r="123" spans="1:22" ht="105" x14ac:dyDescent="0.25">
      <c r="A123" s="83"/>
      <c r="B123" s="97" t="s">
        <v>19</v>
      </c>
      <c r="C123" s="93" t="s">
        <v>0</v>
      </c>
      <c r="D123" s="197" t="s">
        <v>20</v>
      </c>
      <c r="E123" s="87">
        <v>40</v>
      </c>
      <c r="F123" s="87">
        <v>40</v>
      </c>
      <c r="G123" s="87">
        <f t="shared" ref="G123:G128" si="85">(E123*8+F123*4)/12</f>
        <v>40</v>
      </c>
      <c r="H123" s="87">
        <v>40</v>
      </c>
      <c r="I123" s="87">
        <v>40</v>
      </c>
      <c r="J123" s="75">
        <v>43138.04</v>
      </c>
      <c r="K123" s="75">
        <v>21614.746317252</v>
      </c>
      <c r="L123" s="75">
        <f>18972.01</f>
        <v>18972.009999999998</v>
      </c>
      <c r="M123" s="75">
        <f t="shared" si="82"/>
        <v>83724.796317251996</v>
      </c>
      <c r="N123" s="75">
        <f>G123*J123</f>
        <v>1725521.6</v>
      </c>
      <c r="O123" s="75">
        <f>G123*K123</f>
        <v>864589.85269007995</v>
      </c>
      <c r="P123" s="75"/>
      <c r="Q123" s="75">
        <f>G123*L123</f>
        <v>758880.39999999991</v>
      </c>
      <c r="R123" s="75"/>
      <c r="S123" s="75"/>
      <c r="T123" s="75">
        <f t="shared" ref="T123:T128" si="86">SUM(N123:Q123)</f>
        <v>3348991.8526900797</v>
      </c>
      <c r="U123" s="75">
        <f t="shared" ref="U123:U128" si="87">H123*M123</f>
        <v>3348991.8526900797</v>
      </c>
      <c r="V123" s="75">
        <f t="shared" ref="V123:V128" si="88">I123*M123</f>
        <v>3348991.8526900797</v>
      </c>
    </row>
    <row r="124" spans="1:22" x14ac:dyDescent="0.25">
      <c r="A124" s="88"/>
      <c r="B124" s="97" t="s">
        <v>24</v>
      </c>
      <c r="C124" s="97"/>
      <c r="D124" s="86" t="s">
        <v>20</v>
      </c>
      <c r="E124" s="87"/>
      <c r="F124" s="87"/>
      <c r="G124" s="87">
        <f t="shared" si="85"/>
        <v>0</v>
      </c>
      <c r="H124" s="87"/>
      <c r="I124" s="87"/>
      <c r="J124" s="75">
        <v>34198.17</v>
      </c>
      <c r="K124" s="75">
        <v>21614.746317252</v>
      </c>
      <c r="L124" s="75">
        <f>18972.01</f>
        <v>18972.009999999998</v>
      </c>
      <c r="M124" s="75">
        <f t="shared" si="82"/>
        <v>74784.926317252</v>
      </c>
      <c r="N124" s="75">
        <f t="shared" ref="N124:N128" si="89">G124*J124</f>
        <v>0</v>
      </c>
      <c r="O124" s="75">
        <f>G124*K124</f>
        <v>0</v>
      </c>
      <c r="P124" s="75"/>
      <c r="Q124" s="75">
        <f t="shared" ref="Q124" si="90">G124*L124</f>
        <v>0</v>
      </c>
      <c r="R124" s="75"/>
      <c r="S124" s="75"/>
      <c r="T124" s="75">
        <f t="shared" si="86"/>
        <v>0</v>
      </c>
      <c r="U124" s="75">
        <f t="shared" si="87"/>
        <v>0</v>
      </c>
      <c r="V124" s="75">
        <f t="shared" si="88"/>
        <v>0</v>
      </c>
    </row>
    <row r="125" spans="1:22" ht="120" x14ac:dyDescent="0.25">
      <c r="A125" s="88"/>
      <c r="B125" s="97" t="s">
        <v>24</v>
      </c>
      <c r="C125" s="93" t="s">
        <v>162</v>
      </c>
      <c r="D125" s="197" t="s">
        <v>20</v>
      </c>
      <c r="E125" s="87">
        <v>205</v>
      </c>
      <c r="F125" s="87">
        <v>205</v>
      </c>
      <c r="G125" s="87">
        <f t="shared" si="85"/>
        <v>205</v>
      </c>
      <c r="H125" s="87">
        <v>205</v>
      </c>
      <c r="I125" s="87">
        <v>205</v>
      </c>
      <c r="J125" s="75">
        <v>44526.26</v>
      </c>
      <c r="K125" s="75">
        <v>21614.746317252</v>
      </c>
      <c r="L125" s="75">
        <f>18972.01</f>
        <v>18972.009999999998</v>
      </c>
      <c r="M125" s="75">
        <f t="shared" si="82"/>
        <v>85113.016317251997</v>
      </c>
      <c r="N125" s="75">
        <f>G125*J125+0.1</f>
        <v>9127883.4000000004</v>
      </c>
      <c r="O125" s="75">
        <f>G125*K125+2.15</f>
        <v>4431025.1450366601</v>
      </c>
      <c r="P125" s="75"/>
      <c r="Q125" s="75">
        <f>G125*L125-0.2</f>
        <v>3889261.8499999996</v>
      </c>
      <c r="R125" s="75"/>
      <c r="S125" s="75"/>
      <c r="T125" s="75">
        <f t="shared" si="86"/>
        <v>17448170.39503666</v>
      </c>
      <c r="U125" s="75">
        <f>T125</f>
        <v>17448170.39503666</v>
      </c>
      <c r="V125" s="75">
        <f>U125</f>
        <v>17448170.39503666</v>
      </c>
    </row>
    <row r="126" spans="1:22" x14ac:dyDescent="0.25">
      <c r="A126" s="88"/>
      <c r="B126" s="89" t="s">
        <v>225</v>
      </c>
      <c r="C126" s="127" t="s">
        <v>219</v>
      </c>
      <c r="D126" s="197"/>
      <c r="E126" s="87"/>
      <c r="F126" s="87"/>
      <c r="G126" s="87">
        <v>27</v>
      </c>
      <c r="H126" s="87">
        <v>27</v>
      </c>
      <c r="I126" s="87">
        <v>27</v>
      </c>
      <c r="J126" s="75"/>
      <c r="K126" s="75"/>
      <c r="L126" s="75"/>
      <c r="M126" s="75"/>
      <c r="N126" s="75"/>
      <c r="O126" s="75"/>
      <c r="P126" s="75"/>
      <c r="Q126" s="75"/>
      <c r="R126" s="75">
        <v>2046300</v>
      </c>
      <c r="S126" s="75"/>
      <c r="T126" s="75">
        <f>R126</f>
        <v>2046300</v>
      </c>
      <c r="U126" s="75">
        <f>R126</f>
        <v>2046300</v>
      </c>
      <c r="V126" s="75">
        <f>R126</f>
        <v>2046300</v>
      </c>
    </row>
    <row r="127" spans="1:22" x14ac:dyDescent="0.25">
      <c r="A127" s="88"/>
      <c r="B127" s="89" t="s">
        <v>225</v>
      </c>
      <c r="C127" s="127" t="s">
        <v>226</v>
      </c>
      <c r="D127" s="197"/>
      <c r="E127" s="87"/>
      <c r="F127" s="87"/>
      <c r="G127" s="87">
        <v>14</v>
      </c>
      <c r="H127" s="87">
        <v>14</v>
      </c>
      <c r="I127" s="87">
        <v>14</v>
      </c>
      <c r="J127" s="75"/>
      <c r="K127" s="75"/>
      <c r="L127" s="75"/>
      <c r="M127" s="75"/>
      <c r="N127" s="75"/>
      <c r="O127" s="75"/>
      <c r="P127" s="75">
        <f>399612-2</f>
        <v>399610</v>
      </c>
      <c r="Q127" s="75"/>
      <c r="R127" s="75"/>
      <c r="S127" s="75"/>
      <c r="T127" s="75">
        <f>P127</f>
        <v>399610</v>
      </c>
      <c r="U127" s="75">
        <f>P127</f>
        <v>399610</v>
      </c>
      <c r="V127" s="75">
        <f>P127</f>
        <v>399610</v>
      </c>
    </row>
    <row r="128" spans="1:22" ht="90" x14ac:dyDescent="0.25">
      <c r="A128" s="206" t="s">
        <v>261</v>
      </c>
      <c r="B128" s="197" t="s">
        <v>28</v>
      </c>
      <c r="C128" s="127" t="s">
        <v>219</v>
      </c>
      <c r="D128" s="86" t="s">
        <v>20</v>
      </c>
      <c r="E128" s="87">
        <f>E125+E124+E123</f>
        <v>245</v>
      </c>
      <c r="F128" s="87">
        <f>F125+F124+F123</f>
        <v>245</v>
      </c>
      <c r="G128" s="87">
        <f t="shared" si="85"/>
        <v>245</v>
      </c>
      <c r="H128" s="87">
        <f>H125+H124+H123</f>
        <v>245</v>
      </c>
      <c r="I128" s="87">
        <f>I125+I124+I123</f>
        <v>245</v>
      </c>
      <c r="J128" s="75" t="s">
        <v>23</v>
      </c>
      <c r="K128" s="75"/>
      <c r="L128" s="75">
        <f>10350.76+2055.05-499.86</f>
        <v>11905.95</v>
      </c>
      <c r="M128" s="75">
        <f t="shared" si="82"/>
        <v>11905.95</v>
      </c>
      <c r="N128" s="75">
        <f t="shared" si="89"/>
        <v>0</v>
      </c>
      <c r="O128" s="75">
        <f t="shared" ref="O128" si="91">G128*K128</f>
        <v>0</v>
      </c>
      <c r="P128" s="75"/>
      <c r="Q128" s="75">
        <f>G128*L128</f>
        <v>2916957.75</v>
      </c>
      <c r="R128" s="75"/>
      <c r="S128" s="75"/>
      <c r="T128" s="75">
        <f t="shared" si="86"/>
        <v>2916957.75</v>
      </c>
      <c r="U128" s="75">
        <f t="shared" si="87"/>
        <v>2916957.75</v>
      </c>
      <c r="V128" s="75">
        <f t="shared" si="88"/>
        <v>2916957.75</v>
      </c>
    </row>
    <row r="129" spans="1:22" x14ac:dyDescent="0.25">
      <c r="A129" s="86"/>
      <c r="B129" s="197" t="s">
        <v>28</v>
      </c>
      <c r="C129" s="127" t="s">
        <v>220</v>
      </c>
      <c r="D129" s="86"/>
      <c r="E129" s="87"/>
      <c r="F129" s="87"/>
      <c r="G129" s="87"/>
      <c r="H129" s="87"/>
      <c r="I129" s="87"/>
      <c r="J129" s="75"/>
      <c r="K129" s="75"/>
      <c r="L129" s="75">
        <f>12248.94-499.86</f>
        <v>11749.08</v>
      </c>
      <c r="M129" s="75"/>
      <c r="N129" s="75"/>
      <c r="O129" s="75"/>
      <c r="P129" s="75"/>
      <c r="Q129" s="75"/>
      <c r="R129" s="75"/>
      <c r="S129" s="75">
        <f>L129*G128</f>
        <v>2878524.6</v>
      </c>
      <c r="T129" s="75">
        <f>S129</f>
        <v>2878524.6</v>
      </c>
      <c r="U129" s="75">
        <f>S129</f>
        <v>2878524.6</v>
      </c>
      <c r="V129" s="75">
        <f>S129</f>
        <v>2878524.6</v>
      </c>
    </row>
    <row r="130" spans="1:22" x14ac:dyDescent="0.25">
      <c r="A130" s="254" t="s">
        <v>235</v>
      </c>
      <c r="B130" s="255"/>
      <c r="C130" s="255"/>
      <c r="D130" s="255"/>
      <c r="E130" s="255"/>
      <c r="F130" s="255"/>
      <c r="G130" s="255"/>
      <c r="H130" s="255"/>
      <c r="I130" s="255"/>
      <c r="J130" s="255"/>
      <c r="K130" s="255"/>
      <c r="L130" s="255"/>
      <c r="M130" s="256"/>
      <c r="N130" s="188">
        <f t="shared" ref="N130:T130" si="92">N12+N22+N29+N39+N48+N58+N68+N77+N89+N101+N111+N121</f>
        <v>81221200</v>
      </c>
      <c r="O130" s="188">
        <f>O12+O22+O29+O39+O48+O58+O68+O77+O89+O101+O111+O121</f>
        <v>37523200.001749478</v>
      </c>
      <c r="P130" s="188">
        <f t="shared" si="92"/>
        <v>2940000</v>
      </c>
      <c r="Q130" s="188">
        <f>Q12+Q22+Q29+Q39+Q48+Q58+Q68+Q77+Q89+Q101+Q111+Q121</f>
        <v>55096700.001999989</v>
      </c>
      <c r="R130" s="188">
        <f t="shared" si="92"/>
        <v>15629900</v>
      </c>
      <c r="S130" s="188">
        <f t="shared" si="92"/>
        <v>21141694.140000004</v>
      </c>
      <c r="T130" s="188">
        <f t="shared" si="92"/>
        <v>213552694.12374946</v>
      </c>
      <c r="U130" s="188">
        <f t="shared" ref="U130:V130" si="93">U12+U22+U29+U39+U48+U58+U68+U77+U89+U101+U111+U121</f>
        <v>213552694.12374946</v>
      </c>
      <c r="V130" s="188">
        <f t="shared" si="93"/>
        <v>213552694.12374946</v>
      </c>
    </row>
    <row r="131" spans="1:22" x14ac:dyDescent="0.25">
      <c r="A131" s="80" t="s">
        <v>237</v>
      </c>
      <c r="C131" s="193"/>
      <c r="D131" s="193"/>
      <c r="E131" s="193"/>
      <c r="F131" s="193"/>
      <c r="G131" s="193"/>
      <c r="H131" s="193"/>
      <c r="I131" s="193"/>
      <c r="J131" s="193"/>
      <c r="K131" s="193"/>
      <c r="L131" s="193"/>
      <c r="M131" s="193"/>
      <c r="N131" s="194"/>
      <c r="O131" s="194"/>
      <c r="P131" s="194"/>
      <c r="Q131" s="194"/>
      <c r="R131" s="194"/>
      <c r="S131" s="193"/>
      <c r="T131" s="193"/>
      <c r="U131" s="193"/>
      <c r="V131" s="193"/>
    </row>
    <row r="132" spans="1:22" x14ac:dyDescent="0.25">
      <c r="A132" s="80" t="s">
        <v>178</v>
      </c>
      <c r="P132" s="85"/>
    </row>
    <row r="133" spans="1:22" x14ac:dyDescent="0.25">
      <c r="Q133" s="85"/>
    </row>
  </sheetData>
  <mergeCells count="9">
    <mergeCell ref="A130:M130"/>
    <mergeCell ref="C82:C83"/>
    <mergeCell ref="D82:D83"/>
    <mergeCell ref="A5:V5"/>
    <mergeCell ref="J8:M8"/>
    <mergeCell ref="N8:V8"/>
    <mergeCell ref="E9:G9"/>
    <mergeCell ref="N9:T9"/>
    <mergeCell ref="N10:T10"/>
  </mergeCells>
  <pageMargins left="0.70866141732283472" right="0.70866141732283472" top="0.74803149606299213" bottom="0.74803149606299213" header="0.31496062992125984" footer="0.31496062992125984"/>
  <pageSetup paperSize="9" scale="40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ДОП</vt:lpstr>
      <vt:lpstr>САДЫ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Отдел</cp:lastModifiedBy>
  <cp:lastPrinted>2019-02-14T08:12:23Z</cp:lastPrinted>
  <dcterms:created xsi:type="dcterms:W3CDTF">2018-11-21T04:22:49Z</dcterms:created>
  <dcterms:modified xsi:type="dcterms:W3CDTF">2020-01-15T08:15:03Z</dcterms:modified>
</cp:coreProperties>
</file>