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570" windowWidth="15450" windowHeight="9690" tabRatio="598" firstSheet="2" activeTab="2"/>
  </bookViews>
  <sheets>
    <sheet name="01.01.2016" sheetId="1" state="hidden" r:id="rId1"/>
    <sheet name="ОБЩИЙ" sheetId="3" state="hidden" r:id="rId2"/>
    <sheet name="ШКОЛЫ" sheetId="4" r:id="rId3"/>
    <sheet name="ДОП" sheetId="5" r:id="rId4"/>
    <sheet name="САДЫ" sheetId="6" r:id="rId5"/>
  </sheets>
  <calcPr calcId="145621"/>
</workbook>
</file>

<file path=xl/calcChain.xml><?xml version="1.0" encoding="utf-8"?>
<calcChain xmlns="http://schemas.openxmlformats.org/spreadsheetml/2006/main">
  <c r="T130" i="6" l="1"/>
  <c r="U130" i="6" s="1"/>
  <c r="V130" i="6" s="1"/>
  <c r="T140" i="6"/>
  <c r="U140" i="6" s="1"/>
  <c r="V140" i="6" s="1"/>
  <c r="T119" i="6"/>
  <c r="U119" i="6" s="1"/>
  <c r="V119" i="6" s="1"/>
  <c r="T108" i="6"/>
  <c r="U108" i="6" s="1"/>
  <c r="V108" i="6" s="1"/>
  <c r="T95" i="6"/>
  <c r="U95" i="6" s="1"/>
  <c r="V95" i="6" s="1"/>
  <c r="T82" i="6"/>
  <c r="U82" i="6" s="1"/>
  <c r="V82" i="6" s="1"/>
  <c r="T72" i="6"/>
  <c r="U72" i="6" s="1"/>
  <c r="V72" i="6" s="1"/>
  <c r="T61" i="6"/>
  <c r="U61" i="6" s="1"/>
  <c r="V61" i="6" s="1"/>
  <c r="T50" i="6"/>
  <c r="U50" i="6" s="1"/>
  <c r="V50" i="6" s="1"/>
  <c r="T40" i="6"/>
  <c r="U40" i="6" s="1"/>
  <c r="V40" i="6" s="1"/>
  <c r="T31" i="6"/>
  <c r="U31" i="6" s="1"/>
  <c r="V31" i="6" s="1"/>
  <c r="R25" i="6"/>
  <c r="X156" i="4"/>
  <c r="X163" i="4"/>
  <c r="X170" i="4"/>
  <c r="M42" i="4"/>
  <c r="M49" i="4"/>
  <c r="M51" i="4"/>
  <c r="M56" i="4"/>
  <c r="M58" i="4"/>
  <c r="M61" i="4"/>
  <c r="M95" i="4"/>
  <c r="M104" i="4"/>
  <c r="M106" i="4"/>
  <c r="M113" i="4"/>
  <c r="M115" i="4"/>
  <c r="M118" i="4"/>
  <c r="M68" i="4"/>
  <c r="M75" i="4"/>
  <c r="M77" i="4"/>
  <c r="M82" i="4"/>
  <c r="M84" i="4"/>
  <c r="M88" i="4"/>
  <c r="M12" i="4"/>
  <c r="M22" i="4"/>
  <c r="M24" i="4"/>
  <c r="M29" i="4"/>
  <c r="M31" i="4"/>
  <c r="R156" i="4" l="1"/>
  <c r="R157" i="4"/>
  <c r="R162" i="4"/>
  <c r="R163" i="4"/>
  <c r="R170" i="4"/>
  <c r="X183" i="4" l="1"/>
  <c r="M125" i="4"/>
  <c r="M133" i="4"/>
  <c r="M136" i="4"/>
  <c r="M137" i="4"/>
  <c r="M149" i="4"/>
  <c r="M146" i="4"/>
  <c r="M145" i="4"/>
  <c r="M142" i="4"/>
  <c r="N26" i="6" l="1"/>
  <c r="P139" i="6"/>
  <c r="P129" i="6"/>
  <c r="P118" i="6"/>
  <c r="P107" i="6"/>
  <c r="P94" i="6"/>
  <c r="P81" i="6"/>
  <c r="P71" i="6"/>
  <c r="P60" i="6"/>
  <c r="P49" i="6"/>
  <c r="P39" i="6"/>
  <c r="P30" i="6"/>
  <c r="P23" i="6" l="1"/>
  <c r="L35" i="4"/>
  <c r="P35" i="4" s="1"/>
  <c r="K35" i="4"/>
  <c r="J35" i="4" s="1"/>
  <c r="L136" i="6"/>
  <c r="L137" i="6"/>
  <c r="L135" i="6"/>
  <c r="L127" i="6"/>
  <c r="L125" i="6"/>
  <c r="L126" i="6"/>
  <c r="L124" i="6"/>
  <c r="L116" i="6"/>
  <c r="L114" i="6"/>
  <c r="L115" i="6"/>
  <c r="L113" i="6"/>
  <c r="L101" i="6"/>
  <c r="L102" i="6"/>
  <c r="L100" i="6"/>
  <c r="L88" i="6"/>
  <c r="L89" i="6"/>
  <c r="L87" i="6"/>
  <c r="L78" i="6"/>
  <c r="L79" i="6"/>
  <c r="L77" i="6"/>
  <c r="L69" i="6"/>
  <c r="L67" i="6"/>
  <c r="L68" i="6"/>
  <c r="L66" i="6"/>
  <c r="L56" i="6"/>
  <c r="L57" i="6"/>
  <c r="L58" i="6"/>
  <c r="L55" i="6"/>
  <c r="L46" i="6"/>
  <c r="L47" i="6"/>
  <c r="L45" i="6"/>
  <c r="L17" i="6"/>
  <c r="L18" i="6"/>
  <c r="L19" i="6"/>
  <c r="L16" i="6"/>
  <c r="L26" i="6"/>
  <c r="L35" i="6"/>
  <c r="L36" i="6"/>
  <c r="L37" i="6"/>
  <c r="L34" i="6"/>
  <c r="I14" i="5"/>
  <c r="I13" i="5"/>
  <c r="I12" i="5"/>
  <c r="I11" i="5"/>
  <c r="I10" i="5"/>
  <c r="J22" i="5"/>
  <c r="I22" i="5" s="1"/>
  <c r="O16" i="5"/>
  <c r="Q93" i="4"/>
  <c r="Q66" i="4"/>
  <c r="Y156" i="4"/>
  <c r="R174" i="4"/>
  <c r="O35" i="4" l="1"/>
  <c r="N35" i="4" s="1"/>
  <c r="T35" i="4" s="1"/>
  <c r="U35" i="4" s="1"/>
  <c r="J24" i="5"/>
  <c r="I16" i="5"/>
  <c r="K125" i="4" l="1"/>
  <c r="K95" i="4"/>
  <c r="K68" i="4"/>
  <c r="K42" i="4"/>
  <c r="K12" i="4"/>
  <c r="J19" i="5"/>
  <c r="N22" i="5" s="1"/>
  <c r="I179" i="4"/>
  <c r="H179" i="4"/>
  <c r="G179" i="4"/>
  <c r="O156" i="4"/>
  <c r="H150" i="4"/>
  <c r="I150" i="4"/>
  <c r="L19" i="5" l="1"/>
  <c r="K19" i="5"/>
  <c r="M18" i="6"/>
  <c r="K22" i="5" l="1"/>
  <c r="L22" i="5" s="1"/>
  <c r="K23" i="5"/>
  <c r="L23" i="5" s="1"/>
  <c r="K20" i="5"/>
  <c r="L20" i="5" s="1"/>
  <c r="T129" i="6"/>
  <c r="U129" i="6" s="1"/>
  <c r="V129" i="6" s="1"/>
  <c r="K167" i="4" l="1"/>
  <c r="K168" i="4"/>
  <c r="O170" i="4"/>
  <c r="O163" i="4"/>
  <c r="O162" i="4"/>
  <c r="O157" i="4"/>
  <c r="K149" i="4"/>
  <c r="K146" i="4"/>
  <c r="K145" i="4"/>
  <c r="K142" i="4"/>
  <c r="K137" i="4"/>
  <c r="K136" i="4"/>
  <c r="K133" i="4"/>
  <c r="K118" i="4"/>
  <c r="K115" i="4"/>
  <c r="K113" i="4"/>
  <c r="K106" i="4"/>
  <c r="K104" i="4"/>
  <c r="K88" i="4"/>
  <c r="K84" i="4"/>
  <c r="K82" i="4"/>
  <c r="K77" i="4"/>
  <c r="K75" i="4"/>
  <c r="J63" i="4"/>
  <c r="K61" i="4"/>
  <c r="K58" i="4"/>
  <c r="K56" i="4"/>
  <c r="K51" i="4"/>
  <c r="K49" i="4"/>
  <c r="K24" i="4" l="1"/>
  <c r="K29" i="4"/>
  <c r="K31" i="4"/>
  <c r="K22" i="4"/>
  <c r="M20" i="6"/>
  <c r="M19" i="6" l="1"/>
  <c r="G16" i="6"/>
  <c r="N16" i="6" s="1"/>
  <c r="G55" i="6"/>
  <c r="N55" i="6" s="1"/>
  <c r="G56" i="6"/>
  <c r="O16" i="6" l="1"/>
  <c r="O55" i="6"/>
  <c r="G45" i="6"/>
  <c r="G17" i="6"/>
  <c r="G19" i="6"/>
  <c r="G18" i="6"/>
  <c r="G26" i="6"/>
  <c r="O26" i="6" s="1"/>
  <c r="N18" i="6" l="1"/>
  <c r="O18" i="6"/>
  <c r="E18" i="5"/>
  <c r="F18" i="5"/>
  <c r="G18" i="5"/>
  <c r="H18" i="5"/>
  <c r="D18" i="5"/>
  <c r="E15" i="5"/>
  <c r="F15" i="5"/>
  <c r="G15" i="5"/>
  <c r="H15" i="5"/>
  <c r="D15" i="5"/>
  <c r="L141" i="6" l="1"/>
  <c r="L142" i="6"/>
  <c r="Q16" i="6"/>
  <c r="L27" i="6"/>
  <c r="Q27" i="6" s="1"/>
  <c r="J17" i="5" l="1"/>
  <c r="J16" i="5"/>
  <c r="J14" i="5"/>
  <c r="J13" i="5"/>
  <c r="J12" i="5"/>
  <c r="J11" i="5"/>
  <c r="J10" i="5"/>
  <c r="K14" i="5" l="1"/>
  <c r="L14" i="5" s="1"/>
  <c r="K13" i="5"/>
  <c r="L13" i="5" s="1"/>
  <c r="K12" i="5"/>
  <c r="L12" i="5" s="1"/>
  <c r="K11" i="5"/>
  <c r="L11" i="5" s="1"/>
  <c r="J15" i="5"/>
  <c r="J18" i="5"/>
  <c r="K16" i="5"/>
  <c r="I18" i="5" l="1"/>
  <c r="M18" i="5" s="1"/>
  <c r="N15" i="5"/>
  <c r="O15" i="5" s="1"/>
  <c r="P15" i="5" s="1"/>
  <c r="N16" i="5"/>
  <c r="P16" i="5" s="1"/>
  <c r="Q16" i="5" s="1"/>
  <c r="M15" i="5"/>
  <c r="J21" i="5"/>
  <c r="N21" i="5" s="1"/>
  <c r="I15" i="5"/>
  <c r="L16" i="5"/>
  <c r="K17" i="5"/>
  <c r="L17" i="5" s="1"/>
  <c r="K18" i="5" l="1"/>
  <c r="L18" i="5"/>
  <c r="V94" i="6"/>
  <c r="U94" i="6"/>
  <c r="V93" i="6"/>
  <c r="U93" i="6"/>
  <c r="R15" i="6"/>
  <c r="P15" i="6" l="1"/>
  <c r="V139" i="6"/>
  <c r="U139" i="6"/>
  <c r="T139" i="6"/>
  <c r="V138" i="6"/>
  <c r="U138" i="6"/>
  <c r="V128" i="6"/>
  <c r="U128" i="6"/>
  <c r="V118" i="6"/>
  <c r="U118" i="6"/>
  <c r="V117" i="6"/>
  <c r="U117" i="6"/>
  <c r="V107" i="6"/>
  <c r="U107" i="6"/>
  <c r="V106" i="6"/>
  <c r="U106" i="6"/>
  <c r="T106" i="6"/>
  <c r="V81" i="6"/>
  <c r="U81" i="6"/>
  <c r="V80" i="6"/>
  <c r="U80" i="6"/>
  <c r="V71" i="6"/>
  <c r="U71" i="6"/>
  <c r="V70" i="6"/>
  <c r="U70" i="6"/>
  <c r="U60" i="6"/>
  <c r="V60" i="6"/>
  <c r="V59" i="6"/>
  <c r="U59" i="6"/>
  <c r="T59" i="6"/>
  <c r="V39" i="6"/>
  <c r="U39" i="6"/>
  <c r="T39" i="6"/>
  <c r="V49" i="6"/>
  <c r="U49" i="6"/>
  <c r="V48" i="6"/>
  <c r="U48" i="6"/>
  <c r="T48" i="6"/>
  <c r="T49" i="6"/>
  <c r="V38" i="6"/>
  <c r="U38" i="6"/>
  <c r="T38" i="6"/>
  <c r="V30" i="6"/>
  <c r="U30" i="6"/>
  <c r="T30" i="6"/>
  <c r="V29" i="6"/>
  <c r="U29" i="6"/>
  <c r="T29" i="6"/>
  <c r="V23" i="6"/>
  <c r="V22" i="6"/>
  <c r="U23" i="6"/>
  <c r="U22" i="6"/>
  <c r="T23" i="6"/>
  <c r="T22" i="6"/>
  <c r="T178" i="4" l="1"/>
  <c r="U178" i="4" s="1"/>
  <c r="T177" i="4"/>
  <c r="U177" i="4" s="1"/>
  <c r="Q179" i="4"/>
  <c r="P170" i="4"/>
  <c r="P163" i="4"/>
  <c r="P162" i="4"/>
  <c r="P157" i="4"/>
  <c r="P156" i="4" l="1"/>
  <c r="T154" i="4" l="1"/>
  <c r="U154" i="4" s="1"/>
  <c r="T153" i="4"/>
  <c r="U153" i="4" s="1"/>
  <c r="Q155" i="4"/>
  <c r="T123" i="4"/>
  <c r="U123" i="4" s="1"/>
  <c r="T122" i="4"/>
  <c r="U122" i="4" s="1"/>
  <c r="Q124" i="4"/>
  <c r="T93" i="4"/>
  <c r="U93" i="4" s="1"/>
  <c r="T92" i="4"/>
  <c r="U92" i="4" s="1"/>
  <c r="Q94" i="4"/>
  <c r="T40" i="4" l="1"/>
  <c r="U40" i="4" s="1"/>
  <c r="T39" i="4"/>
  <c r="U39" i="4" s="1"/>
  <c r="Q41" i="4"/>
  <c r="T66" i="4"/>
  <c r="U66" i="4" s="1"/>
  <c r="T65" i="4"/>
  <c r="U65" i="4" s="1"/>
  <c r="Q67" i="4"/>
  <c r="L149" i="4"/>
  <c r="L146" i="4"/>
  <c r="L145" i="4"/>
  <c r="L142" i="4"/>
  <c r="L137" i="4"/>
  <c r="L136" i="4"/>
  <c r="L133" i="4"/>
  <c r="L125" i="4"/>
  <c r="L118" i="4"/>
  <c r="L115" i="4"/>
  <c r="L113" i="4"/>
  <c r="L106" i="4"/>
  <c r="L104" i="4"/>
  <c r="L95" i="4"/>
  <c r="L88" i="4"/>
  <c r="L84" i="4"/>
  <c r="L82" i="4"/>
  <c r="L77" i="4"/>
  <c r="L75" i="4"/>
  <c r="L68" i="4"/>
  <c r="L61" i="4"/>
  <c r="L58" i="4"/>
  <c r="L56" i="4"/>
  <c r="L51" i="4"/>
  <c r="L49" i="4"/>
  <c r="L42" i="4"/>
  <c r="L31" i="4"/>
  <c r="L29" i="4"/>
  <c r="L24" i="4"/>
  <c r="L22" i="4"/>
  <c r="L12" i="4"/>
  <c r="P123" i="6"/>
  <c r="P134" i="6"/>
  <c r="P133" i="6" s="1"/>
  <c r="P112" i="6"/>
  <c r="P111" i="6" s="1"/>
  <c r="P99" i="6"/>
  <c r="P98" i="6" s="1"/>
  <c r="P86" i="6"/>
  <c r="P85" i="6" s="1"/>
  <c r="P76" i="6"/>
  <c r="P75" i="6" s="1"/>
  <c r="P65" i="6"/>
  <c r="P64" i="6" s="1"/>
  <c r="P54" i="6"/>
  <c r="P53" i="6" s="1"/>
  <c r="P44" i="6"/>
  <c r="P43" i="6" s="1"/>
  <c r="P33" i="6"/>
  <c r="P32" i="6" s="1"/>
  <c r="P25" i="6"/>
  <c r="P24" i="6" s="1"/>
  <c r="P14" i="6"/>
  <c r="Q180" i="4" l="1"/>
  <c r="G27" i="6"/>
  <c r="Q26" i="6" s="1"/>
  <c r="T26" i="6" s="1"/>
  <c r="T25" i="6" s="1"/>
  <c r="W156" i="4" l="1"/>
  <c r="W157" i="4"/>
  <c r="W162" i="4"/>
  <c r="W163" i="4"/>
  <c r="W170" i="4"/>
  <c r="S179" i="4"/>
  <c r="S155" i="4"/>
  <c r="S124" i="4"/>
  <c r="S94" i="4"/>
  <c r="S67" i="4"/>
  <c r="G68" i="4"/>
  <c r="O68" i="4" s="1"/>
  <c r="J68" i="4"/>
  <c r="P68" i="4"/>
  <c r="S41" i="4"/>
  <c r="S180" i="4" s="1"/>
  <c r="J25" i="5"/>
  <c r="R134" i="6"/>
  <c r="R133" i="6" s="1"/>
  <c r="T138" i="6"/>
  <c r="T128" i="6"/>
  <c r="P122" i="6"/>
  <c r="R123" i="6"/>
  <c r="R122" i="6" s="1"/>
  <c r="R86" i="6"/>
  <c r="R85" i="6" s="1"/>
  <c r="R99" i="6"/>
  <c r="R98" i="6" s="1"/>
  <c r="T118" i="6"/>
  <c r="T117" i="6"/>
  <c r="R112" i="6"/>
  <c r="R111" i="6" s="1"/>
  <c r="T107" i="6"/>
  <c r="T94" i="6"/>
  <c r="T93" i="6"/>
  <c r="T81" i="6"/>
  <c r="T80" i="6"/>
  <c r="R76" i="6"/>
  <c r="R75" i="6" s="1"/>
  <c r="T71" i="6"/>
  <c r="T70" i="6"/>
  <c r="R65" i="6"/>
  <c r="R64" i="6" s="1"/>
  <c r="T60" i="6"/>
  <c r="R54" i="6"/>
  <c r="R53" i="6" s="1"/>
  <c r="R44" i="6"/>
  <c r="R43" i="6" s="1"/>
  <c r="R33" i="6"/>
  <c r="R32" i="6" s="1"/>
  <c r="S28" i="6"/>
  <c r="Q25" i="6"/>
  <c r="R14" i="6"/>
  <c r="S24" i="6"/>
  <c r="R24" i="6"/>
  <c r="M24" i="6"/>
  <c r="M141" i="6"/>
  <c r="I141" i="6"/>
  <c r="H141" i="6"/>
  <c r="U141" i="6" s="1"/>
  <c r="F141" i="6"/>
  <c r="E141" i="6"/>
  <c r="M137" i="6"/>
  <c r="G137" i="6"/>
  <c r="N137" i="6" s="1"/>
  <c r="M136" i="6"/>
  <c r="V136" i="6" s="1"/>
  <c r="G136" i="6"/>
  <c r="M135" i="6"/>
  <c r="V135" i="6" s="1"/>
  <c r="G135" i="6"/>
  <c r="M134" i="6"/>
  <c r="M133" i="6"/>
  <c r="M131" i="6"/>
  <c r="I131" i="6"/>
  <c r="H131" i="6"/>
  <c r="F131" i="6"/>
  <c r="E131" i="6"/>
  <c r="M127" i="6"/>
  <c r="G127" i="6"/>
  <c r="N127" i="6" s="1"/>
  <c r="M125" i="6"/>
  <c r="V125" i="6" s="1"/>
  <c r="G125" i="6"/>
  <c r="Q125" i="6" s="1"/>
  <c r="M124" i="6"/>
  <c r="V124" i="6" s="1"/>
  <c r="G124" i="6"/>
  <c r="Q124" i="6" s="1"/>
  <c r="M123" i="6"/>
  <c r="M122" i="6"/>
  <c r="M120" i="6"/>
  <c r="I120" i="6"/>
  <c r="H120" i="6"/>
  <c r="U120" i="6" s="1"/>
  <c r="F120" i="6"/>
  <c r="E120" i="6"/>
  <c r="M116" i="6"/>
  <c r="V116" i="6" s="1"/>
  <c r="G116" i="6"/>
  <c r="Q116" i="6" s="1"/>
  <c r="M114" i="6"/>
  <c r="V114" i="6" s="1"/>
  <c r="G114" i="6"/>
  <c r="Q114" i="6" s="1"/>
  <c r="M113" i="6"/>
  <c r="U113" i="6" s="1"/>
  <c r="G113" i="6"/>
  <c r="N113" i="6" s="1"/>
  <c r="M112" i="6"/>
  <c r="M111" i="6"/>
  <c r="M109" i="6"/>
  <c r="I109" i="6"/>
  <c r="H109" i="6"/>
  <c r="F109" i="6"/>
  <c r="E109" i="6"/>
  <c r="M105" i="6"/>
  <c r="V105" i="6" s="1"/>
  <c r="G105" i="6"/>
  <c r="Q105" i="6" s="1"/>
  <c r="M104" i="6"/>
  <c r="V104" i="6" s="1"/>
  <c r="G104" i="6"/>
  <c r="Q104" i="6" s="1"/>
  <c r="M103" i="6"/>
  <c r="V103" i="6" s="1"/>
  <c r="G103" i="6"/>
  <c r="Q103" i="6" s="1"/>
  <c r="M102" i="6"/>
  <c r="V102" i="6" s="1"/>
  <c r="G102" i="6"/>
  <c r="Q102" i="6" s="1"/>
  <c r="M101" i="6"/>
  <c r="V101" i="6" s="1"/>
  <c r="G101" i="6"/>
  <c r="Q101" i="6" s="1"/>
  <c r="M100" i="6"/>
  <c r="G100" i="6"/>
  <c r="N100" i="6" s="1"/>
  <c r="M99" i="6"/>
  <c r="M98" i="6"/>
  <c r="M96" i="6"/>
  <c r="I96" i="6"/>
  <c r="H96" i="6"/>
  <c r="F96" i="6"/>
  <c r="E96" i="6"/>
  <c r="M92" i="6"/>
  <c r="G92" i="6"/>
  <c r="Q92" i="6" s="1"/>
  <c r="M91" i="6"/>
  <c r="V91" i="6" s="1"/>
  <c r="G91" i="6"/>
  <c r="Q91" i="6" s="1"/>
  <c r="M90" i="6"/>
  <c r="V90" i="6" s="1"/>
  <c r="G90" i="6"/>
  <c r="Q90" i="6" s="1"/>
  <c r="M89" i="6"/>
  <c r="V89" i="6" s="1"/>
  <c r="G89" i="6"/>
  <c r="Q89" i="6" s="1"/>
  <c r="M88" i="6"/>
  <c r="V88" i="6" s="1"/>
  <c r="G88" i="6"/>
  <c r="Q88" i="6" s="1"/>
  <c r="M87" i="6"/>
  <c r="G87" i="6"/>
  <c r="N87" i="6" s="1"/>
  <c r="M86" i="6"/>
  <c r="M85" i="6"/>
  <c r="M83" i="6"/>
  <c r="I83" i="6"/>
  <c r="H83" i="6"/>
  <c r="F83" i="6"/>
  <c r="E83" i="6"/>
  <c r="N83" i="6" s="1"/>
  <c r="M79" i="6"/>
  <c r="U79" i="6" s="1"/>
  <c r="V79" i="6" s="1"/>
  <c r="G79" i="6"/>
  <c r="N79" i="6" s="1"/>
  <c r="M78" i="6"/>
  <c r="V78" i="6" s="1"/>
  <c r="G78" i="6"/>
  <c r="M77" i="6"/>
  <c r="V77" i="6" s="1"/>
  <c r="V76" i="6" s="1"/>
  <c r="G77" i="6"/>
  <c r="M76" i="6"/>
  <c r="M75" i="6"/>
  <c r="M73" i="6"/>
  <c r="I73" i="6"/>
  <c r="H73" i="6"/>
  <c r="F73" i="6"/>
  <c r="E73" i="6"/>
  <c r="M69" i="6"/>
  <c r="V69" i="6" s="1"/>
  <c r="G69" i="6"/>
  <c r="Q69" i="6" s="1"/>
  <c r="M68" i="6"/>
  <c r="V68" i="6" s="1"/>
  <c r="G68" i="6"/>
  <c r="Q68" i="6" s="1"/>
  <c r="M67" i="6"/>
  <c r="G67" i="6"/>
  <c r="M66" i="6"/>
  <c r="G66" i="6"/>
  <c r="N66" i="6" s="1"/>
  <c r="M65" i="6"/>
  <c r="M64" i="6"/>
  <c r="M62" i="6"/>
  <c r="I62" i="6"/>
  <c r="H62" i="6"/>
  <c r="F62" i="6"/>
  <c r="E62" i="6"/>
  <c r="M58" i="6"/>
  <c r="U58" i="6" s="1"/>
  <c r="G58" i="6"/>
  <c r="Q58" i="6" s="1"/>
  <c r="M57" i="6"/>
  <c r="V57" i="6" s="1"/>
  <c r="G57" i="6"/>
  <c r="Q57" i="6" s="1"/>
  <c r="M56" i="6"/>
  <c r="V56" i="6" s="1"/>
  <c r="Q56" i="6"/>
  <c r="M55" i="6"/>
  <c r="Q55" i="6"/>
  <c r="M54" i="6"/>
  <c r="M53" i="6"/>
  <c r="M51" i="6"/>
  <c r="I51" i="6"/>
  <c r="H51" i="6"/>
  <c r="F51" i="6"/>
  <c r="E51" i="6"/>
  <c r="Q51" i="6" s="1"/>
  <c r="M47" i="6"/>
  <c r="G47" i="6"/>
  <c r="N47" i="6" s="1"/>
  <c r="M46" i="6"/>
  <c r="V46" i="6" s="1"/>
  <c r="G46" i="6"/>
  <c r="Q46" i="6" s="1"/>
  <c r="M45" i="6"/>
  <c r="U45" i="6" s="1"/>
  <c r="Q45" i="6"/>
  <c r="M44" i="6"/>
  <c r="M43" i="6"/>
  <c r="M41" i="6"/>
  <c r="I41" i="6"/>
  <c r="H41" i="6"/>
  <c r="F41" i="6"/>
  <c r="E41" i="6"/>
  <c r="M37" i="6"/>
  <c r="V37" i="6" s="1"/>
  <c r="G37" i="6"/>
  <c r="M36" i="6"/>
  <c r="G36" i="6"/>
  <c r="N36" i="6" s="1"/>
  <c r="M35" i="6"/>
  <c r="V35" i="6" s="1"/>
  <c r="G35" i="6"/>
  <c r="O35" i="6" s="1"/>
  <c r="M34" i="6"/>
  <c r="V34" i="6" s="1"/>
  <c r="G34" i="6"/>
  <c r="O34" i="6" s="1"/>
  <c r="M33" i="6"/>
  <c r="M32" i="6"/>
  <c r="O27" i="6"/>
  <c r="N27" i="6"/>
  <c r="N25" i="6" s="1"/>
  <c r="M27" i="6"/>
  <c r="M26" i="6"/>
  <c r="O25" i="6"/>
  <c r="M25" i="6"/>
  <c r="I20" i="6"/>
  <c r="H20" i="6"/>
  <c r="F20" i="6"/>
  <c r="E20" i="6"/>
  <c r="N20" i="6" s="1"/>
  <c r="U19" i="6"/>
  <c r="Q19" i="6"/>
  <c r="M17" i="6"/>
  <c r="U17" i="6" s="1"/>
  <c r="M16" i="6"/>
  <c r="L24" i="5"/>
  <c r="K10" i="5"/>
  <c r="R176" i="4"/>
  <c r="P176" i="4"/>
  <c r="M176" i="4"/>
  <c r="I176" i="4"/>
  <c r="H176" i="4"/>
  <c r="F176" i="4"/>
  <c r="E176" i="4"/>
  <c r="J175" i="4"/>
  <c r="G175" i="4"/>
  <c r="I174" i="4"/>
  <c r="H174" i="4"/>
  <c r="G174" i="4"/>
  <c r="F174" i="4"/>
  <c r="E174" i="4"/>
  <c r="J173" i="4"/>
  <c r="G173" i="4"/>
  <c r="T173" i="4" s="1"/>
  <c r="U173" i="4" s="1"/>
  <c r="J172" i="4"/>
  <c r="G172" i="4"/>
  <c r="T172" i="4" s="1"/>
  <c r="U172" i="4" s="1"/>
  <c r="P174" i="4"/>
  <c r="U168" i="4"/>
  <c r="T168" i="4"/>
  <c r="J168" i="4"/>
  <c r="G168" i="4"/>
  <c r="O168" i="4" s="1"/>
  <c r="N168" i="4" s="1"/>
  <c r="J167" i="4"/>
  <c r="G167" i="4"/>
  <c r="R167" i="4" s="1"/>
  <c r="U166" i="4"/>
  <c r="T166" i="4"/>
  <c r="J166" i="4"/>
  <c r="G166" i="4"/>
  <c r="O166" i="4" s="1"/>
  <c r="N166" i="4" s="1"/>
  <c r="U165" i="4"/>
  <c r="T165" i="4"/>
  <c r="J165" i="4"/>
  <c r="G165" i="4"/>
  <c r="O165" i="4" s="1"/>
  <c r="N165" i="4" s="1"/>
  <c r="N163" i="4"/>
  <c r="T163" i="4" s="1"/>
  <c r="U163" i="4" s="1"/>
  <c r="U160" i="4"/>
  <c r="T160" i="4"/>
  <c r="J160" i="4"/>
  <c r="G160" i="4"/>
  <c r="O160" i="4" s="1"/>
  <c r="N160" i="4" s="1"/>
  <c r="J159" i="4"/>
  <c r="G159" i="4"/>
  <c r="O159" i="4" s="1"/>
  <c r="R152" i="4"/>
  <c r="P152" i="4"/>
  <c r="M152" i="4"/>
  <c r="I152" i="4"/>
  <c r="H152" i="4"/>
  <c r="F152" i="4"/>
  <c r="E152" i="4"/>
  <c r="J151" i="4"/>
  <c r="G151" i="4"/>
  <c r="F150" i="4"/>
  <c r="E150" i="4"/>
  <c r="J149" i="4"/>
  <c r="T149" i="4" s="1"/>
  <c r="G149" i="4"/>
  <c r="U148" i="4"/>
  <c r="T148" i="4"/>
  <c r="J148" i="4"/>
  <c r="G148" i="4"/>
  <c r="O148" i="4" s="1"/>
  <c r="N148" i="4" s="1"/>
  <c r="J146" i="4"/>
  <c r="G146" i="4"/>
  <c r="J145" i="4"/>
  <c r="T145" i="4" s="1"/>
  <c r="G145" i="4"/>
  <c r="G150" i="4" s="1"/>
  <c r="I144" i="4"/>
  <c r="H144" i="4"/>
  <c r="F144" i="4"/>
  <c r="E144" i="4"/>
  <c r="J143" i="4"/>
  <c r="U143" i="4" s="1"/>
  <c r="G143" i="4"/>
  <c r="O143" i="4" s="1"/>
  <c r="N143" i="4" s="1"/>
  <c r="R142" i="4"/>
  <c r="J142" i="4"/>
  <c r="T142" i="4" s="1"/>
  <c r="G142" i="4"/>
  <c r="U141" i="4"/>
  <c r="T141" i="4"/>
  <c r="J141" i="4"/>
  <c r="G141" i="4"/>
  <c r="O141" i="4" s="1"/>
  <c r="N141" i="4" s="1"/>
  <c r="U140" i="4"/>
  <c r="T140" i="4"/>
  <c r="J140" i="4"/>
  <c r="G140" i="4"/>
  <c r="O140" i="4" s="1"/>
  <c r="N140" i="4" s="1"/>
  <c r="U139" i="4"/>
  <c r="T139" i="4"/>
  <c r="J139" i="4"/>
  <c r="G139" i="4"/>
  <c r="O139" i="4" s="1"/>
  <c r="N139" i="4" s="1"/>
  <c r="J137" i="4"/>
  <c r="G137" i="4"/>
  <c r="R137" i="4" s="1"/>
  <c r="J136" i="4"/>
  <c r="T136" i="4" s="1"/>
  <c r="G136" i="4"/>
  <c r="P136" i="4" s="1"/>
  <c r="I135" i="4"/>
  <c r="I155" i="4" s="1"/>
  <c r="H135" i="4"/>
  <c r="H155" i="4" s="1"/>
  <c r="F135" i="4"/>
  <c r="E135" i="4"/>
  <c r="J134" i="4"/>
  <c r="U134" i="4" s="1"/>
  <c r="G134" i="4"/>
  <c r="O134" i="4" s="1"/>
  <c r="N134" i="4" s="1"/>
  <c r="J133" i="4"/>
  <c r="T133" i="4" s="1"/>
  <c r="G133" i="4"/>
  <c r="R133" i="4" s="1"/>
  <c r="U132" i="4"/>
  <c r="T132" i="4"/>
  <c r="J132" i="4"/>
  <c r="G132" i="4"/>
  <c r="O132" i="4" s="1"/>
  <c r="N132" i="4" s="1"/>
  <c r="U131" i="4"/>
  <c r="T131" i="4"/>
  <c r="J131" i="4"/>
  <c r="G131" i="4"/>
  <c r="O131" i="4" s="1"/>
  <c r="N131" i="4" s="1"/>
  <c r="U130" i="4"/>
  <c r="T130" i="4"/>
  <c r="J130" i="4"/>
  <c r="G130" i="4"/>
  <c r="O130" i="4" s="1"/>
  <c r="N130" i="4" s="1"/>
  <c r="U129" i="4"/>
  <c r="T129" i="4"/>
  <c r="J129" i="4"/>
  <c r="G129" i="4"/>
  <c r="O129" i="4" s="1"/>
  <c r="N129" i="4" s="1"/>
  <c r="U128" i="4"/>
  <c r="T128" i="4"/>
  <c r="J128" i="4"/>
  <c r="G128" i="4"/>
  <c r="O128" i="4" s="1"/>
  <c r="N128" i="4" s="1"/>
  <c r="U127" i="4"/>
  <c r="T127" i="4"/>
  <c r="J127" i="4"/>
  <c r="G127" i="4"/>
  <c r="O127" i="4" s="1"/>
  <c r="N127" i="4" s="1"/>
  <c r="J125" i="4"/>
  <c r="G125" i="4"/>
  <c r="R121" i="4"/>
  <c r="P121" i="4"/>
  <c r="M121" i="4"/>
  <c r="I121" i="4"/>
  <c r="H121" i="4"/>
  <c r="F121" i="4"/>
  <c r="E121" i="4"/>
  <c r="J120" i="4"/>
  <c r="G120" i="4"/>
  <c r="I119" i="4"/>
  <c r="H119" i="4"/>
  <c r="F119" i="4"/>
  <c r="E119" i="4"/>
  <c r="G118" i="4"/>
  <c r="P118" i="4" s="1"/>
  <c r="U117" i="4"/>
  <c r="T117" i="4"/>
  <c r="J117" i="4"/>
  <c r="G117" i="4"/>
  <c r="O117" i="4" s="1"/>
  <c r="N117" i="4" s="1"/>
  <c r="J115" i="4"/>
  <c r="G115" i="4"/>
  <c r="I114" i="4"/>
  <c r="H114" i="4"/>
  <c r="F114" i="4"/>
  <c r="E114" i="4"/>
  <c r="J113" i="4"/>
  <c r="T113" i="4" s="1"/>
  <c r="G113" i="4"/>
  <c r="R113" i="4" s="1"/>
  <c r="U112" i="4"/>
  <c r="T112" i="4"/>
  <c r="J112" i="4"/>
  <c r="G112" i="4"/>
  <c r="O112" i="4" s="1"/>
  <c r="N112" i="4" s="1"/>
  <c r="U111" i="4"/>
  <c r="T111" i="4"/>
  <c r="J111" i="4"/>
  <c r="G111" i="4"/>
  <c r="O111" i="4" s="1"/>
  <c r="N111" i="4" s="1"/>
  <c r="U110" i="4"/>
  <c r="T110" i="4"/>
  <c r="J110" i="4"/>
  <c r="G110" i="4"/>
  <c r="O110" i="4" s="1"/>
  <c r="N110" i="4" s="1"/>
  <c r="U109" i="4"/>
  <c r="T109" i="4"/>
  <c r="J109" i="4"/>
  <c r="G109" i="4"/>
  <c r="O109" i="4" s="1"/>
  <c r="N109" i="4" s="1"/>
  <c r="U108" i="4"/>
  <c r="T108" i="4"/>
  <c r="J108" i="4"/>
  <c r="G108" i="4"/>
  <c r="O108" i="4" s="1"/>
  <c r="N108" i="4" s="1"/>
  <c r="J106" i="4"/>
  <c r="G106" i="4"/>
  <c r="I105" i="4"/>
  <c r="H105" i="4"/>
  <c r="H124" i="4" s="1"/>
  <c r="F105" i="4"/>
  <c r="E105" i="4"/>
  <c r="J104" i="4"/>
  <c r="G104" i="4"/>
  <c r="R104" i="4" s="1"/>
  <c r="U103" i="4"/>
  <c r="T103" i="4"/>
  <c r="J103" i="4"/>
  <c r="G103" i="4"/>
  <c r="O103" i="4" s="1"/>
  <c r="N103" i="4" s="1"/>
  <c r="U102" i="4"/>
  <c r="T102" i="4"/>
  <c r="J102" i="4"/>
  <c r="G102" i="4"/>
  <c r="O102" i="4" s="1"/>
  <c r="N102" i="4" s="1"/>
  <c r="U101" i="4"/>
  <c r="T101" i="4"/>
  <c r="J101" i="4"/>
  <c r="G101" i="4"/>
  <c r="O101" i="4" s="1"/>
  <c r="N101" i="4" s="1"/>
  <c r="U100" i="4"/>
  <c r="T100" i="4"/>
  <c r="J100" i="4"/>
  <c r="G100" i="4"/>
  <c r="O100" i="4" s="1"/>
  <c r="N100" i="4" s="1"/>
  <c r="U99" i="4"/>
  <c r="T99" i="4"/>
  <c r="J99" i="4"/>
  <c r="G99" i="4"/>
  <c r="O99" i="4" s="1"/>
  <c r="N99" i="4" s="1"/>
  <c r="U98" i="4"/>
  <c r="T98" i="4"/>
  <c r="J98" i="4"/>
  <c r="G98" i="4"/>
  <c r="O98" i="4" s="1"/>
  <c r="N98" i="4" s="1"/>
  <c r="U97" i="4"/>
  <c r="T97" i="4"/>
  <c r="J97" i="4"/>
  <c r="G97" i="4"/>
  <c r="O97" i="4" s="1"/>
  <c r="N97" i="4" s="1"/>
  <c r="J95" i="4"/>
  <c r="G95" i="4"/>
  <c r="R91" i="4"/>
  <c r="P91" i="4"/>
  <c r="M91" i="4"/>
  <c r="I91" i="4"/>
  <c r="H91" i="4"/>
  <c r="F91" i="4"/>
  <c r="E91" i="4"/>
  <c r="J90" i="4"/>
  <c r="G90" i="4"/>
  <c r="I89" i="4"/>
  <c r="H89" i="4"/>
  <c r="F89" i="4"/>
  <c r="E89" i="4"/>
  <c r="J88" i="4"/>
  <c r="G88" i="4"/>
  <c r="U87" i="4"/>
  <c r="T87" i="4"/>
  <c r="J87" i="4"/>
  <c r="G87" i="4"/>
  <c r="O87" i="4" s="1"/>
  <c r="N87" i="4" s="1"/>
  <c r="U86" i="4"/>
  <c r="T86" i="4"/>
  <c r="J86" i="4"/>
  <c r="G86" i="4"/>
  <c r="O86" i="4" s="1"/>
  <c r="N86" i="4" s="1"/>
  <c r="J84" i="4"/>
  <c r="G84" i="4"/>
  <c r="I83" i="4"/>
  <c r="H83" i="4"/>
  <c r="F83" i="4"/>
  <c r="E83" i="4"/>
  <c r="J82" i="4"/>
  <c r="T82" i="4" s="1"/>
  <c r="G82" i="4"/>
  <c r="R82" i="4" s="1"/>
  <c r="U81" i="4"/>
  <c r="T81" i="4"/>
  <c r="J81" i="4"/>
  <c r="G81" i="4"/>
  <c r="O81" i="4" s="1"/>
  <c r="N81" i="4" s="1"/>
  <c r="U80" i="4"/>
  <c r="T80" i="4"/>
  <c r="J80" i="4"/>
  <c r="G80" i="4"/>
  <c r="O80" i="4" s="1"/>
  <c r="N80" i="4" s="1"/>
  <c r="U79" i="4"/>
  <c r="T79" i="4"/>
  <c r="J79" i="4"/>
  <c r="G79" i="4"/>
  <c r="O79" i="4" s="1"/>
  <c r="N79" i="4" s="1"/>
  <c r="J77" i="4"/>
  <c r="G77" i="4"/>
  <c r="G83" i="4" s="1"/>
  <c r="I76" i="4"/>
  <c r="I94" i="4" s="1"/>
  <c r="H76" i="4"/>
  <c r="H94" i="4" s="1"/>
  <c r="F76" i="4"/>
  <c r="E76" i="4"/>
  <c r="J75" i="4"/>
  <c r="G75" i="4"/>
  <c r="R75" i="4" s="1"/>
  <c r="U74" i="4"/>
  <c r="T74" i="4"/>
  <c r="J74" i="4"/>
  <c r="G74" i="4"/>
  <c r="O74" i="4" s="1"/>
  <c r="N74" i="4" s="1"/>
  <c r="U73" i="4"/>
  <c r="T73" i="4"/>
  <c r="J73" i="4"/>
  <c r="G73" i="4"/>
  <c r="O73" i="4" s="1"/>
  <c r="N73" i="4" s="1"/>
  <c r="U72" i="4"/>
  <c r="T72" i="4"/>
  <c r="J72" i="4"/>
  <c r="G72" i="4"/>
  <c r="O72" i="4" s="1"/>
  <c r="N72" i="4" s="1"/>
  <c r="U71" i="4"/>
  <c r="T71" i="4"/>
  <c r="J71" i="4"/>
  <c r="G71" i="4"/>
  <c r="O71" i="4" s="1"/>
  <c r="N71" i="4" s="1"/>
  <c r="U70" i="4"/>
  <c r="T70" i="4"/>
  <c r="J70" i="4"/>
  <c r="G70" i="4"/>
  <c r="O70" i="4" s="1"/>
  <c r="N70" i="4" s="1"/>
  <c r="R64" i="4"/>
  <c r="P64" i="4"/>
  <c r="M64" i="4"/>
  <c r="I64" i="4"/>
  <c r="H64" i="4"/>
  <c r="F64" i="4"/>
  <c r="E64" i="4"/>
  <c r="G63" i="4"/>
  <c r="I62" i="4"/>
  <c r="H62" i="4"/>
  <c r="F62" i="4"/>
  <c r="E62" i="4"/>
  <c r="R61" i="4"/>
  <c r="P61" i="4"/>
  <c r="U61" i="4"/>
  <c r="U60" i="4"/>
  <c r="T60" i="4"/>
  <c r="J60" i="4"/>
  <c r="G60" i="4"/>
  <c r="O60" i="4" s="1"/>
  <c r="N60" i="4" s="1"/>
  <c r="J58" i="4"/>
  <c r="G58" i="4"/>
  <c r="I57" i="4"/>
  <c r="H57" i="4"/>
  <c r="F57" i="4"/>
  <c r="E57" i="4"/>
  <c r="J56" i="4"/>
  <c r="T56" i="4" s="1"/>
  <c r="G56" i="4"/>
  <c r="R56" i="4" s="1"/>
  <c r="U55" i="4"/>
  <c r="T55" i="4"/>
  <c r="J55" i="4"/>
  <c r="G55" i="4"/>
  <c r="O55" i="4" s="1"/>
  <c r="N55" i="4" s="1"/>
  <c r="U54" i="4"/>
  <c r="T54" i="4"/>
  <c r="J54" i="4"/>
  <c r="G54" i="4"/>
  <c r="O54" i="4" s="1"/>
  <c r="N54" i="4" s="1"/>
  <c r="U53" i="4"/>
  <c r="T53" i="4"/>
  <c r="J53" i="4"/>
  <c r="G53" i="4"/>
  <c r="O53" i="4" s="1"/>
  <c r="N53" i="4" s="1"/>
  <c r="J51" i="4"/>
  <c r="G51" i="4"/>
  <c r="I50" i="4"/>
  <c r="H50" i="4"/>
  <c r="H67" i="4" s="1"/>
  <c r="F50" i="4"/>
  <c r="E50" i="4"/>
  <c r="R49" i="4"/>
  <c r="P49" i="4"/>
  <c r="J49" i="4"/>
  <c r="U48" i="4"/>
  <c r="T48" i="4"/>
  <c r="J48" i="4"/>
  <c r="G48" i="4"/>
  <c r="O48" i="4" s="1"/>
  <c r="N48" i="4" s="1"/>
  <c r="U47" i="4"/>
  <c r="T47" i="4"/>
  <c r="J47" i="4"/>
  <c r="G47" i="4"/>
  <c r="O47" i="4" s="1"/>
  <c r="N47" i="4" s="1"/>
  <c r="U46" i="4"/>
  <c r="T46" i="4"/>
  <c r="J46" i="4"/>
  <c r="G46" i="4"/>
  <c r="O46" i="4" s="1"/>
  <c r="N46" i="4" s="1"/>
  <c r="U45" i="4"/>
  <c r="T45" i="4"/>
  <c r="J45" i="4"/>
  <c r="G45" i="4"/>
  <c r="O45" i="4" s="1"/>
  <c r="N45" i="4" s="1"/>
  <c r="U44" i="4"/>
  <c r="T44" i="4"/>
  <c r="J44" i="4"/>
  <c r="G44" i="4"/>
  <c r="O44" i="4" s="1"/>
  <c r="N44" i="4" s="1"/>
  <c r="J42" i="4"/>
  <c r="G42" i="4"/>
  <c r="R38" i="4"/>
  <c r="P38" i="4"/>
  <c r="M38" i="4"/>
  <c r="I38" i="4"/>
  <c r="H38" i="4"/>
  <c r="F38" i="4"/>
  <c r="E38" i="4"/>
  <c r="J37" i="4"/>
  <c r="G37" i="4"/>
  <c r="G38" i="4" s="1"/>
  <c r="I36" i="4"/>
  <c r="H36" i="4"/>
  <c r="F36" i="4"/>
  <c r="E36" i="4"/>
  <c r="U34" i="4"/>
  <c r="T34" i="4"/>
  <c r="U33" i="4"/>
  <c r="T33" i="4"/>
  <c r="J33" i="4"/>
  <c r="G33" i="4"/>
  <c r="O33" i="4" s="1"/>
  <c r="N33" i="4" s="1"/>
  <c r="J31" i="4"/>
  <c r="G31" i="4"/>
  <c r="P31" i="4" s="1"/>
  <c r="P36" i="4" s="1"/>
  <c r="I30" i="4"/>
  <c r="H30" i="4"/>
  <c r="F30" i="4"/>
  <c r="E30" i="4"/>
  <c r="J29" i="4"/>
  <c r="G29" i="4"/>
  <c r="R29" i="4" s="1"/>
  <c r="U28" i="4"/>
  <c r="T28" i="4"/>
  <c r="J28" i="4"/>
  <c r="G28" i="4"/>
  <c r="O28" i="4" s="1"/>
  <c r="N28" i="4" s="1"/>
  <c r="U27" i="4"/>
  <c r="T27" i="4"/>
  <c r="J27" i="4"/>
  <c r="G27" i="4"/>
  <c r="O27" i="4" s="1"/>
  <c r="N27" i="4" s="1"/>
  <c r="U26" i="4"/>
  <c r="T26" i="4"/>
  <c r="J26" i="4"/>
  <c r="G26" i="4"/>
  <c r="O26" i="4" s="1"/>
  <c r="N26" i="4" s="1"/>
  <c r="J24" i="4"/>
  <c r="G24" i="4"/>
  <c r="I23" i="4"/>
  <c r="I41" i="4" s="1"/>
  <c r="H23" i="4"/>
  <c r="H41" i="4" s="1"/>
  <c r="F23" i="4"/>
  <c r="E23" i="4"/>
  <c r="J22" i="4"/>
  <c r="T22" i="4" s="1"/>
  <c r="G22" i="4"/>
  <c r="U21" i="4"/>
  <c r="T21" i="4"/>
  <c r="J21" i="4"/>
  <c r="G21" i="4"/>
  <c r="O21" i="4" s="1"/>
  <c r="N21" i="4" s="1"/>
  <c r="U20" i="4"/>
  <c r="T20" i="4"/>
  <c r="J20" i="4"/>
  <c r="G20" i="4"/>
  <c r="O20" i="4" s="1"/>
  <c r="N20" i="4" s="1"/>
  <c r="U19" i="4"/>
  <c r="T19" i="4"/>
  <c r="J19" i="4"/>
  <c r="G19" i="4"/>
  <c r="O19" i="4" s="1"/>
  <c r="N19" i="4" s="1"/>
  <c r="U18" i="4"/>
  <c r="T18" i="4"/>
  <c r="J18" i="4"/>
  <c r="G18" i="4"/>
  <c r="O18" i="4" s="1"/>
  <c r="N18" i="4" s="1"/>
  <c r="U17" i="4"/>
  <c r="T17" i="4"/>
  <c r="J17" i="4"/>
  <c r="G17" i="4"/>
  <c r="O17" i="4" s="1"/>
  <c r="N17" i="4" s="1"/>
  <c r="U16" i="4"/>
  <c r="T16" i="4"/>
  <c r="J16" i="4"/>
  <c r="G16" i="4"/>
  <c r="O16" i="4" s="1"/>
  <c r="N16" i="4" s="1"/>
  <c r="U15" i="4"/>
  <c r="T15" i="4"/>
  <c r="J15" i="4"/>
  <c r="G15" i="4"/>
  <c r="O15" i="4" s="1"/>
  <c r="N15" i="4" s="1"/>
  <c r="U14" i="4"/>
  <c r="T14" i="4"/>
  <c r="J14" i="4"/>
  <c r="G14" i="4"/>
  <c r="O14" i="4" s="1"/>
  <c r="N14" i="4" s="1"/>
  <c r="J12" i="4"/>
  <c r="G12" i="4"/>
  <c r="Q22" i="3"/>
  <c r="T175" i="4" l="1"/>
  <c r="U175" i="4" s="1"/>
  <c r="V113" i="6"/>
  <c r="V112" i="6" s="1"/>
  <c r="Q24" i="6"/>
  <c r="X24" i="6" s="1"/>
  <c r="Y24" i="6" s="1"/>
  <c r="O37" i="4"/>
  <c r="I67" i="4"/>
  <c r="I124" i="4"/>
  <c r="R22" i="4"/>
  <c r="O22" i="4"/>
  <c r="R31" i="4"/>
  <c r="R58" i="4"/>
  <c r="R62" i="4" s="1"/>
  <c r="P58" i="4"/>
  <c r="G105" i="4"/>
  <c r="O95" i="4"/>
  <c r="G119" i="4"/>
  <c r="R115" i="4"/>
  <c r="P115" i="4"/>
  <c r="G135" i="4"/>
  <c r="O125" i="4"/>
  <c r="G23" i="4"/>
  <c r="O12" i="4"/>
  <c r="R12" i="4"/>
  <c r="R42" i="4"/>
  <c r="O42" i="4"/>
  <c r="G64" i="4"/>
  <c r="O63" i="4"/>
  <c r="R84" i="4"/>
  <c r="R89" i="4" s="1"/>
  <c r="P84" i="4"/>
  <c r="G91" i="4"/>
  <c r="O90" i="4"/>
  <c r="G121" i="4"/>
  <c r="O120" i="4"/>
  <c r="R146" i="4"/>
  <c r="P146" i="4"/>
  <c r="G152" i="4"/>
  <c r="O151" i="4"/>
  <c r="P167" i="4"/>
  <c r="G176" i="4"/>
  <c r="O175" i="4"/>
  <c r="O37" i="6"/>
  <c r="N37" i="6"/>
  <c r="Q136" i="6"/>
  <c r="O136" i="6"/>
  <c r="O137" i="6"/>
  <c r="R143" i="6"/>
  <c r="K15" i="5"/>
  <c r="K21" i="5" s="1"/>
  <c r="O36" i="6"/>
  <c r="Q77" i="6"/>
  <c r="O77" i="6"/>
  <c r="Q78" i="6"/>
  <c r="O78" i="6"/>
  <c r="O79" i="6"/>
  <c r="Q100" i="6"/>
  <c r="Q99" i="6" s="1"/>
  <c r="O100" i="6"/>
  <c r="O127" i="6"/>
  <c r="O47" i="6"/>
  <c r="O66" i="6"/>
  <c r="Q87" i="6"/>
  <c r="Q86" i="6" s="1"/>
  <c r="O87" i="6"/>
  <c r="Q113" i="6"/>
  <c r="O113" i="6"/>
  <c r="V141" i="6"/>
  <c r="G141" i="6"/>
  <c r="S142" i="6" s="1"/>
  <c r="G96" i="6"/>
  <c r="Q96" i="6" s="1"/>
  <c r="K24" i="5"/>
  <c r="L10" i="5"/>
  <c r="Q47" i="6"/>
  <c r="T47" i="6" s="1"/>
  <c r="U47" i="6" s="1"/>
  <c r="V47" i="6" s="1"/>
  <c r="Q66" i="6"/>
  <c r="Q67" i="6"/>
  <c r="Q65" i="6" s="1"/>
  <c r="N67" i="6"/>
  <c r="N65" i="6" s="1"/>
  <c r="Q135" i="6"/>
  <c r="Q134" i="6" s="1"/>
  <c r="O135" i="6"/>
  <c r="V28" i="6"/>
  <c r="T28" i="6"/>
  <c r="U28" i="6"/>
  <c r="Q17" i="6"/>
  <c r="N17" i="6"/>
  <c r="N15" i="6" s="1"/>
  <c r="Q18" i="6"/>
  <c r="Q79" i="6"/>
  <c r="U92" i="6"/>
  <c r="V92" i="6"/>
  <c r="Q127" i="6"/>
  <c r="Q123" i="6" s="1"/>
  <c r="O24" i="6"/>
  <c r="T27" i="6"/>
  <c r="T24" i="6" s="1"/>
  <c r="G109" i="6"/>
  <c r="Q109" i="6" s="1"/>
  <c r="V120" i="6"/>
  <c r="G131" i="6"/>
  <c r="Q131" i="6" s="1"/>
  <c r="Q137" i="6"/>
  <c r="V18" i="6"/>
  <c r="U18" i="6"/>
  <c r="P143" i="6"/>
  <c r="U35" i="6"/>
  <c r="G76" i="4"/>
  <c r="R68" i="4"/>
  <c r="N68" i="4" s="1"/>
  <c r="T68" i="4" s="1"/>
  <c r="U68" i="4" s="1"/>
  <c r="U37" i="6"/>
  <c r="O49" i="4"/>
  <c r="N49" i="4" s="1"/>
  <c r="P82" i="4"/>
  <c r="P89" i="4"/>
  <c r="T134" i="4"/>
  <c r="O161" i="4"/>
  <c r="R161" i="4"/>
  <c r="P12" i="4"/>
  <c r="R50" i="4"/>
  <c r="J61" i="4"/>
  <c r="T61" i="4"/>
  <c r="P95" i="4"/>
  <c r="O142" i="4"/>
  <c r="N162" i="4"/>
  <c r="T162" i="4" s="1"/>
  <c r="R169" i="4"/>
  <c r="O17" i="6"/>
  <c r="O15" i="6" s="1"/>
  <c r="O19" i="6"/>
  <c r="O33" i="6"/>
  <c r="U34" i="6"/>
  <c r="G41" i="6"/>
  <c r="O46" i="6"/>
  <c r="Q54" i="6"/>
  <c r="O57" i="6"/>
  <c r="G62" i="6"/>
  <c r="Q62" i="6" s="1"/>
  <c r="O68" i="6"/>
  <c r="G73" i="6"/>
  <c r="O88" i="6"/>
  <c r="O90" i="6"/>
  <c r="O92" i="6"/>
  <c r="O101" i="6"/>
  <c r="O103" i="6"/>
  <c r="O105" i="6"/>
  <c r="O114" i="6"/>
  <c r="G120" i="6"/>
  <c r="O124" i="6"/>
  <c r="O45" i="6"/>
  <c r="O44" i="6" s="1"/>
  <c r="O56" i="6"/>
  <c r="O58" i="6"/>
  <c r="O67" i="6"/>
  <c r="O69" i="6"/>
  <c r="O89" i="6"/>
  <c r="O91" i="6"/>
  <c r="O102" i="6"/>
  <c r="O104" i="6"/>
  <c r="O116" i="6"/>
  <c r="O125" i="6"/>
  <c r="S63" i="6"/>
  <c r="O73" i="6"/>
  <c r="U26" i="6"/>
  <c r="U25" i="6" s="1"/>
  <c r="O96" i="6"/>
  <c r="S97" i="6"/>
  <c r="N96" i="6"/>
  <c r="O109" i="6"/>
  <c r="N109" i="6"/>
  <c r="S132" i="6"/>
  <c r="Q44" i="6"/>
  <c r="Q43" i="6" s="1"/>
  <c r="X43" i="6" s="1"/>
  <c r="Y43" i="6" s="1"/>
  <c r="Q112" i="6"/>
  <c r="O141" i="6"/>
  <c r="V17" i="6"/>
  <c r="V19" i="6"/>
  <c r="N34" i="6"/>
  <c r="Q34" i="6"/>
  <c r="N35" i="6"/>
  <c r="Q35" i="6"/>
  <c r="Q36" i="6"/>
  <c r="Q37" i="6"/>
  <c r="N41" i="6"/>
  <c r="V45" i="6"/>
  <c r="V58" i="6"/>
  <c r="N19" i="6"/>
  <c r="G20" i="6"/>
  <c r="N24" i="6"/>
  <c r="O41" i="6"/>
  <c r="N45" i="6"/>
  <c r="N46" i="6"/>
  <c r="T46" i="6" s="1"/>
  <c r="U46" i="6"/>
  <c r="U44" i="6" s="1"/>
  <c r="G51" i="6"/>
  <c r="N56" i="6"/>
  <c r="U56" i="6"/>
  <c r="N57" i="6"/>
  <c r="T57" i="6" s="1"/>
  <c r="U57" i="6"/>
  <c r="N58" i="6"/>
  <c r="T58" i="6" s="1"/>
  <c r="T67" i="6"/>
  <c r="U67" i="6"/>
  <c r="V67" i="6" s="1"/>
  <c r="N68" i="6"/>
  <c r="T68" i="6" s="1"/>
  <c r="U68" i="6"/>
  <c r="N69" i="6"/>
  <c r="U69" i="6"/>
  <c r="N77" i="6"/>
  <c r="U77" i="6"/>
  <c r="N78" i="6"/>
  <c r="T78" i="6" s="1"/>
  <c r="U78" i="6"/>
  <c r="T79" i="6"/>
  <c r="W79" i="6" s="1"/>
  <c r="G83" i="6"/>
  <c r="N88" i="6"/>
  <c r="T88" i="6" s="1"/>
  <c r="U88" i="6"/>
  <c r="N89" i="6"/>
  <c r="U89" i="6"/>
  <c r="N90" i="6"/>
  <c r="T90" i="6" s="1"/>
  <c r="U90" i="6"/>
  <c r="N91" i="6"/>
  <c r="T91" i="6" s="1"/>
  <c r="U91" i="6"/>
  <c r="N92" i="6"/>
  <c r="T92" i="6" s="1"/>
  <c r="N101" i="6"/>
  <c r="T101" i="6" s="1"/>
  <c r="U101" i="6"/>
  <c r="N102" i="6"/>
  <c r="T102" i="6" s="1"/>
  <c r="U102" i="6"/>
  <c r="N103" i="6"/>
  <c r="T103" i="6" s="1"/>
  <c r="U103" i="6"/>
  <c r="N104" i="6"/>
  <c r="T104" i="6" s="1"/>
  <c r="U104" i="6"/>
  <c r="N105" i="6"/>
  <c r="T105" i="6" s="1"/>
  <c r="U105" i="6"/>
  <c r="N114" i="6"/>
  <c r="T114" i="6" s="1"/>
  <c r="U114" i="6"/>
  <c r="U112" i="6" s="1"/>
  <c r="N116" i="6"/>
  <c r="T116" i="6" s="1"/>
  <c r="U116" i="6"/>
  <c r="N124" i="6"/>
  <c r="N123" i="6" s="1"/>
  <c r="U124" i="6"/>
  <c r="N125" i="6"/>
  <c r="T125" i="6" s="1"/>
  <c r="U125" i="6"/>
  <c r="T127" i="6"/>
  <c r="N135" i="6"/>
  <c r="U135" i="6"/>
  <c r="N136" i="6"/>
  <c r="U136" i="6"/>
  <c r="G30" i="4"/>
  <c r="P29" i="4"/>
  <c r="G57" i="4"/>
  <c r="P56" i="4"/>
  <c r="P62" i="4"/>
  <c r="G62" i="4"/>
  <c r="G89" i="4"/>
  <c r="O91" i="4"/>
  <c r="G114" i="4"/>
  <c r="P113" i="4"/>
  <c r="O118" i="4"/>
  <c r="P133" i="4"/>
  <c r="G144" i="4"/>
  <c r="P142" i="4"/>
  <c r="T143" i="4"/>
  <c r="P145" i="4"/>
  <c r="P161" i="4"/>
  <c r="N157" i="4"/>
  <c r="T157" i="4" s="1"/>
  <c r="U157" i="4" s="1"/>
  <c r="O172" i="4"/>
  <c r="N172" i="4" s="1"/>
  <c r="R36" i="4"/>
  <c r="O64" i="4"/>
  <c r="O152" i="4"/>
  <c r="T159" i="4"/>
  <c r="U159" i="4" s="1"/>
  <c r="O173" i="4"/>
  <c r="N173" i="4" s="1"/>
  <c r="U22" i="4"/>
  <c r="U24" i="4"/>
  <c r="T24" i="4"/>
  <c r="G50" i="4"/>
  <c r="G67" i="4" s="1"/>
  <c r="P42" i="4"/>
  <c r="P50" i="4" s="1"/>
  <c r="U49" i="4"/>
  <c r="T49" i="4"/>
  <c r="U75" i="4"/>
  <c r="T75" i="4"/>
  <c r="U77" i="4"/>
  <c r="T77" i="4"/>
  <c r="T83" i="4" s="1"/>
  <c r="R23" i="4"/>
  <c r="P22" i="4"/>
  <c r="P23" i="4" s="1"/>
  <c r="P24" i="4"/>
  <c r="P30" i="4" s="1"/>
  <c r="O29" i="4"/>
  <c r="O31" i="4"/>
  <c r="O36" i="4" s="1"/>
  <c r="G36" i="4"/>
  <c r="P119" i="4"/>
  <c r="U51" i="4"/>
  <c r="T51" i="4"/>
  <c r="T57" i="4" s="1"/>
  <c r="T88" i="4"/>
  <c r="U88" i="4"/>
  <c r="U104" i="4"/>
  <c r="T104" i="4"/>
  <c r="U106" i="4"/>
  <c r="T106" i="4"/>
  <c r="T114" i="4" s="1"/>
  <c r="U137" i="4"/>
  <c r="T137" i="4"/>
  <c r="O24" i="4"/>
  <c r="R24" i="4"/>
  <c r="R30" i="4" s="1"/>
  <c r="P51" i="4"/>
  <c r="O56" i="4"/>
  <c r="N56" i="4" s="1"/>
  <c r="U56" i="4"/>
  <c r="O58" i="4"/>
  <c r="O61" i="4"/>
  <c r="N61" i="4" s="1"/>
  <c r="R76" i="4"/>
  <c r="P75" i="4"/>
  <c r="P76" i="4" s="1"/>
  <c r="P77" i="4"/>
  <c r="P83" i="4" s="1"/>
  <c r="O82" i="4"/>
  <c r="U82" i="4"/>
  <c r="O84" i="4"/>
  <c r="O88" i="4"/>
  <c r="N90" i="4"/>
  <c r="R95" i="4"/>
  <c r="R105" i="4" s="1"/>
  <c r="P104" i="4"/>
  <c r="P106" i="4"/>
  <c r="P114" i="4" s="1"/>
  <c r="O113" i="4"/>
  <c r="U113" i="4"/>
  <c r="O115" i="4"/>
  <c r="R119" i="4"/>
  <c r="J118" i="4"/>
  <c r="P125" i="4"/>
  <c r="P135" i="4" s="1"/>
  <c r="O133" i="4"/>
  <c r="U133" i="4"/>
  <c r="O136" i="4"/>
  <c r="R136" i="4"/>
  <c r="R144" i="4" s="1"/>
  <c r="U136" i="4"/>
  <c r="P137" i="4"/>
  <c r="P144" i="4" s="1"/>
  <c r="U142" i="4"/>
  <c r="O145" i="4"/>
  <c r="R145" i="4"/>
  <c r="R150" i="4" s="1"/>
  <c r="U145" i="4"/>
  <c r="U149" i="4"/>
  <c r="N151" i="4"/>
  <c r="N156" i="4"/>
  <c r="T156" i="4" s="1"/>
  <c r="U156" i="4" s="1"/>
  <c r="U162" i="4"/>
  <c r="P169" i="4"/>
  <c r="P179" i="4" s="1"/>
  <c r="N170" i="4"/>
  <c r="O51" i="4"/>
  <c r="R51" i="4"/>
  <c r="R57" i="4" s="1"/>
  <c r="O75" i="4"/>
  <c r="O77" i="4"/>
  <c r="R77" i="4"/>
  <c r="R83" i="4" s="1"/>
  <c r="O104" i="4"/>
  <c r="N104" i="4" s="1"/>
  <c r="O106" i="4"/>
  <c r="R106" i="4"/>
  <c r="R114" i="4" s="1"/>
  <c r="R125" i="4"/>
  <c r="R135" i="4" s="1"/>
  <c r="O137" i="4"/>
  <c r="N137" i="4" s="1"/>
  <c r="O146" i="4"/>
  <c r="N146" i="4" s="1"/>
  <c r="T146" i="4" s="1"/>
  <c r="U146" i="4" s="1"/>
  <c r="O167" i="4"/>
  <c r="U241" i="3"/>
  <c r="T241" i="3"/>
  <c r="N76" i="6" l="1"/>
  <c r="N33" i="6"/>
  <c r="N113" i="4"/>
  <c r="N82" i="4"/>
  <c r="T136" i="6"/>
  <c r="N134" i="6"/>
  <c r="T100" i="6"/>
  <c r="U76" i="6"/>
  <c r="T56" i="6"/>
  <c r="N54" i="6"/>
  <c r="N44" i="6"/>
  <c r="V44" i="6"/>
  <c r="N141" i="6"/>
  <c r="N131" i="6"/>
  <c r="O131" i="6"/>
  <c r="S110" i="6"/>
  <c r="S121" i="6"/>
  <c r="Q120" i="6"/>
  <c r="N142" i="4"/>
  <c r="N112" i="6"/>
  <c r="N99" i="6"/>
  <c r="N86" i="6"/>
  <c r="Q111" i="6"/>
  <c r="G41" i="4"/>
  <c r="G155" i="4"/>
  <c r="G94" i="4"/>
  <c r="N12" i="4"/>
  <c r="T12" i="4" s="1"/>
  <c r="G124" i="4"/>
  <c r="Q76" i="6"/>
  <c r="T66" i="6"/>
  <c r="S42" i="6"/>
  <c r="Q41" i="6"/>
  <c r="Q83" i="6"/>
  <c r="S84" i="6"/>
  <c r="S21" i="6"/>
  <c r="Q20" i="6"/>
  <c r="S74" i="6"/>
  <c r="Q73" i="6"/>
  <c r="U27" i="6"/>
  <c r="V27" i="6" s="1"/>
  <c r="O76" i="6"/>
  <c r="R41" i="4"/>
  <c r="N91" i="4"/>
  <c r="T91" i="4" s="1"/>
  <c r="U91" i="4" s="1"/>
  <c r="T90" i="4"/>
  <c r="U90" i="4" s="1"/>
  <c r="T19" i="6"/>
  <c r="N14" i="6"/>
  <c r="U127" i="6"/>
  <c r="U123" i="6" s="1"/>
  <c r="K25" i="5"/>
  <c r="L15" i="5"/>
  <c r="Q15" i="6"/>
  <c r="N133" i="6"/>
  <c r="T17" i="6"/>
  <c r="Q141" i="6"/>
  <c r="Q133" i="6" s="1"/>
  <c r="X133" i="6" s="1"/>
  <c r="Y133" i="6" s="1"/>
  <c r="T137" i="6"/>
  <c r="U137" i="6" s="1"/>
  <c r="V137" i="6" s="1"/>
  <c r="V134" i="6" s="1"/>
  <c r="N120" i="6"/>
  <c r="O120" i="6"/>
  <c r="N62" i="6"/>
  <c r="O62" i="6"/>
  <c r="O134" i="6"/>
  <c r="O133" i="6" s="1"/>
  <c r="U74" i="6"/>
  <c r="V74" i="6"/>
  <c r="S64" i="6"/>
  <c r="T74" i="6"/>
  <c r="V42" i="6"/>
  <c r="T42" i="6"/>
  <c r="U42" i="6"/>
  <c r="S32" i="6"/>
  <c r="V21" i="6"/>
  <c r="T21" i="6"/>
  <c r="U21" i="6"/>
  <c r="S15" i="6"/>
  <c r="S14" i="6" s="1"/>
  <c r="V142" i="6"/>
  <c r="U142" i="6"/>
  <c r="T142" i="6"/>
  <c r="S133" i="6"/>
  <c r="V132" i="6"/>
  <c r="U132" i="6"/>
  <c r="S122" i="6"/>
  <c r="T132" i="6"/>
  <c r="V110" i="6"/>
  <c r="U110" i="6"/>
  <c r="S98" i="6"/>
  <c r="T110" i="6"/>
  <c r="U97" i="6"/>
  <c r="V97" i="6"/>
  <c r="S85" i="6"/>
  <c r="T97" i="6"/>
  <c r="V121" i="6"/>
  <c r="U121" i="6"/>
  <c r="T121" i="6"/>
  <c r="S111" i="6"/>
  <c r="T41" i="6"/>
  <c r="U41" i="6" s="1"/>
  <c r="V41" i="6" s="1"/>
  <c r="T89" i="6"/>
  <c r="N73" i="6"/>
  <c r="T73" i="6" s="1"/>
  <c r="U73" i="6" s="1"/>
  <c r="V73" i="6" s="1"/>
  <c r="T55" i="6"/>
  <c r="T54" i="6" s="1"/>
  <c r="O32" i="6"/>
  <c r="V63" i="6"/>
  <c r="U63" i="6"/>
  <c r="T63" i="6"/>
  <c r="S53" i="6"/>
  <c r="T69" i="6"/>
  <c r="N152" i="4"/>
  <c r="T152" i="4" s="1"/>
  <c r="T151" i="4"/>
  <c r="U151" i="4" s="1"/>
  <c r="U152" i="4" s="1"/>
  <c r="N174" i="4"/>
  <c r="U170" i="4"/>
  <c r="U174" i="4" s="1"/>
  <c r="T170" i="4"/>
  <c r="T174" i="4" s="1"/>
  <c r="R179" i="4"/>
  <c r="U161" i="4"/>
  <c r="T18" i="6"/>
  <c r="T16" i="6"/>
  <c r="T150" i="4"/>
  <c r="Q98" i="6"/>
  <c r="X98" i="6" s="1"/>
  <c r="Y98" i="6" s="1"/>
  <c r="R67" i="4"/>
  <c r="P150" i="4"/>
  <c r="N133" i="4"/>
  <c r="P105" i="4"/>
  <c r="P57" i="4"/>
  <c r="P67" i="4" s="1"/>
  <c r="N161" i="4"/>
  <c r="N29" i="4"/>
  <c r="T29" i="4" s="1"/>
  <c r="U29" i="4" s="1"/>
  <c r="U30" i="4" s="1"/>
  <c r="Q122" i="6"/>
  <c r="X122" i="6" s="1"/>
  <c r="Y122" i="6" s="1"/>
  <c r="Q64" i="6"/>
  <c r="X64" i="6" s="1"/>
  <c r="Y64" i="6" s="1"/>
  <c r="Q53" i="6"/>
  <c r="X53" i="6" s="1"/>
  <c r="Y53" i="6" s="1"/>
  <c r="N63" i="4"/>
  <c r="T144" i="4"/>
  <c r="P94" i="4"/>
  <c r="P41" i="4"/>
  <c r="O174" i="4"/>
  <c r="T37" i="6"/>
  <c r="T36" i="6"/>
  <c r="U36" i="6" s="1"/>
  <c r="V36" i="6" s="1"/>
  <c r="V33" i="6" s="1"/>
  <c r="T35" i="6"/>
  <c r="Q85" i="6"/>
  <c r="X85" i="6" s="1"/>
  <c r="Y85" i="6" s="1"/>
  <c r="T131" i="6"/>
  <c r="U131" i="6" s="1"/>
  <c r="V131" i="6" s="1"/>
  <c r="T109" i="6"/>
  <c r="U109" i="6" s="1"/>
  <c r="V109" i="6" s="1"/>
  <c r="T96" i="6"/>
  <c r="U96" i="6" s="1"/>
  <c r="V96" i="6" s="1"/>
  <c r="O112" i="6"/>
  <c r="O86" i="6"/>
  <c r="O85" i="6" s="1"/>
  <c r="O123" i="6"/>
  <c r="O122" i="6" s="1"/>
  <c r="O54" i="6"/>
  <c r="O99" i="6"/>
  <c r="O98" i="6" s="1"/>
  <c r="O65" i="6"/>
  <c r="O64" i="6" s="1"/>
  <c r="O83" i="6"/>
  <c r="O75" i="6" s="1"/>
  <c r="Q75" i="6"/>
  <c r="X75" i="6" s="1"/>
  <c r="Y75" i="6" s="1"/>
  <c r="T135" i="6"/>
  <c r="T134" i="6" s="1"/>
  <c r="T124" i="6"/>
  <c r="T123" i="6" s="1"/>
  <c r="N122" i="6"/>
  <c r="T113" i="6"/>
  <c r="W113" i="6" s="1"/>
  <c r="N98" i="6"/>
  <c r="T87" i="6"/>
  <c r="N85" i="6"/>
  <c r="N53" i="6"/>
  <c r="O20" i="6"/>
  <c r="O14" i="6" s="1"/>
  <c r="V26" i="6"/>
  <c r="Q33" i="6"/>
  <c r="Q32" i="6" s="1"/>
  <c r="T141" i="6"/>
  <c r="T77" i="6"/>
  <c r="T76" i="6" s="1"/>
  <c r="N75" i="6"/>
  <c r="O51" i="6"/>
  <c r="O43" i="6" s="1"/>
  <c r="S52" i="6"/>
  <c r="N51" i="6"/>
  <c r="T51" i="6" s="1"/>
  <c r="U51" i="6" s="1"/>
  <c r="V51" i="6" s="1"/>
  <c r="T45" i="6"/>
  <c r="T44" i="6" s="1"/>
  <c r="T34" i="6"/>
  <c r="T33" i="6" s="1"/>
  <c r="N32" i="6"/>
  <c r="N167" i="4"/>
  <c r="T167" i="4" s="1"/>
  <c r="U167" i="4" s="1"/>
  <c r="N75" i="4"/>
  <c r="N76" i="4" s="1"/>
  <c r="T76" i="4" s="1"/>
  <c r="U76" i="4" s="1"/>
  <c r="T161" i="4"/>
  <c r="O114" i="4"/>
  <c r="N106" i="4"/>
  <c r="N114" i="4" s="1"/>
  <c r="O150" i="4"/>
  <c r="N145" i="4"/>
  <c r="N150" i="4" s="1"/>
  <c r="N95" i="4"/>
  <c r="O105" i="4"/>
  <c r="O76" i="4"/>
  <c r="O83" i="4"/>
  <c r="N77" i="4"/>
  <c r="N83" i="4" s="1"/>
  <c r="N175" i="4"/>
  <c r="N176" i="4" s="1"/>
  <c r="T176" i="4" s="1"/>
  <c r="U176" i="4" s="1"/>
  <c r="O176" i="4"/>
  <c r="O144" i="4"/>
  <c r="N136" i="4"/>
  <c r="N144" i="4" s="1"/>
  <c r="N120" i="4"/>
  <c r="O121" i="4"/>
  <c r="N115" i="4"/>
  <c r="O119" i="4"/>
  <c r="O89" i="4"/>
  <c r="N84" i="4"/>
  <c r="O62" i="4"/>
  <c r="N58" i="4"/>
  <c r="O38" i="4"/>
  <c r="N37" i="4"/>
  <c r="N31" i="4"/>
  <c r="N36" i="4" s="1"/>
  <c r="O23" i="4"/>
  <c r="U150" i="4"/>
  <c r="P155" i="4"/>
  <c r="O169" i="4"/>
  <c r="R155" i="4"/>
  <c r="U144" i="4"/>
  <c r="R124" i="4"/>
  <c r="W124" i="4" s="1"/>
  <c r="X124" i="4" s="1"/>
  <c r="R94" i="4"/>
  <c r="W94" i="4" s="1"/>
  <c r="X94" i="4" s="1"/>
  <c r="N22" i="4"/>
  <c r="U114" i="4"/>
  <c r="U57" i="4"/>
  <c r="O135" i="4"/>
  <c r="N125" i="4"/>
  <c r="O57" i="4"/>
  <c r="N51" i="4"/>
  <c r="N57" i="4" s="1"/>
  <c r="U118" i="4"/>
  <c r="T118" i="4"/>
  <c r="O30" i="4"/>
  <c r="N24" i="4"/>
  <c r="O50" i="4"/>
  <c r="N42" i="4"/>
  <c r="P124" i="4"/>
  <c r="U83" i="4"/>
  <c r="N22" i="3"/>
  <c r="T32" i="6" l="1"/>
  <c r="W33" i="6"/>
  <c r="X32" i="6"/>
  <c r="Y32" i="6" s="1"/>
  <c r="U66" i="6"/>
  <c r="T65" i="6"/>
  <c r="T112" i="6"/>
  <c r="V25" i="6"/>
  <c r="V24" i="6" s="1"/>
  <c r="U87" i="6"/>
  <c r="T86" i="6"/>
  <c r="U33" i="6"/>
  <c r="U100" i="6"/>
  <c r="T99" i="6"/>
  <c r="U134" i="6"/>
  <c r="X111" i="6"/>
  <c r="Y111" i="6" s="1"/>
  <c r="W67" i="4"/>
  <c r="X67" i="4" s="1"/>
  <c r="R180" i="4"/>
  <c r="W155" i="4"/>
  <c r="X155" i="4" s="1"/>
  <c r="P180" i="4"/>
  <c r="W179" i="4"/>
  <c r="X179" i="4" s="1"/>
  <c r="U12" i="4"/>
  <c r="U23" i="4" s="1"/>
  <c r="T23" i="4"/>
  <c r="Q14" i="6"/>
  <c r="X14" i="6" s="1"/>
  <c r="Y14" i="6" s="1"/>
  <c r="U24" i="6"/>
  <c r="N43" i="6"/>
  <c r="T62" i="6"/>
  <c r="U62" i="6" s="1"/>
  <c r="V62" i="6" s="1"/>
  <c r="W41" i="4"/>
  <c r="X41" i="4" s="1"/>
  <c r="U133" i="6"/>
  <c r="U16" i="6"/>
  <c r="V16" i="6" s="1"/>
  <c r="V15" i="6" s="1"/>
  <c r="T15" i="6"/>
  <c r="N135" i="4"/>
  <c r="T125" i="4"/>
  <c r="N121" i="4"/>
  <c r="T121" i="4" s="1"/>
  <c r="U121" i="4" s="1"/>
  <c r="T120" i="4"/>
  <c r="U120" i="4" s="1"/>
  <c r="N105" i="4"/>
  <c r="T105" i="4" s="1"/>
  <c r="U105" i="4" s="1"/>
  <c r="T95" i="4"/>
  <c r="U95" i="4" s="1"/>
  <c r="N64" i="4"/>
  <c r="T64" i="4" s="1"/>
  <c r="U64" i="4" s="1"/>
  <c r="T63" i="4"/>
  <c r="U63" i="4" s="1"/>
  <c r="N50" i="4"/>
  <c r="T42" i="4"/>
  <c r="V133" i="6"/>
  <c r="W54" i="6"/>
  <c r="U55" i="6"/>
  <c r="U54" i="6" s="1"/>
  <c r="U32" i="6"/>
  <c r="V32" i="6"/>
  <c r="V127" i="6"/>
  <c r="U122" i="6"/>
  <c r="U111" i="6"/>
  <c r="V111" i="6"/>
  <c r="U15" i="6"/>
  <c r="L21" i="5"/>
  <c r="L25" i="5" s="1"/>
  <c r="N89" i="4"/>
  <c r="T84" i="4"/>
  <c r="N62" i="4"/>
  <c r="T58" i="4"/>
  <c r="T31" i="4"/>
  <c r="T36" i="4" s="1"/>
  <c r="N23" i="4"/>
  <c r="N38" i="4"/>
  <c r="T37" i="4"/>
  <c r="N111" i="6"/>
  <c r="O53" i="6"/>
  <c r="T133" i="6"/>
  <c r="O111" i="6"/>
  <c r="T120" i="6"/>
  <c r="T111" i="6" s="1"/>
  <c r="T98" i="6"/>
  <c r="N64" i="6"/>
  <c r="U52" i="6"/>
  <c r="U43" i="6" s="1"/>
  <c r="V52" i="6"/>
  <c r="V43" i="6" s="1"/>
  <c r="T52" i="6"/>
  <c r="T43" i="6" s="1"/>
  <c r="S43" i="6"/>
  <c r="U84" i="6"/>
  <c r="V84" i="6"/>
  <c r="T84" i="6"/>
  <c r="S75" i="6"/>
  <c r="T122" i="6"/>
  <c r="T20" i="6"/>
  <c r="U20" i="6" s="1"/>
  <c r="V20" i="6" s="1"/>
  <c r="T64" i="6"/>
  <c r="T85" i="6"/>
  <c r="T30" i="4"/>
  <c r="N30" i="4"/>
  <c r="N119" i="4"/>
  <c r="T115" i="4"/>
  <c r="U115" i="4" s="1"/>
  <c r="U119" i="4" s="1"/>
  <c r="U124" i="4" s="1"/>
  <c r="O67" i="4"/>
  <c r="N67" i="4" s="1"/>
  <c r="O155" i="4"/>
  <c r="N155" i="4" s="1"/>
  <c r="O41" i="4"/>
  <c r="N41" i="4" s="1"/>
  <c r="T83" i="6"/>
  <c r="N169" i="4"/>
  <c r="O179" i="4"/>
  <c r="O94" i="4"/>
  <c r="N94" i="4" s="1"/>
  <c r="O124" i="4"/>
  <c r="N124" i="4" s="1"/>
  <c r="U255" i="3"/>
  <c r="T255" i="3"/>
  <c r="T259" i="3" s="1"/>
  <c r="Q255" i="3"/>
  <c r="Q259" i="3" s="1"/>
  <c r="U248" i="3"/>
  <c r="T248" i="3"/>
  <c r="Q248" i="3"/>
  <c r="U247" i="3"/>
  <c r="T247" i="3"/>
  <c r="Q247" i="3"/>
  <c r="V123" i="6" l="1"/>
  <c r="V122" i="6" s="1"/>
  <c r="T14" i="6"/>
  <c r="V100" i="6"/>
  <c r="V99" i="6" s="1"/>
  <c r="V98" i="6" s="1"/>
  <c r="U99" i="6"/>
  <c r="U98" i="6" s="1"/>
  <c r="Q143" i="6"/>
  <c r="V87" i="6"/>
  <c r="V86" i="6" s="1"/>
  <c r="V85" i="6" s="1"/>
  <c r="U86" i="6"/>
  <c r="U85" i="6" s="1"/>
  <c r="V66" i="6"/>
  <c r="V65" i="6" s="1"/>
  <c r="V64" i="6" s="1"/>
  <c r="U65" i="6"/>
  <c r="U64" i="6" s="1"/>
  <c r="N143" i="6"/>
  <c r="T53" i="6"/>
  <c r="O143" i="6"/>
  <c r="U14" i="6"/>
  <c r="V14" i="6"/>
  <c r="T75" i="6"/>
  <c r="U83" i="6"/>
  <c r="V83" i="6" s="1"/>
  <c r="V75" i="6" s="1"/>
  <c r="U125" i="4"/>
  <c r="U135" i="4" s="1"/>
  <c r="U155" i="4" s="1"/>
  <c r="T135" i="4"/>
  <c r="T155" i="4" s="1"/>
  <c r="U42" i="4"/>
  <c r="U50" i="4" s="1"/>
  <c r="T50" i="4"/>
  <c r="V55" i="6"/>
  <c r="U53" i="6"/>
  <c r="U84" i="4"/>
  <c r="U89" i="4" s="1"/>
  <c r="U94" i="4" s="1"/>
  <c r="T89" i="4"/>
  <c r="T94" i="4" s="1"/>
  <c r="U58" i="4"/>
  <c r="U62" i="4" s="1"/>
  <c r="T62" i="4"/>
  <c r="U31" i="4"/>
  <c r="U36" i="4" s="1"/>
  <c r="U37" i="4"/>
  <c r="U38" i="4" s="1"/>
  <c r="T38" i="4"/>
  <c r="S143" i="6"/>
  <c r="O180" i="4"/>
  <c r="N179" i="4"/>
  <c r="N180" i="4" s="1"/>
  <c r="T169" i="4"/>
  <c r="T179" i="4" s="1"/>
  <c r="T119" i="4"/>
  <c r="T124" i="4" s="1"/>
  <c r="U242" i="3"/>
  <c r="T242" i="3"/>
  <c r="Q242" i="3"/>
  <c r="V241" i="3"/>
  <c r="Q241" i="3"/>
  <c r="V214" i="3"/>
  <c r="U214" i="3"/>
  <c r="V199" i="3"/>
  <c r="V200" i="3"/>
  <c r="U199" i="3"/>
  <c r="U200" i="3"/>
  <c r="V190" i="3"/>
  <c r="V188" i="3"/>
  <c r="U190" i="3"/>
  <c r="U188" i="3"/>
  <c r="V140" i="3"/>
  <c r="U140" i="3"/>
  <c r="V137" i="3"/>
  <c r="U137" i="3"/>
  <c r="O255" i="3"/>
  <c r="O248" i="3"/>
  <c r="O247" i="3"/>
  <c r="O242" i="3"/>
  <c r="O241" i="3"/>
  <c r="G14" i="3"/>
  <c r="V54" i="6" l="1"/>
  <c r="V53" i="6" s="1"/>
  <c r="V143" i="6" s="1"/>
  <c r="T143" i="6"/>
  <c r="U67" i="4"/>
  <c r="U41" i="4"/>
  <c r="U75" i="6"/>
  <c r="U143" i="6" s="1"/>
  <c r="T41" i="4"/>
  <c r="T67" i="4"/>
  <c r="U169" i="4"/>
  <c r="Q14" i="3"/>
  <c r="N14" i="3"/>
  <c r="G257" i="3"/>
  <c r="U257" i="3" s="1"/>
  <c r="J268" i="3"/>
  <c r="J267" i="3"/>
  <c r="T180" i="4" l="1"/>
  <c r="U179" i="4"/>
  <c r="U180" i="4" s="1"/>
  <c r="V257" i="3"/>
  <c r="N241" i="3"/>
  <c r="F133" i="3"/>
  <c r="T154" i="3"/>
  <c r="T142" i="3"/>
  <c r="Q142" i="3"/>
  <c r="G260" i="3"/>
  <c r="O260" i="3" s="1"/>
  <c r="G132" i="3"/>
  <c r="G133" i="3" s="1"/>
  <c r="G129" i="3"/>
  <c r="O257" i="3"/>
  <c r="G258" i="3"/>
  <c r="J258" i="3"/>
  <c r="J257" i="3"/>
  <c r="G252" i="3"/>
  <c r="T252" i="3" s="1"/>
  <c r="G253" i="3"/>
  <c r="O253" i="3" s="1"/>
  <c r="K252" i="3"/>
  <c r="G251" i="3"/>
  <c r="O251" i="3" s="1"/>
  <c r="G250" i="3"/>
  <c r="O250" i="3" s="1"/>
  <c r="G245" i="3"/>
  <c r="O245" i="3" s="1"/>
  <c r="G244" i="3"/>
  <c r="J244" i="3"/>
  <c r="K236" i="3"/>
  <c r="K233" i="3"/>
  <c r="K232" i="3"/>
  <c r="G238" i="3"/>
  <c r="O238" i="3" s="1"/>
  <c r="G236" i="3"/>
  <c r="G235" i="3"/>
  <c r="O235" i="3" s="1"/>
  <c r="G233" i="3"/>
  <c r="G232" i="3"/>
  <c r="T232" i="3" s="1"/>
  <c r="K229" i="3"/>
  <c r="K224" i="3"/>
  <c r="K223" i="3"/>
  <c r="G227" i="3"/>
  <c r="O227" i="3" s="1"/>
  <c r="G228" i="3"/>
  <c r="O228" i="3" s="1"/>
  <c r="G229" i="3"/>
  <c r="Q229" i="3" s="1"/>
  <c r="G230" i="3"/>
  <c r="G226" i="3"/>
  <c r="O226" i="3" s="1"/>
  <c r="G224" i="3"/>
  <c r="Q224" i="3" s="1"/>
  <c r="G223" i="3"/>
  <c r="T223" i="3" s="1"/>
  <c r="K220" i="3"/>
  <c r="J214" i="3"/>
  <c r="G214" i="3"/>
  <c r="O214" i="3" s="1"/>
  <c r="N214" i="3" s="1"/>
  <c r="K212" i="3"/>
  <c r="G216" i="3"/>
  <c r="O216" i="3" s="1"/>
  <c r="G217" i="3"/>
  <c r="O217" i="3" s="1"/>
  <c r="G218" i="3"/>
  <c r="O218" i="3" s="1"/>
  <c r="G219" i="3"/>
  <c r="O219" i="3" s="1"/>
  <c r="G220" i="3"/>
  <c r="T220" i="3" s="1"/>
  <c r="G221" i="3"/>
  <c r="O221" i="3" s="1"/>
  <c r="G215" i="3"/>
  <c r="O215" i="3" s="1"/>
  <c r="G212" i="3"/>
  <c r="T212" i="3" s="1"/>
  <c r="G209" i="3"/>
  <c r="O209" i="3" s="1"/>
  <c r="K207" i="3"/>
  <c r="K204" i="3"/>
  <c r="J204" i="3" s="1"/>
  <c r="G206" i="3"/>
  <c r="O206" i="3" s="1"/>
  <c r="G204" i="3"/>
  <c r="Q204" i="3" s="1"/>
  <c r="J200" i="3"/>
  <c r="G200" i="3"/>
  <c r="O200" i="3" s="1"/>
  <c r="N200" i="3" s="1"/>
  <c r="J199" i="3"/>
  <c r="G199" i="3"/>
  <c r="O199" i="3" s="1"/>
  <c r="N199" i="3" s="1"/>
  <c r="K202" i="3"/>
  <c r="K195" i="3"/>
  <c r="G198" i="3"/>
  <c r="O198" i="3" s="1"/>
  <c r="G201" i="3"/>
  <c r="O201" i="3" s="1"/>
  <c r="G202" i="3"/>
  <c r="T202" i="3" s="1"/>
  <c r="G197" i="3"/>
  <c r="O197" i="3" s="1"/>
  <c r="G195" i="3"/>
  <c r="O195" i="3" s="1"/>
  <c r="J190" i="3"/>
  <c r="G190" i="3"/>
  <c r="O190" i="3" s="1"/>
  <c r="N190" i="3" s="1"/>
  <c r="G188" i="3"/>
  <c r="O188" i="3" s="1"/>
  <c r="N188" i="3" s="1"/>
  <c r="J188" i="3"/>
  <c r="K193" i="3"/>
  <c r="G193" i="3"/>
  <c r="T193" i="3" s="1"/>
  <c r="G187" i="3"/>
  <c r="O187" i="3" s="1"/>
  <c r="G189" i="3"/>
  <c r="O189" i="3" s="1"/>
  <c r="G191" i="3"/>
  <c r="O191" i="3" s="1"/>
  <c r="G192" i="3"/>
  <c r="O192" i="3" s="1"/>
  <c r="G186" i="3"/>
  <c r="O186" i="3" s="1"/>
  <c r="K184" i="3"/>
  <c r="G184" i="3"/>
  <c r="K179" i="3"/>
  <c r="K175" i="3"/>
  <c r="G181" i="3"/>
  <c r="O181" i="3" s="1"/>
  <c r="G179" i="3"/>
  <c r="G178" i="3"/>
  <c r="O178" i="3" s="1"/>
  <c r="G177" i="3"/>
  <c r="O177" i="3" s="1"/>
  <c r="G175" i="3"/>
  <c r="O175" i="3" s="1"/>
  <c r="K173" i="3"/>
  <c r="G171" i="3"/>
  <c r="O171" i="3" s="1"/>
  <c r="G172" i="3"/>
  <c r="O172" i="3" s="1"/>
  <c r="G173" i="3"/>
  <c r="O173" i="3" s="1"/>
  <c r="G170" i="3"/>
  <c r="O170" i="3" s="1"/>
  <c r="K168" i="3"/>
  <c r="G168" i="3"/>
  <c r="K166" i="3"/>
  <c r="G166" i="3"/>
  <c r="G162" i="3"/>
  <c r="O162" i="3" s="1"/>
  <c r="G163" i="3"/>
  <c r="O163" i="3" s="1"/>
  <c r="G164" i="3"/>
  <c r="O164" i="3" s="1"/>
  <c r="G165" i="3"/>
  <c r="O165" i="3" s="1"/>
  <c r="G161" i="3"/>
  <c r="O161" i="3" s="1"/>
  <c r="K159" i="3"/>
  <c r="G159" i="3"/>
  <c r="O159" i="3" s="1"/>
  <c r="G156" i="3"/>
  <c r="O156" i="3" s="1"/>
  <c r="K154" i="3"/>
  <c r="O154" i="3" s="1"/>
  <c r="K151" i="3"/>
  <c r="G153" i="3"/>
  <c r="O153" i="3" s="1"/>
  <c r="G151" i="3"/>
  <c r="O151" i="3" s="1"/>
  <c r="K149" i="3"/>
  <c r="K144" i="3"/>
  <c r="G149" i="3"/>
  <c r="O149" i="3" s="1"/>
  <c r="G147" i="3"/>
  <c r="O147" i="3" s="1"/>
  <c r="G148" i="3"/>
  <c r="O148" i="3" s="1"/>
  <c r="G146" i="3"/>
  <c r="O146" i="3" s="1"/>
  <c r="G144" i="3"/>
  <c r="O144" i="3" s="1"/>
  <c r="G138" i="3"/>
  <c r="O138" i="3" s="1"/>
  <c r="G139" i="3"/>
  <c r="O139" i="3" s="1"/>
  <c r="G140" i="3"/>
  <c r="O140" i="3" s="1"/>
  <c r="N140" i="3" s="1"/>
  <c r="G141" i="3"/>
  <c r="O141" i="3" s="1"/>
  <c r="G137" i="3"/>
  <c r="O137" i="3" s="1"/>
  <c r="N137" i="3" s="1"/>
  <c r="G135" i="3"/>
  <c r="O135" i="3" s="1"/>
  <c r="K135" i="3"/>
  <c r="K142" i="3"/>
  <c r="O142" i="3" s="1"/>
  <c r="J140" i="3"/>
  <c r="J137" i="3"/>
  <c r="K125" i="3"/>
  <c r="K127" i="3"/>
  <c r="K120" i="3"/>
  <c r="K118" i="3"/>
  <c r="K108" i="3"/>
  <c r="J108" i="3" s="1"/>
  <c r="I131" i="3"/>
  <c r="H131" i="3"/>
  <c r="F131" i="3"/>
  <c r="E131" i="3"/>
  <c r="O129" i="3"/>
  <c r="G127" i="3"/>
  <c r="G125" i="3"/>
  <c r="O125" i="3" s="1"/>
  <c r="G123" i="3"/>
  <c r="O123" i="3" s="1"/>
  <c r="G124" i="3"/>
  <c r="O124" i="3" s="1"/>
  <c r="G122" i="3"/>
  <c r="O122" i="3" s="1"/>
  <c r="G120" i="3"/>
  <c r="O120" i="3" s="1"/>
  <c r="G118" i="3"/>
  <c r="G111" i="3"/>
  <c r="O111" i="3" s="1"/>
  <c r="G112" i="3"/>
  <c r="O112" i="3" s="1"/>
  <c r="G113" i="3"/>
  <c r="O113" i="3" s="1"/>
  <c r="G114" i="3"/>
  <c r="O114" i="3" s="1"/>
  <c r="G115" i="3"/>
  <c r="O115" i="3" s="1"/>
  <c r="N115" i="3" s="1"/>
  <c r="G116" i="3"/>
  <c r="O116" i="3" s="1"/>
  <c r="G117" i="3"/>
  <c r="O117" i="3" s="1"/>
  <c r="G110" i="3"/>
  <c r="O110" i="3" s="1"/>
  <c r="V115" i="3"/>
  <c r="U115" i="3"/>
  <c r="J115" i="3"/>
  <c r="G108" i="3"/>
  <c r="T108" i="3" s="1"/>
  <c r="O252" i="3" l="1"/>
  <c r="O244" i="3"/>
  <c r="U244" i="3"/>
  <c r="V244" i="3" s="1"/>
  <c r="O258" i="3"/>
  <c r="N258" i="3" s="1"/>
  <c r="U258" i="3"/>
  <c r="O118" i="3"/>
  <c r="O127" i="3"/>
  <c r="O166" i="3"/>
  <c r="O168" i="3"/>
  <c r="O179" i="3"/>
  <c r="O184" i="3"/>
  <c r="O233" i="3"/>
  <c r="O220" i="3"/>
  <c r="Q166" i="3"/>
  <c r="Q195" i="3"/>
  <c r="Q220" i="3"/>
  <c r="T173" i="3"/>
  <c r="N257" i="3"/>
  <c r="Q149" i="3"/>
  <c r="Q173" i="3"/>
  <c r="Q252" i="3"/>
  <c r="T149" i="3"/>
  <c r="T166" i="3"/>
  <c r="T195" i="3"/>
  <c r="Q233" i="3"/>
  <c r="T233" i="3"/>
  <c r="Q232" i="3"/>
  <c r="O232" i="3"/>
  <c r="O229" i="3"/>
  <c r="O224" i="3"/>
  <c r="T224" i="3"/>
  <c r="O223" i="3"/>
  <c r="Q223" i="3"/>
  <c r="O212" i="3"/>
  <c r="Q212" i="3"/>
  <c r="T204" i="3"/>
  <c r="O204" i="3"/>
  <c r="O202" i="3"/>
  <c r="Q202" i="3"/>
  <c r="Q193" i="3"/>
  <c r="O193" i="3"/>
  <c r="Q184" i="3"/>
  <c r="T184" i="3"/>
  <c r="Q175" i="3"/>
  <c r="T175" i="3"/>
  <c r="Q168" i="3"/>
  <c r="T168" i="3"/>
  <c r="Q159" i="3"/>
  <c r="T159" i="3"/>
  <c r="Q151" i="3"/>
  <c r="T151" i="3"/>
  <c r="Q144" i="3"/>
  <c r="T144" i="3"/>
  <c r="Q135" i="3"/>
  <c r="T135" i="3"/>
  <c r="Q127" i="3"/>
  <c r="T127" i="3"/>
  <c r="T125" i="3"/>
  <c r="Q125" i="3"/>
  <c r="Q120" i="3"/>
  <c r="T120" i="3"/>
  <c r="G119" i="3"/>
  <c r="T118" i="3"/>
  <c r="Q118" i="3"/>
  <c r="Q108" i="3"/>
  <c r="O14" i="3"/>
  <c r="O108" i="3"/>
  <c r="G126" i="3"/>
  <c r="V258" i="3" l="1"/>
  <c r="U259" i="3"/>
  <c r="O259" i="3"/>
  <c r="O22" i="3"/>
  <c r="K267" i="3"/>
  <c r="M22" i="3"/>
  <c r="M14" i="3"/>
  <c r="U14" i="3" s="1"/>
  <c r="I81" i="3"/>
  <c r="H81" i="3"/>
  <c r="F81" i="3"/>
  <c r="E81" i="3"/>
  <c r="G15" i="3"/>
  <c r="J177" i="3" l="1"/>
  <c r="J178" i="3"/>
  <c r="H38" i="3"/>
  <c r="U38" i="3" s="1"/>
  <c r="I102" i="3" l="1"/>
  <c r="I95" i="3"/>
  <c r="I88" i="3"/>
  <c r="I71" i="3"/>
  <c r="I61" i="3"/>
  <c r="I54" i="3"/>
  <c r="I46" i="3"/>
  <c r="I38" i="3"/>
  <c r="I31" i="3"/>
  <c r="I18" i="3"/>
  <c r="H102" i="3"/>
  <c r="H95" i="3"/>
  <c r="H88" i="3"/>
  <c r="H71" i="3"/>
  <c r="H61" i="3"/>
  <c r="H54" i="3"/>
  <c r="H46" i="3"/>
  <c r="H31" i="3"/>
  <c r="H18" i="3"/>
  <c r="M15" i="3"/>
  <c r="O21" i="3"/>
  <c r="M16" i="3"/>
  <c r="U16" i="3" s="1"/>
  <c r="M18" i="3"/>
  <c r="G23" i="3"/>
  <c r="E102" i="3"/>
  <c r="E95" i="3"/>
  <c r="E88" i="3"/>
  <c r="E71" i="3"/>
  <c r="E61" i="3"/>
  <c r="E54" i="3"/>
  <c r="E46" i="3"/>
  <c r="E38" i="3"/>
  <c r="E31" i="3"/>
  <c r="E18" i="3"/>
  <c r="F18" i="3"/>
  <c r="G16" i="3"/>
  <c r="O16" i="3" s="1"/>
  <c r="Q23" i="3" l="1"/>
  <c r="S24" i="3"/>
  <c r="S25" i="3" s="1"/>
  <c r="Q38" i="3"/>
  <c r="T22" i="3"/>
  <c r="U22" i="3" s="1"/>
  <c r="V248" i="3"/>
  <c r="V247" i="3"/>
  <c r="V255" i="3"/>
  <c r="V259" i="3" s="1"/>
  <c r="N260" i="3"/>
  <c r="Q154" i="3"/>
  <c r="G167" i="3"/>
  <c r="G150" i="3"/>
  <c r="N108" i="3"/>
  <c r="U21" i="3" l="1"/>
  <c r="V22" i="3"/>
  <c r="N125" i="3"/>
  <c r="U125" i="3" s="1"/>
  <c r="V125" i="3" s="1"/>
  <c r="J125" i="3"/>
  <c r="F102" i="3" l="1"/>
  <c r="F95" i="3"/>
  <c r="F88" i="3"/>
  <c r="M76" i="3"/>
  <c r="G80" i="3" l="1"/>
  <c r="O80" i="3" s="1"/>
  <c r="G79" i="3"/>
  <c r="O79" i="3" s="1"/>
  <c r="M79" i="3"/>
  <c r="U79" i="3" s="1"/>
  <c r="N79" i="3"/>
  <c r="V79" i="3"/>
  <c r="M80" i="3"/>
  <c r="U80" i="3" s="1"/>
  <c r="M74" i="3"/>
  <c r="F71" i="3"/>
  <c r="G70" i="3"/>
  <c r="Q70" i="3" s="1"/>
  <c r="M70" i="3"/>
  <c r="U70" i="3" s="1"/>
  <c r="M68" i="3"/>
  <c r="V68" i="3" s="1"/>
  <c r="G68" i="3"/>
  <c r="Q68" i="3" s="1"/>
  <c r="M69" i="3"/>
  <c r="V69" i="3" s="1"/>
  <c r="G69" i="3"/>
  <c r="F61" i="3"/>
  <c r="F54" i="3"/>
  <c r="G52" i="3"/>
  <c r="Q52" i="3" s="1"/>
  <c r="G51" i="3"/>
  <c r="O51" i="3" s="1"/>
  <c r="M52" i="3"/>
  <c r="U52" i="3" s="1"/>
  <c r="F46" i="3"/>
  <c r="F38" i="3"/>
  <c r="G38" i="3" s="1"/>
  <c r="S39" i="3" s="1"/>
  <c r="S40" i="3" s="1"/>
  <c r="F31" i="3"/>
  <c r="G31" i="3" s="1"/>
  <c r="G17" i="3"/>
  <c r="M17" i="3"/>
  <c r="V16" i="3"/>
  <c r="V15" i="3"/>
  <c r="Q31" i="3" l="1"/>
  <c r="S32" i="3"/>
  <c r="S33" i="3" s="1"/>
  <c r="Q69" i="3"/>
  <c r="N69" i="3"/>
  <c r="N80" i="3"/>
  <c r="Q80" i="3"/>
  <c r="Q79" i="3"/>
  <c r="T79" i="3" s="1"/>
  <c r="N70" i="3"/>
  <c r="N16" i="3"/>
  <c r="Q15" i="3"/>
  <c r="O15" i="3"/>
  <c r="N15" i="3"/>
  <c r="N17" i="3"/>
  <c r="O17" i="3"/>
  <c r="G18" i="3"/>
  <c r="N51" i="3"/>
  <c r="O70" i="3"/>
  <c r="G71" i="3"/>
  <c r="V80" i="3"/>
  <c r="G54" i="3"/>
  <c r="S55" i="3" s="1"/>
  <c r="S56" i="3" s="1"/>
  <c r="Q16" i="3"/>
  <c r="O68" i="3"/>
  <c r="Q51" i="3"/>
  <c r="V52" i="3"/>
  <c r="N68" i="3"/>
  <c r="U68" i="3"/>
  <c r="V70" i="3"/>
  <c r="U69" i="3"/>
  <c r="U15" i="3"/>
  <c r="N52" i="3"/>
  <c r="O52" i="3"/>
  <c r="O69" i="3"/>
  <c r="U18" i="3"/>
  <c r="K268" i="3"/>
  <c r="I259" i="3"/>
  <c r="H259" i="3"/>
  <c r="N71" i="3" l="1"/>
  <c r="S72" i="3"/>
  <c r="S73" i="3" s="1"/>
  <c r="Q18" i="3"/>
  <c r="S19" i="3"/>
  <c r="S20" i="3" s="1"/>
  <c r="T69" i="3"/>
  <c r="O13" i="3"/>
  <c r="T80" i="3"/>
  <c r="T15" i="3"/>
  <c r="T51" i="3"/>
  <c r="T16" i="3"/>
  <c r="N13" i="3"/>
  <c r="T70" i="3"/>
  <c r="T52" i="3"/>
  <c r="T68" i="3"/>
  <c r="V18" i="3"/>
  <c r="T14" i="3"/>
  <c r="G259" i="3"/>
  <c r="F259" i="3"/>
  <c r="E259" i="3"/>
  <c r="V218" i="3"/>
  <c r="U218" i="3"/>
  <c r="J218" i="3"/>
  <c r="N218" i="3"/>
  <c r="V217" i="3"/>
  <c r="U217" i="3"/>
  <c r="J217" i="3"/>
  <c r="N217" i="3"/>
  <c r="V186" i="3"/>
  <c r="V187" i="3"/>
  <c r="U186" i="3"/>
  <c r="U187" i="3"/>
  <c r="J186" i="3"/>
  <c r="N186" i="3"/>
  <c r="J187" i="3"/>
  <c r="N187" i="3"/>
  <c r="V162" i="3"/>
  <c r="U162" i="3"/>
  <c r="J162" i="3"/>
  <c r="N162" i="3"/>
  <c r="E155" i="3"/>
  <c r="J144" i="3"/>
  <c r="J142" i="3"/>
  <c r="V129" i="3"/>
  <c r="U129" i="3"/>
  <c r="J129" i="3"/>
  <c r="N129" i="3"/>
  <c r="V116" i="3"/>
  <c r="U116" i="3"/>
  <c r="J116" i="3"/>
  <c r="N116" i="3"/>
  <c r="V111" i="3"/>
  <c r="U111" i="3"/>
  <c r="J111" i="3"/>
  <c r="N111" i="3"/>
  <c r="G81" i="3"/>
  <c r="G30" i="3"/>
  <c r="N255" i="3"/>
  <c r="N259" i="3" s="1"/>
  <c r="V227" i="3"/>
  <c r="U227" i="3"/>
  <c r="J227" i="3"/>
  <c r="N227" i="3"/>
  <c r="E133" i="3"/>
  <c r="G78" i="3"/>
  <c r="G76" i="3"/>
  <c r="N76" i="3" s="1"/>
  <c r="G77" i="3"/>
  <c r="G53" i="3"/>
  <c r="Q53" i="3" s="1"/>
  <c r="N81" i="3" l="1"/>
  <c r="S82" i="3"/>
  <c r="S83" i="3" s="1"/>
  <c r="V253" i="3"/>
  <c r="U253" i="3"/>
  <c r="J253" i="3"/>
  <c r="N253" i="3"/>
  <c r="V245" i="3"/>
  <c r="U245" i="3"/>
  <c r="N245" i="3"/>
  <c r="J245" i="3"/>
  <c r="V215" i="3" l="1"/>
  <c r="U215" i="3"/>
  <c r="U216" i="3"/>
  <c r="U219" i="3"/>
  <c r="J215" i="3"/>
  <c r="N215" i="3"/>
  <c r="G100" i="3"/>
  <c r="G101" i="3"/>
  <c r="Q101" i="3" s="1"/>
  <c r="G102" i="3"/>
  <c r="G99" i="3"/>
  <c r="G93" i="3"/>
  <c r="G94" i="3"/>
  <c r="G95" i="3"/>
  <c r="G92" i="3"/>
  <c r="M87" i="3"/>
  <c r="U87" i="3" s="1"/>
  <c r="G87" i="3"/>
  <c r="Q87" i="3" s="1"/>
  <c r="G86" i="3"/>
  <c r="Q86" i="3" s="1"/>
  <c r="G88" i="3"/>
  <c r="G85" i="3"/>
  <c r="O85" i="3" s="1"/>
  <c r="Q76" i="3"/>
  <c r="Q78" i="3"/>
  <c r="N78" i="3"/>
  <c r="O76" i="3"/>
  <c r="Q77" i="3"/>
  <c r="O78" i="3"/>
  <c r="G75" i="3"/>
  <c r="Q75" i="3" s="1"/>
  <c r="G67" i="3"/>
  <c r="M67" i="3"/>
  <c r="U67" i="3" s="1"/>
  <c r="G66" i="3"/>
  <c r="Q71" i="3"/>
  <c r="G65" i="3"/>
  <c r="G60" i="3"/>
  <c r="Q60" i="3" s="1"/>
  <c r="G59" i="3"/>
  <c r="N59" i="3" s="1"/>
  <c r="G58" i="3"/>
  <c r="N58" i="3" s="1"/>
  <c r="N53" i="3"/>
  <c r="O53" i="3"/>
  <c r="G50" i="3"/>
  <c r="G45" i="3"/>
  <c r="O45" i="3" s="1"/>
  <c r="G44" i="3"/>
  <c r="Q44" i="3" s="1"/>
  <c r="G43" i="3"/>
  <c r="O43" i="3" s="1"/>
  <c r="G42" i="3"/>
  <c r="O42" i="3" s="1"/>
  <c r="G37" i="3"/>
  <c r="O37" i="3" s="1"/>
  <c r="G36" i="3"/>
  <c r="Q36" i="3" s="1"/>
  <c r="G35" i="3"/>
  <c r="Q35" i="3" s="1"/>
  <c r="Q30" i="3"/>
  <c r="G29" i="3"/>
  <c r="Q29" i="3" s="1"/>
  <c r="G28" i="3"/>
  <c r="Q28" i="3" s="1"/>
  <c r="G27" i="3"/>
  <c r="Q27" i="3" s="1"/>
  <c r="N18" i="3"/>
  <c r="N12" i="3" s="1"/>
  <c r="Q81" i="3"/>
  <c r="G61" i="3"/>
  <c r="Q54" i="3"/>
  <c r="G46" i="3"/>
  <c r="Q88" i="3" l="1"/>
  <c r="S89" i="3"/>
  <c r="S90" i="3" s="1"/>
  <c r="Q46" i="3"/>
  <c r="S47" i="3"/>
  <c r="S48" i="3" s="1"/>
  <c r="Q61" i="3"/>
  <c r="S62" i="3"/>
  <c r="S63" i="3" s="1"/>
  <c r="Q95" i="3"/>
  <c r="S96" i="3"/>
  <c r="S97" i="3" s="1"/>
  <c r="S103" i="3"/>
  <c r="Q102" i="3"/>
  <c r="O99" i="3"/>
  <c r="Q99" i="3"/>
  <c r="N99" i="3"/>
  <c r="Q93" i="3"/>
  <c r="O93" i="3"/>
  <c r="Q92" i="3"/>
  <c r="O92" i="3"/>
  <c r="Q94" i="3"/>
  <c r="O94" i="3"/>
  <c r="Q100" i="3"/>
  <c r="Q98" i="3" s="1"/>
  <c r="N100" i="3"/>
  <c r="O75" i="3"/>
  <c r="N75" i="3"/>
  <c r="O67" i="3"/>
  <c r="N67" i="3"/>
  <c r="O66" i="3"/>
  <c r="N66" i="3"/>
  <c r="O65" i="3"/>
  <c r="O64" i="3" s="1"/>
  <c r="N65" i="3"/>
  <c r="N64" i="3" s="1"/>
  <c r="N63" i="3" s="1"/>
  <c r="Q26" i="3"/>
  <c r="Q25" i="3" s="1"/>
  <c r="O27" i="3"/>
  <c r="M53" i="3"/>
  <c r="V53" i="3" s="1"/>
  <c r="N35" i="3"/>
  <c r="O35" i="3"/>
  <c r="N45" i="3"/>
  <c r="Q45" i="3"/>
  <c r="O58" i="3"/>
  <c r="O71" i="3"/>
  <c r="Q66" i="3"/>
  <c r="N85" i="3"/>
  <c r="Q85" i="3"/>
  <c r="Q84" i="3" s="1"/>
  <c r="Q83" i="3" s="1"/>
  <c r="O50" i="3"/>
  <c r="O49" i="3" s="1"/>
  <c r="Q50" i="3"/>
  <c r="Q49" i="3" s="1"/>
  <c r="Q48" i="3" s="1"/>
  <c r="U53" i="3"/>
  <c r="N38" i="3"/>
  <c r="O38" i="3"/>
  <c r="Q37" i="3"/>
  <c r="Q34" i="3" s="1"/>
  <c r="N43" i="3"/>
  <c r="Q43" i="3"/>
  <c r="O60" i="3"/>
  <c r="Q67" i="3"/>
  <c r="T53" i="3"/>
  <c r="N54" i="3"/>
  <c r="O54" i="3"/>
  <c r="O81" i="3"/>
  <c r="O77" i="3"/>
  <c r="Q74" i="3"/>
  <c r="N87" i="3"/>
  <c r="O87" i="3"/>
  <c r="N95" i="3"/>
  <c r="N93" i="3"/>
  <c r="O95" i="3"/>
  <c r="N102" i="3"/>
  <c r="O102" i="3"/>
  <c r="O100" i="3"/>
  <c r="N29" i="3"/>
  <c r="N42" i="3"/>
  <c r="O46" i="3"/>
  <c r="O44" i="3"/>
  <c r="O41" i="3" s="1"/>
  <c r="Q42" i="3"/>
  <c r="N50" i="3"/>
  <c r="N49" i="3" s="1"/>
  <c r="V67" i="3"/>
  <c r="Q65" i="3"/>
  <c r="Q64" i="3" s="1"/>
  <c r="O29" i="3"/>
  <c r="N27" i="3"/>
  <c r="N36" i="3"/>
  <c r="N37" i="3"/>
  <c r="O36" i="3"/>
  <c r="N46" i="3"/>
  <c r="N44" i="3"/>
  <c r="O61" i="3"/>
  <c r="N77" i="3"/>
  <c r="N88" i="3"/>
  <c r="N86" i="3"/>
  <c r="O88" i="3"/>
  <c r="O86" i="3"/>
  <c r="N92" i="3"/>
  <c r="N94" i="3"/>
  <c r="N101" i="3"/>
  <c r="O101" i="3"/>
  <c r="V87" i="3"/>
  <c r="Q58" i="3"/>
  <c r="N60" i="3"/>
  <c r="N57" i="3" s="1"/>
  <c r="O59" i="3"/>
  <c r="Q59" i="3"/>
  <c r="O28" i="3"/>
  <c r="O30" i="3"/>
  <c r="N28" i="3"/>
  <c r="N30" i="3"/>
  <c r="T38" i="3" l="1"/>
  <c r="Q91" i="3"/>
  <c r="Q90" i="3" s="1"/>
  <c r="N98" i="3"/>
  <c r="O91" i="3"/>
  <c r="O90" i="3" s="1"/>
  <c r="O74" i="3"/>
  <c r="N74" i="3"/>
  <c r="N73" i="3" s="1"/>
  <c r="N97" i="3"/>
  <c r="O63" i="3"/>
  <c r="N48" i="3"/>
  <c r="T66" i="3"/>
  <c r="Q41" i="3"/>
  <c r="T67" i="3"/>
  <c r="T71" i="3"/>
  <c r="O84" i="3"/>
  <c r="O83" i="3" s="1"/>
  <c r="Q63" i="3"/>
  <c r="O98" i="3"/>
  <c r="O26" i="3"/>
  <c r="N84" i="3"/>
  <c r="N83" i="3" s="1"/>
  <c r="O34" i="3"/>
  <c r="Q57" i="3"/>
  <c r="T87" i="3"/>
  <c r="O57" i="3"/>
  <c r="O48" i="3"/>
  <c r="U17" i="3"/>
  <c r="U13" i="3" s="1"/>
  <c r="U12" i="3" s="1"/>
  <c r="V17" i="3"/>
  <c r="Q17" i="3"/>
  <c r="Q13" i="3" s="1"/>
  <c r="Q12" i="3" s="1"/>
  <c r="O18" i="3"/>
  <c r="O12" i="3" s="1"/>
  <c r="V198" i="3"/>
  <c r="V201" i="3"/>
  <c r="U198" i="3"/>
  <c r="U201" i="3"/>
  <c r="U197" i="3"/>
  <c r="U189" i="3"/>
  <c r="T18" i="3" l="1"/>
  <c r="T17" i="3"/>
  <c r="T13" i="3" s="1"/>
  <c r="V251" i="3"/>
  <c r="V250" i="3"/>
  <c r="U251" i="3"/>
  <c r="U250" i="3"/>
  <c r="N251" i="3"/>
  <c r="J251" i="3"/>
  <c r="J250" i="3"/>
  <c r="F261" i="3"/>
  <c r="H261" i="3"/>
  <c r="I261" i="3"/>
  <c r="N261" i="3"/>
  <c r="F222" i="3"/>
  <c r="H222" i="3"/>
  <c r="I222" i="3"/>
  <c r="J233" i="3"/>
  <c r="U233" i="3" s="1"/>
  <c r="F239" i="3"/>
  <c r="H239" i="3"/>
  <c r="I239" i="3"/>
  <c r="F231" i="3"/>
  <c r="H231" i="3"/>
  <c r="I231" i="3"/>
  <c r="F237" i="3"/>
  <c r="H237" i="3"/>
  <c r="I237" i="3"/>
  <c r="V235" i="3"/>
  <c r="U235" i="3"/>
  <c r="N235" i="3"/>
  <c r="J235" i="3"/>
  <c r="G237" i="3"/>
  <c r="V228" i="3"/>
  <c r="V226" i="3"/>
  <c r="U228" i="3"/>
  <c r="U226" i="3"/>
  <c r="N228" i="3"/>
  <c r="N226" i="3"/>
  <c r="J228" i="3"/>
  <c r="J226" i="3"/>
  <c r="N221" i="3"/>
  <c r="V219" i="3"/>
  <c r="V216" i="3"/>
  <c r="N216" i="3"/>
  <c r="J216" i="3"/>
  <c r="J219" i="3"/>
  <c r="G207" i="3"/>
  <c r="J198" i="3"/>
  <c r="J201" i="3"/>
  <c r="N209" i="3"/>
  <c r="F210" i="3"/>
  <c r="H210" i="3"/>
  <c r="I210" i="3"/>
  <c r="F208" i="3"/>
  <c r="H208" i="3"/>
  <c r="I208" i="3"/>
  <c r="V206" i="3"/>
  <c r="U206" i="3"/>
  <c r="N206" i="3"/>
  <c r="J206" i="3"/>
  <c r="F203" i="3"/>
  <c r="H203" i="3"/>
  <c r="I203" i="3"/>
  <c r="V197" i="3"/>
  <c r="J197" i="3"/>
  <c r="F194" i="3"/>
  <c r="H194" i="3"/>
  <c r="I194" i="3"/>
  <c r="V191" i="3"/>
  <c r="V192" i="3"/>
  <c r="V189" i="3"/>
  <c r="U191" i="3"/>
  <c r="U192" i="3"/>
  <c r="J191" i="3"/>
  <c r="J192" i="3"/>
  <c r="J189" i="3"/>
  <c r="V154" i="3"/>
  <c r="F155" i="3"/>
  <c r="H155" i="3"/>
  <c r="I155" i="3"/>
  <c r="J123" i="3"/>
  <c r="J124" i="3"/>
  <c r="J122" i="3"/>
  <c r="F182" i="3"/>
  <c r="H182" i="3"/>
  <c r="I182" i="3"/>
  <c r="V178" i="3"/>
  <c r="V177" i="3"/>
  <c r="U178" i="3"/>
  <c r="U177" i="3"/>
  <c r="F180" i="3"/>
  <c r="H180" i="3"/>
  <c r="I180" i="3"/>
  <c r="N177" i="3"/>
  <c r="N178" i="3"/>
  <c r="F167" i="3"/>
  <c r="H167" i="3"/>
  <c r="I167" i="3"/>
  <c r="F174" i="3"/>
  <c r="H174" i="3"/>
  <c r="I174" i="3"/>
  <c r="J170" i="3"/>
  <c r="J171" i="3"/>
  <c r="V171" i="3"/>
  <c r="V172" i="3"/>
  <c r="V170" i="3"/>
  <c r="U171" i="3"/>
  <c r="U172" i="3"/>
  <c r="U170" i="3"/>
  <c r="J172" i="3"/>
  <c r="N171" i="3"/>
  <c r="N170" i="3"/>
  <c r="N172" i="3"/>
  <c r="V163" i="3"/>
  <c r="V164" i="3"/>
  <c r="V165" i="3"/>
  <c r="V161" i="3"/>
  <c r="U163" i="3"/>
  <c r="U164" i="3"/>
  <c r="U165" i="3"/>
  <c r="U161" i="3"/>
  <c r="N163" i="3"/>
  <c r="N164" i="3"/>
  <c r="N165" i="3"/>
  <c r="N161" i="3"/>
  <c r="J161" i="3"/>
  <c r="J163" i="3"/>
  <c r="J164" i="3"/>
  <c r="J165" i="3"/>
  <c r="F157" i="3"/>
  <c r="H157" i="3"/>
  <c r="I157" i="3"/>
  <c r="V153" i="3"/>
  <c r="U153" i="3"/>
  <c r="N153" i="3"/>
  <c r="J153" i="3"/>
  <c r="F150" i="3"/>
  <c r="H150" i="3"/>
  <c r="I150" i="3"/>
  <c r="E150" i="3"/>
  <c r="V146" i="3"/>
  <c r="V147" i="3"/>
  <c r="V148" i="3"/>
  <c r="U146" i="3"/>
  <c r="U147" i="3"/>
  <c r="U148" i="3"/>
  <c r="J146" i="3"/>
  <c r="J147" i="3"/>
  <c r="J148" i="3"/>
  <c r="N146" i="3"/>
  <c r="N147" i="3"/>
  <c r="N148" i="3"/>
  <c r="H143" i="3"/>
  <c r="I143" i="3"/>
  <c r="F143" i="3"/>
  <c r="V138" i="3"/>
  <c r="V139" i="3"/>
  <c r="V141" i="3"/>
  <c r="U138" i="3"/>
  <c r="U139" i="3"/>
  <c r="U141" i="3"/>
  <c r="J138" i="3"/>
  <c r="J139" i="3"/>
  <c r="J141" i="3"/>
  <c r="N138" i="3"/>
  <c r="N139" i="3"/>
  <c r="N141" i="3"/>
  <c r="N123" i="3"/>
  <c r="N124" i="3"/>
  <c r="N122" i="3"/>
  <c r="N112" i="3"/>
  <c r="N113" i="3"/>
  <c r="N114" i="3"/>
  <c r="N117" i="3"/>
  <c r="N110" i="3"/>
  <c r="Q133" i="3"/>
  <c r="T133" i="3"/>
  <c r="T131" i="3"/>
  <c r="F126" i="3"/>
  <c r="V123" i="3"/>
  <c r="V124" i="3"/>
  <c r="V122" i="3"/>
  <c r="U123" i="3"/>
  <c r="U124" i="3"/>
  <c r="U122" i="3"/>
  <c r="V112" i="3"/>
  <c r="V113" i="3"/>
  <c r="V114" i="3"/>
  <c r="V117" i="3"/>
  <c r="V110" i="3"/>
  <c r="U112" i="3"/>
  <c r="U113" i="3"/>
  <c r="U114" i="3"/>
  <c r="U117" i="3"/>
  <c r="U110" i="3"/>
  <c r="J112" i="3"/>
  <c r="J113" i="3"/>
  <c r="J114" i="3"/>
  <c r="J117" i="3"/>
  <c r="J110" i="3"/>
  <c r="F119" i="3"/>
  <c r="L268" i="3"/>
  <c r="L267" i="3"/>
  <c r="T261" i="3"/>
  <c r="Q261" i="3"/>
  <c r="M261" i="3"/>
  <c r="E261" i="3"/>
  <c r="J260" i="3"/>
  <c r="V260" i="3" s="1"/>
  <c r="J252" i="3"/>
  <c r="V242" i="3"/>
  <c r="T246" i="3"/>
  <c r="Q246" i="3"/>
  <c r="T239" i="3"/>
  <c r="Q239" i="3"/>
  <c r="M239" i="3"/>
  <c r="E239" i="3"/>
  <c r="J238" i="3"/>
  <c r="V238" i="3" s="1"/>
  <c r="E237" i="3"/>
  <c r="J236" i="3"/>
  <c r="E231" i="3"/>
  <c r="T229" i="3"/>
  <c r="E222" i="3"/>
  <c r="J221" i="3"/>
  <c r="V221" i="3" s="1"/>
  <c r="T210" i="3"/>
  <c r="Q210" i="3"/>
  <c r="M210" i="3"/>
  <c r="E210" i="3"/>
  <c r="J209" i="3"/>
  <c r="V209" i="3" s="1"/>
  <c r="E208" i="3"/>
  <c r="J207" i="3"/>
  <c r="U207" i="3" s="1"/>
  <c r="E203" i="3"/>
  <c r="J202" i="3"/>
  <c r="E194" i="3"/>
  <c r="T182" i="3"/>
  <c r="Q182" i="3"/>
  <c r="M182" i="3"/>
  <c r="E182" i="3"/>
  <c r="J181" i="3"/>
  <c r="V181" i="3" s="1"/>
  <c r="E180" i="3"/>
  <c r="J179" i="3"/>
  <c r="E174" i="3"/>
  <c r="E167" i="3"/>
  <c r="T157" i="3"/>
  <c r="Q157" i="3"/>
  <c r="M157" i="3"/>
  <c r="E157" i="3"/>
  <c r="N156" i="3"/>
  <c r="J156" i="3"/>
  <c r="V156" i="3" s="1"/>
  <c r="V157" i="3" s="1"/>
  <c r="J151" i="3"/>
  <c r="U151" i="3" s="1"/>
  <c r="E143" i="3"/>
  <c r="U142" i="3"/>
  <c r="M133" i="3"/>
  <c r="I133" i="3"/>
  <c r="H133" i="3"/>
  <c r="J132" i="3"/>
  <c r="O132" i="3" s="1"/>
  <c r="V130" i="3"/>
  <c r="U130" i="3"/>
  <c r="I126" i="3"/>
  <c r="H126" i="3"/>
  <c r="E126" i="3"/>
  <c r="I119" i="3"/>
  <c r="H119" i="3"/>
  <c r="E119" i="3"/>
  <c r="M102" i="3"/>
  <c r="V102" i="3" s="1"/>
  <c r="M101" i="3"/>
  <c r="V101" i="3" s="1"/>
  <c r="M100" i="3"/>
  <c r="V100" i="3" s="1"/>
  <c r="O97" i="3"/>
  <c r="M99" i="3"/>
  <c r="M98" i="3"/>
  <c r="M97" i="3"/>
  <c r="M95" i="3"/>
  <c r="V95" i="3" s="1"/>
  <c r="M94" i="3"/>
  <c r="V94" i="3" s="1"/>
  <c r="M93" i="3"/>
  <c r="V93" i="3" s="1"/>
  <c r="M92" i="3"/>
  <c r="V92" i="3" s="1"/>
  <c r="M91" i="3"/>
  <c r="M90" i="3"/>
  <c r="M88" i="3"/>
  <c r="V88" i="3" s="1"/>
  <c r="M86" i="3"/>
  <c r="V86" i="3" s="1"/>
  <c r="M85" i="3"/>
  <c r="V85" i="3" s="1"/>
  <c r="M84" i="3"/>
  <c r="M83" i="3"/>
  <c r="M81" i="3"/>
  <c r="V81" i="3" s="1"/>
  <c r="M78" i="3"/>
  <c r="V78" i="3" s="1"/>
  <c r="M77" i="3"/>
  <c r="V77" i="3" s="1"/>
  <c r="V76" i="3"/>
  <c r="Q73" i="3"/>
  <c r="M75" i="3"/>
  <c r="V75" i="3" s="1"/>
  <c r="M73" i="3"/>
  <c r="M71" i="3"/>
  <c r="V71" i="3" s="1"/>
  <c r="M66" i="3"/>
  <c r="U66" i="3" s="1"/>
  <c r="M65" i="3"/>
  <c r="V65" i="3" s="1"/>
  <c r="M64" i="3"/>
  <c r="M63" i="3"/>
  <c r="N61" i="3"/>
  <c r="M61" i="3"/>
  <c r="U61" i="3" s="1"/>
  <c r="M60" i="3"/>
  <c r="V60" i="3" s="1"/>
  <c r="M59" i="3"/>
  <c r="U59" i="3" s="1"/>
  <c r="Q56" i="3"/>
  <c r="O56" i="3"/>
  <c r="M58" i="3"/>
  <c r="V58" i="3" s="1"/>
  <c r="M57" i="3"/>
  <c r="M56" i="3"/>
  <c r="M54" i="3"/>
  <c r="V54" i="3" s="1"/>
  <c r="M51" i="3"/>
  <c r="M50" i="3"/>
  <c r="V50" i="3" s="1"/>
  <c r="M49" i="3"/>
  <c r="M48" i="3"/>
  <c r="M46" i="3"/>
  <c r="V46" i="3" s="1"/>
  <c r="M45" i="3"/>
  <c r="V45" i="3" s="1"/>
  <c r="M44" i="3"/>
  <c r="V44" i="3" s="1"/>
  <c r="M43" i="3"/>
  <c r="V43" i="3" s="1"/>
  <c r="Q40" i="3"/>
  <c r="O40" i="3"/>
  <c r="M42" i="3"/>
  <c r="V42" i="3" s="1"/>
  <c r="M41" i="3"/>
  <c r="M40" i="3"/>
  <c r="M38" i="3"/>
  <c r="V38" i="3" s="1"/>
  <c r="M37" i="3"/>
  <c r="V37" i="3" s="1"/>
  <c r="M36" i="3"/>
  <c r="V36" i="3" s="1"/>
  <c r="O33" i="3"/>
  <c r="M35" i="3"/>
  <c r="V35" i="3" s="1"/>
  <c r="M34" i="3"/>
  <c r="M33" i="3"/>
  <c r="O31" i="3"/>
  <c r="O25" i="3" s="1"/>
  <c r="N31" i="3"/>
  <c r="M31" i="3"/>
  <c r="M30" i="3"/>
  <c r="V30" i="3" s="1"/>
  <c r="M29" i="3"/>
  <c r="V29" i="3" s="1"/>
  <c r="M28" i="3"/>
  <c r="V28" i="3" s="1"/>
  <c r="M27" i="3"/>
  <c r="M26" i="3"/>
  <c r="M25" i="3"/>
  <c r="O23" i="3"/>
  <c r="N23" i="3"/>
  <c r="M23" i="3"/>
  <c r="N21" i="3"/>
  <c r="Q21" i="3"/>
  <c r="Q20" i="3" s="1"/>
  <c r="M21" i="3"/>
  <c r="M20" i="3"/>
  <c r="H205" i="1"/>
  <c r="I205" i="1" s="1"/>
  <c r="J205" i="1" s="1"/>
  <c r="H204" i="1"/>
  <c r="H203" i="1"/>
  <c r="I203" i="1" s="1"/>
  <c r="J203" i="1" s="1"/>
  <c r="F202" i="1"/>
  <c r="E202" i="1"/>
  <c r="D202" i="1"/>
  <c r="O196" i="1"/>
  <c r="N196" i="1"/>
  <c r="K196" i="1"/>
  <c r="G196" i="1"/>
  <c r="F196" i="1"/>
  <c r="E196" i="1"/>
  <c r="Q195" i="1"/>
  <c r="P195" i="1"/>
  <c r="M195" i="1"/>
  <c r="L195" i="1" s="1"/>
  <c r="M194" i="1"/>
  <c r="L194" i="1" s="1"/>
  <c r="H194" i="1"/>
  <c r="P194" i="1" s="1"/>
  <c r="Q192" i="1"/>
  <c r="Q193" i="1" s="1"/>
  <c r="P192" i="1"/>
  <c r="P193" i="1" s="1"/>
  <c r="O192" i="1"/>
  <c r="O193" i="1" s="1"/>
  <c r="N192" i="1"/>
  <c r="N193" i="1" s="1"/>
  <c r="M192" i="1"/>
  <c r="M193" i="1" s="1"/>
  <c r="O190" i="1"/>
  <c r="N190" i="1"/>
  <c r="M190" i="1"/>
  <c r="H190" i="1"/>
  <c r="Q190" i="1" s="1"/>
  <c r="M189" i="1"/>
  <c r="L189" i="1" s="1"/>
  <c r="H189" i="1"/>
  <c r="P189" i="1" s="1"/>
  <c r="Q188" i="1"/>
  <c r="P188" i="1"/>
  <c r="O188" i="1"/>
  <c r="N188" i="1"/>
  <c r="M188" i="1"/>
  <c r="Q187" i="1"/>
  <c r="P187" i="1"/>
  <c r="O187" i="1"/>
  <c r="N187" i="1"/>
  <c r="M187" i="1"/>
  <c r="Q185" i="1"/>
  <c r="P185" i="1"/>
  <c r="M185" i="1"/>
  <c r="L185" i="1" s="1"/>
  <c r="P184" i="1"/>
  <c r="Q184" i="1" s="1"/>
  <c r="O184" i="1"/>
  <c r="N184" i="1"/>
  <c r="M184" i="1"/>
  <c r="Q183" i="1"/>
  <c r="P183" i="1"/>
  <c r="O183" i="1"/>
  <c r="N183" i="1"/>
  <c r="M183" i="1"/>
  <c r="O181" i="1"/>
  <c r="N181" i="1"/>
  <c r="K181" i="1"/>
  <c r="G181" i="1"/>
  <c r="F181" i="1"/>
  <c r="E181" i="1"/>
  <c r="Q180" i="1"/>
  <c r="P180" i="1"/>
  <c r="I180" i="1"/>
  <c r="M180" i="1" s="1"/>
  <c r="L180" i="1" s="1"/>
  <c r="M179" i="1"/>
  <c r="H179" i="1"/>
  <c r="P179" i="1" s="1"/>
  <c r="G178" i="1"/>
  <c r="F178" i="1"/>
  <c r="E178" i="1"/>
  <c r="I177" i="1"/>
  <c r="H177" i="1" s="1"/>
  <c r="Q176" i="1"/>
  <c r="P176" i="1"/>
  <c r="M176" i="1"/>
  <c r="L176" i="1" s="1"/>
  <c r="O175" i="1"/>
  <c r="O178" i="1" s="1"/>
  <c r="N175" i="1"/>
  <c r="N178" i="1" s="1"/>
  <c r="I175" i="1"/>
  <c r="H175" i="1" s="1"/>
  <c r="G174" i="1"/>
  <c r="F174" i="1"/>
  <c r="E174" i="1"/>
  <c r="Q173" i="1"/>
  <c r="P173" i="1"/>
  <c r="I173" i="1"/>
  <c r="M173" i="1" s="1"/>
  <c r="L173" i="1" s="1"/>
  <c r="O172" i="1"/>
  <c r="N172" i="1"/>
  <c r="I172" i="1"/>
  <c r="H172" i="1" s="1"/>
  <c r="Q171" i="1"/>
  <c r="P171" i="1"/>
  <c r="M171" i="1"/>
  <c r="L171" i="1" s="1"/>
  <c r="O170" i="1"/>
  <c r="N170" i="1"/>
  <c r="I170" i="1"/>
  <c r="H170" i="1" s="1"/>
  <c r="O169" i="1"/>
  <c r="N169" i="1"/>
  <c r="I169" i="1"/>
  <c r="H169" i="1" s="1"/>
  <c r="G168" i="1"/>
  <c r="F168" i="1"/>
  <c r="E168" i="1"/>
  <c r="M167" i="1"/>
  <c r="L167" i="1" s="1"/>
  <c r="H167" i="1"/>
  <c r="Q167" i="1" s="1"/>
  <c r="O166" i="1"/>
  <c r="N166" i="1"/>
  <c r="I166" i="1"/>
  <c r="H166" i="1" s="1"/>
  <c r="Q165" i="1"/>
  <c r="P165" i="1"/>
  <c r="M165" i="1"/>
  <c r="L165" i="1" s="1"/>
  <c r="O164" i="1"/>
  <c r="N164" i="1"/>
  <c r="I164" i="1"/>
  <c r="H164" i="1" s="1"/>
  <c r="O162" i="1"/>
  <c r="N162" i="1"/>
  <c r="K162" i="1"/>
  <c r="G162" i="1"/>
  <c r="F162" i="1"/>
  <c r="E162" i="1"/>
  <c r="Q161" i="1"/>
  <c r="P161" i="1"/>
  <c r="I161" i="1"/>
  <c r="M161" i="1" s="1"/>
  <c r="M160" i="1"/>
  <c r="L160" i="1" s="1"/>
  <c r="H160" i="1"/>
  <c r="Q160" i="1" s="1"/>
  <c r="Q162" i="1" s="1"/>
  <c r="G159" i="1"/>
  <c r="F159" i="1"/>
  <c r="E159" i="1"/>
  <c r="I158" i="1"/>
  <c r="H158" i="1" s="1"/>
  <c r="Q158" i="1" s="1"/>
  <c r="Q157" i="1"/>
  <c r="P157" i="1"/>
  <c r="M157" i="1"/>
  <c r="L157" i="1" s="1"/>
  <c r="O156" i="1"/>
  <c r="O159" i="1" s="1"/>
  <c r="N156" i="1"/>
  <c r="N159" i="1" s="1"/>
  <c r="I156" i="1"/>
  <c r="M156" i="1" s="1"/>
  <c r="G155" i="1"/>
  <c r="F155" i="1"/>
  <c r="E155" i="1"/>
  <c r="O154" i="1"/>
  <c r="N154" i="1"/>
  <c r="I154" i="1"/>
  <c r="H154" i="1" s="1"/>
  <c r="Q153" i="1"/>
  <c r="P153" i="1"/>
  <c r="M153" i="1"/>
  <c r="L153" i="1" s="1"/>
  <c r="O152" i="1"/>
  <c r="N152" i="1"/>
  <c r="N155" i="1" s="1"/>
  <c r="I152" i="1"/>
  <c r="H152" i="1" s="1"/>
  <c r="G151" i="1"/>
  <c r="F151" i="1"/>
  <c r="E151" i="1"/>
  <c r="O150" i="1"/>
  <c r="N150" i="1"/>
  <c r="I150" i="1"/>
  <c r="M150" i="1" s="1"/>
  <c r="Q149" i="1"/>
  <c r="P149" i="1"/>
  <c r="M149" i="1"/>
  <c r="L149" i="1" s="1"/>
  <c r="O148" i="1"/>
  <c r="N148" i="1"/>
  <c r="N151" i="1" s="1"/>
  <c r="I148" i="1"/>
  <c r="M148" i="1" s="1"/>
  <c r="O146" i="1"/>
  <c r="N146" i="1"/>
  <c r="K146" i="1"/>
  <c r="G146" i="1"/>
  <c r="F146" i="1"/>
  <c r="E146" i="1"/>
  <c r="Q145" i="1"/>
  <c r="P145" i="1"/>
  <c r="I145" i="1"/>
  <c r="M145" i="1" s="1"/>
  <c r="L145" i="1" s="1"/>
  <c r="M144" i="1"/>
  <c r="H144" i="1"/>
  <c r="P144" i="1" s="1"/>
  <c r="G143" i="1"/>
  <c r="F143" i="1"/>
  <c r="E143" i="1"/>
  <c r="I142" i="1"/>
  <c r="H142" i="1" s="1"/>
  <c r="P142" i="1" s="1"/>
  <c r="Q141" i="1"/>
  <c r="P141" i="1"/>
  <c r="M141" i="1"/>
  <c r="L141" i="1" s="1"/>
  <c r="O140" i="1"/>
  <c r="O143" i="1" s="1"/>
  <c r="N140" i="1"/>
  <c r="N143" i="1" s="1"/>
  <c r="I140" i="1"/>
  <c r="H140" i="1" s="1"/>
  <c r="P140" i="1" s="1"/>
  <c r="G139" i="1"/>
  <c r="F139" i="1"/>
  <c r="E139" i="1"/>
  <c r="O138" i="1"/>
  <c r="N138" i="1"/>
  <c r="I138" i="1"/>
  <c r="M138" i="1" s="1"/>
  <c r="Q137" i="1"/>
  <c r="P137" i="1"/>
  <c r="M137" i="1"/>
  <c r="L137" i="1" s="1"/>
  <c r="O136" i="1"/>
  <c r="O139" i="1" s="1"/>
  <c r="N136" i="1"/>
  <c r="I136" i="1"/>
  <c r="M136" i="1" s="1"/>
  <c r="G135" i="1"/>
  <c r="F135" i="1"/>
  <c r="E135" i="1"/>
  <c r="O134" i="1"/>
  <c r="N134" i="1"/>
  <c r="I134" i="1"/>
  <c r="H134" i="1" s="1"/>
  <c r="P134" i="1" s="1"/>
  <c r="Q133" i="1"/>
  <c r="P133" i="1"/>
  <c r="M133" i="1"/>
  <c r="L133" i="1" s="1"/>
  <c r="O132" i="1"/>
  <c r="O135" i="1" s="1"/>
  <c r="N132" i="1"/>
  <c r="N135" i="1" s="1"/>
  <c r="I132" i="1"/>
  <c r="H132" i="1" s="1"/>
  <c r="P132" i="1" s="1"/>
  <c r="O130" i="1"/>
  <c r="N130" i="1"/>
  <c r="K130" i="1"/>
  <c r="G130" i="1"/>
  <c r="F130" i="1"/>
  <c r="E130" i="1"/>
  <c r="Q129" i="1"/>
  <c r="P129" i="1"/>
  <c r="I129" i="1"/>
  <c r="M129" i="1" s="1"/>
  <c r="M128" i="1"/>
  <c r="L128" i="1" s="1"/>
  <c r="H128" i="1"/>
  <c r="Q128" i="1" s="1"/>
  <c r="Q130" i="1" s="1"/>
  <c r="G127" i="1"/>
  <c r="F127" i="1"/>
  <c r="E127" i="1"/>
  <c r="Q126" i="1"/>
  <c r="P126" i="1"/>
  <c r="Q125" i="1"/>
  <c r="P125" i="1"/>
  <c r="M125" i="1"/>
  <c r="L125" i="1" s="1"/>
  <c r="O124" i="1"/>
  <c r="O127" i="1" s="1"/>
  <c r="N124" i="1"/>
  <c r="N127" i="1" s="1"/>
  <c r="I124" i="1"/>
  <c r="M124" i="1" s="1"/>
  <c r="G123" i="1"/>
  <c r="F123" i="1"/>
  <c r="E123" i="1"/>
  <c r="O122" i="1"/>
  <c r="N122" i="1"/>
  <c r="I122" i="1"/>
  <c r="H122" i="1" s="1"/>
  <c r="P122" i="1" s="1"/>
  <c r="Q121" i="1"/>
  <c r="P121" i="1"/>
  <c r="M121" i="1"/>
  <c r="L121" i="1" s="1"/>
  <c r="O120" i="1"/>
  <c r="N120" i="1"/>
  <c r="I120" i="1"/>
  <c r="H120" i="1" s="1"/>
  <c r="P120" i="1" s="1"/>
  <c r="P123" i="1" s="1"/>
  <c r="G119" i="1"/>
  <c r="F119" i="1"/>
  <c r="E119" i="1"/>
  <c r="O118" i="1"/>
  <c r="N118" i="1"/>
  <c r="I118" i="1"/>
  <c r="M118" i="1" s="1"/>
  <c r="Q117" i="1"/>
  <c r="P117" i="1"/>
  <c r="M117" i="1"/>
  <c r="L117" i="1" s="1"/>
  <c r="O116" i="1"/>
  <c r="N116" i="1"/>
  <c r="I116" i="1"/>
  <c r="M116" i="1" s="1"/>
  <c r="O114" i="1"/>
  <c r="N114" i="1"/>
  <c r="K114" i="1"/>
  <c r="G114" i="1"/>
  <c r="F114" i="1"/>
  <c r="E114" i="1"/>
  <c r="Q113" i="1"/>
  <c r="P113" i="1"/>
  <c r="I113" i="1"/>
  <c r="M113" i="1" s="1"/>
  <c r="L113" i="1" s="1"/>
  <c r="M112" i="1"/>
  <c r="H112" i="1"/>
  <c r="P112" i="1" s="1"/>
  <c r="G111" i="1"/>
  <c r="F111" i="1"/>
  <c r="E111" i="1"/>
  <c r="Q110" i="1"/>
  <c r="P110" i="1"/>
  <c r="Q109" i="1"/>
  <c r="P109" i="1"/>
  <c r="M109" i="1"/>
  <c r="L109" i="1" s="1"/>
  <c r="O108" i="1"/>
  <c r="O111" i="1" s="1"/>
  <c r="N108" i="1"/>
  <c r="N111" i="1" s="1"/>
  <c r="I108" i="1"/>
  <c r="H108" i="1" s="1"/>
  <c r="P108" i="1" s="1"/>
  <c r="G107" i="1"/>
  <c r="F107" i="1"/>
  <c r="E107" i="1"/>
  <c r="Q106" i="1"/>
  <c r="P106" i="1"/>
  <c r="Q105" i="1"/>
  <c r="P105" i="1"/>
  <c r="M105" i="1"/>
  <c r="L105" i="1" s="1"/>
  <c r="O104" i="1"/>
  <c r="O107" i="1" s="1"/>
  <c r="N104" i="1"/>
  <c r="N107" i="1" s="1"/>
  <c r="I104" i="1"/>
  <c r="M104" i="1" s="1"/>
  <c r="G103" i="1"/>
  <c r="F103" i="1"/>
  <c r="E103" i="1"/>
  <c r="O102" i="1"/>
  <c r="N102" i="1"/>
  <c r="I102" i="1"/>
  <c r="H102" i="1" s="1"/>
  <c r="P102" i="1" s="1"/>
  <c r="Q101" i="1"/>
  <c r="P101" i="1"/>
  <c r="M101" i="1"/>
  <c r="L101" i="1" s="1"/>
  <c r="O100" i="1"/>
  <c r="N100" i="1"/>
  <c r="N103" i="1" s="1"/>
  <c r="I100" i="1"/>
  <c r="H100" i="1" s="1"/>
  <c r="P100" i="1" s="1"/>
  <c r="P103" i="1" s="1"/>
  <c r="Q207" i="3" l="1"/>
  <c r="O207" i="3"/>
  <c r="N20" i="3"/>
  <c r="V27" i="3"/>
  <c r="V26" i="3" s="1"/>
  <c r="U27" i="3"/>
  <c r="V23" i="3"/>
  <c r="U23" i="3"/>
  <c r="V99" i="3"/>
  <c r="V98" i="3" s="1"/>
  <c r="V97" i="3" s="1"/>
  <c r="U99" i="3"/>
  <c r="V132" i="3"/>
  <c r="V133" i="3" s="1"/>
  <c r="O133" i="3"/>
  <c r="V74" i="3"/>
  <c r="V73" i="3" s="1"/>
  <c r="T31" i="3"/>
  <c r="V14" i="3"/>
  <c r="V13" i="3" s="1"/>
  <c r="U51" i="3"/>
  <c r="V51" i="3"/>
  <c r="V49" i="3" s="1"/>
  <c r="V48" i="3" s="1"/>
  <c r="V31" i="3"/>
  <c r="U31" i="3"/>
  <c r="Q254" i="3"/>
  <c r="N174" i="1"/>
  <c r="M186" i="1"/>
  <c r="O186" i="1"/>
  <c r="O230" i="3"/>
  <c r="V182" i="3"/>
  <c r="V34" i="3"/>
  <c r="V33" i="3" s="1"/>
  <c r="V91" i="3"/>
  <c r="V90" i="3" s="1"/>
  <c r="V239" i="3"/>
  <c r="O246" i="3"/>
  <c r="N246" i="3" s="1"/>
  <c r="V246" i="3"/>
  <c r="G222" i="3"/>
  <c r="T126" i="3"/>
  <c r="Q126" i="3"/>
  <c r="V41" i="3"/>
  <c r="V40" i="3" s="1"/>
  <c r="V84" i="3"/>
  <c r="V83" i="3" s="1"/>
  <c r="N250" i="3"/>
  <c r="U246" i="3"/>
  <c r="G261" i="3"/>
  <c r="N219" i="3"/>
  <c r="N198" i="3"/>
  <c r="N191" i="3"/>
  <c r="Q222" i="3"/>
  <c r="T254" i="3"/>
  <c r="T262" i="3" s="1"/>
  <c r="N189" i="3"/>
  <c r="N201" i="3"/>
  <c r="N192" i="3"/>
  <c r="T222" i="3"/>
  <c r="Q237" i="3"/>
  <c r="G231" i="3"/>
  <c r="N197" i="3"/>
  <c r="V261" i="3"/>
  <c r="V233" i="3"/>
  <c r="G239" i="3"/>
  <c r="O73" i="3"/>
  <c r="Q97" i="3"/>
  <c r="O261" i="3"/>
  <c r="O208" i="3"/>
  <c r="N242" i="3"/>
  <c r="N248" i="3"/>
  <c r="G182" i="3"/>
  <c r="G157" i="3"/>
  <c r="T194" i="3"/>
  <c r="G194" i="3"/>
  <c r="G203" i="3"/>
  <c r="G208" i="3"/>
  <c r="Q208" i="3"/>
  <c r="T208" i="3"/>
  <c r="G155" i="3"/>
  <c r="G174" i="3"/>
  <c r="G210" i="3"/>
  <c r="Q167" i="3"/>
  <c r="U154" i="3"/>
  <c r="U155" i="3" s="1"/>
  <c r="J154" i="3"/>
  <c r="G143" i="3"/>
  <c r="N26" i="3"/>
  <c r="N25" i="3" s="1"/>
  <c r="O155" i="1"/>
  <c r="N168" i="1"/>
  <c r="L187" i="1"/>
  <c r="G180" i="3"/>
  <c r="O103" i="1"/>
  <c r="O151" i="1"/>
  <c r="T50" i="3"/>
  <c r="T49" i="3" s="1"/>
  <c r="O167" i="3"/>
  <c r="T180" i="3"/>
  <c r="G131" i="3"/>
  <c r="T167" i="3"/>
  <c r="Q174" i="3"/>
  <c r="Q180" i="3"/>
  <c r="Q33" i="3"/>
  <c r="P111" i="1"/>
  <c r="O119" i="1"/>
  <c r="P143" i="1"/>
  <c r="O168" i="1"/>
  <c r="T59" i="3"/>
  <c r="U204" i="3"/>
  <c r="U208" i="3" s="1"/>
  <c r="T231" i="3"/>
  <c r="Q119" i="3"/>
  <c r="Q150" i="3"/>
  <c r="Q131" i="3"/>
  <c r="T29" i="3"/>
  <c r="T35" i="3"/>
  <c r="T37" i="3"/>
  <c r="T78" i="3"/>
  <c r="T88" i="3"/>
  <c r="T92" i="3"/>
  <c r="T94" i="3"/>
  <c r="T101" i="3"/>
  <c r="J135" i="3"/>
  <c r="U135" i="3" s="1"/>
  <c r="U143" i="3" s="1"/>
  <c r="U156" i="3"/>
  <c r="U157" i="3" s="1"/>
  <c r="N166" i="3"/>
  <c r="N224" i="3"/>
  <c r="N229" i="3"/>
  <c r="T100" i="3"/>
  <c r="T21" i="3"/>
  <c r="T28" i="3"/>
  <c r="T36" i="3"/>
  <c r="T42" i="3"/>
  <c r="T44" i="3"/>
  <c r="T46" i="3"/>
  <c r="T60" i="3"/>
  <c r="T75" i="3"/>
  <c r="T77" i="3"/>
  <c r="T81" i="3"/>
  <c r="T86" i="3"/>
  <c r="T95" i="3"/>
  <c r="T99" i="3"/>
  <c r="T23" i="3"/>
  <c r="T27" i="3"/>
  <c r="U28" i="3"/>
  <c r="T30" i="3"/>
  <c r="U37" i="3"/>
  <c r="U42" i="3"/>
  <c r="T45" i="3"/>
  <c r="U46" i="3"/>
  <c r="T54" i="3"/>
  <c r="T58" i="3"/>
  <c r="T61" i="3"/>
  <c r="V61" i="3"/>
  <c r="U65" i="3"/>
  <c r="U64" i="3" s="1"/>
  <c r="T76" i="3"/>
  <c r="U77" i="3"/>
  <c r="T85" i="3"/>
  <c r="U86" i="3"/>
  <c r="U92" i="3"/>
  <c r="U101" i="3"/>
  <c r="J120" i="3"/>
  <c r="U120" i="3" s="1"/>
  <c r="U126" i="3" s="1"/>
  <c r="J168" i="3"/>
  <c r="U168" i="3" s="1"/>
  <c r="J173" i="3"/>
  <c r="U173" i="3" s="1"/>
  <c r="J184" i="3"/>
  <c r="U184" i="3" s="1"/>
  <c r="J193" i="3"/>
  <c r="U193" i="3" s="1"/>
  <c r="U209" i="3"/>
  <c r="U221" i="3"/>
  <c r="U30" i="3"/>
  <c r="U35" i="3"/>
  <c r="T43" i="3"/>
  <c r="U44" i="3"/>
  <c r="U60" i="3"/>
  <c r="U75" i="3"/>
  <c r="U81" i="3"/>
  <c r="T93" i="3"/>
  <c r="U94" i="3"/>
  <c r="T102" i="3"/>
  <c r="N247" i="3"/>
  <c r="O157" i="3"/>
  <c r="N157" i="3"/>
  <c r="V179" i="3"/>
  <c r="U179" i="3"/>
  <c r="V236" i="3"/>
  <c r="U236" i="3"/>
  <c r="O20" i="3"/>
  <c r="U29" i="3"/>
  <c r="N34" i="3"/>
  <c r="N33" i="3" s="1"/>
  <c r="U36" i="3"/>
  <c r="N41" i="3"/>
  <c r="N40" i="3" s="1"/>
  <c r="U43" i="3"/>
  <c r="U45" i="3"/>
  <c r="U50" i="3"/>
  <c r="U54" i="3"/>
  <c r="N56" i="3"/>
  <c r="U58" i="3"/>
  <c r="V59" i="3"/>
  <c r="V57" i="3" s="1"/>
  <c r="V66" i="3"/>
  <c r="V64" i="3" s="1"/>
  <c r="T65" i="3"/>
  <c r="U71" i="3"/>
  <c r="U76" i="3"/>
  <c r="U78" i="3"/>
  <c r="U85" i="3"/>
  <c r="U88" i="3"/>
  <c r="N91" i="3"/>
  <c r="N90" i="3" s="1"/>
  <c r="U93" i="3"/>
  <c r="U95" i="3"/>
  <c r="U100" i="3"/>
  <c r="U102" i="3"/>
  <c r="J118" i="3"/>
  <c r="J127" i="3"/>
  <c r="U127" i="3" s="1"/>
  <c r="N132" i="3"/>
  <c r="U132" i="3"/>
  <c r="U133" i="3" s="1"/>
  <c r="V142" i="3"/>
  <c r="J149" i="3"/>
  <c r="V151" i="3"/>
  <c r="V155" i="3" s="1"/>
  <c r="J159" i="3"/>
  <c r="J166" i="3"/>
  <c r="J175" i="3"/>
  <c r="N181" i="3"/>
  <c r="U181" i="3"/>
  <c r="U182" i="3" s="1"/>
  <c r="J195" i="3"/>
  <c r="V207" i="3"/>
  <c r="J212" i="3"/>
  <c r="J220" i="3"/>
  <c r="J223" i="3"/>
  <c r="J224" i="3"/>
  <c r="U224" i="3" s="1"/>
  <c r="J229" i="3"/>
  <c r="J232" i="3"/>
  <c r="U232" i="3" s="1"/>
  <c r="N238" i="3"/>
  <c r="U238" i="3"/>
  <c r="U239" i="3" s="1"/>
  <c r="U260" i="3"/>
  <c r="U261" i="3" s="1"/>
  <c r="H104" i="1"/>
  <c r="Q104" i="1" s="1"/>
  <c r="Q107" i="1" s="1"/>
  <c r="P114" i="1"/>
  <c r="H118" i="1"/>
  <c r="Q118" i="1" s="1"/>
  <c r="N123" i="1"/>
  <c r="M122" i="1"/>
  <c r="L122" i="1" s="1"/>
  <c r="M127" i="1"/>
  <c r="L136" i="1"/>
  <c r="P146" i="1"/>
  <c r="M132" i="1"/>
  <c r="H136" i="1"/>
  <c r="Q136" i="1" s="1"/>
  <c r="L138" i="1"/>
  <c r="N191" i="1"/>
  <c r="L188" i="1"/>
  <c r="L190" i="1"/>
  <c r="H202" i="1"/>
  <c r="I204" i="1"/>
  <c r="J204" i="1" s="1"/>
  <c r="J202" i="1" s="1"/>
  <c r="L116" i="1"/>
  <c r="L150" i="1"/>
  <c r="H156" i="1"/>
  <c r="Q156" i="1" s="1"/>
  <c r="Q159" i="1" s="1"/>
  <c r="P181" i="1"/>
  <c r="N186" i="1"/>
  <c r="L186" i="1" s="1"/>
  <c r="L184" i="1"/>
  <c r="L192" i="1"/>
  <c r="L193" i="1" s="1"/>
  <c r="P196" i="1"/>
  <c r="N115" i="1"/>
  <c r="L104" i="1"/>
  <c r="L107" i="1" s="1"/>
  <c r="M108" i="1"/>
  <c r="M111" i="1" s="1"/>
  <c r="H116" i="1"/>
  <c r="N119" i="1"/>
  <c r="N131" i="1" s="1"/>
  <c r="L118" i="1"/>
  <c r="M120" i="1"/>
  <c r="M123" i="1" s="1"/>
  <c r="O123" i="1"/>
  <c r="H124" i="1"/>
  <c r="Q124" i="1" s="1"/>
  <c r="Q127" i="1" s="1"/>
  <c r="L124" i="1"/>
  <c r="L127" i="1" s="1"/>
  <c r="P128" i="1"/>
  <c r="P130" i="1" s="1"/>
  <c r="P135" i="1"/>
  <c r="M134" i="1"/>
  <c r="L134" i="1" s="1"/>
  <c r="M139" i="1"/>
  <c r="N139" i="1"/>
  <c r="N147" i="1" s="1"/>
  <c r="H138" i="1"/>
  <c r="Q138" i="1" s="1"/>
  <c r="H148" i="1"/>
  <c r="Q148" i="1" s="1"/>
  <c r="N163" i="1"/>
  <c r="H150" i="1"/>
  <c r="Q150" i="1" s="1"/>
  <c r="P160" i="1"/>
  <c r="P162" i="1" s="1"/>
  <c r="P167" i="1"/>
  <c r="O174" i="1"/>
  <c r="O182" i="1" s="1"/>
  <c r="M181" i="1"/>
  <c r="L183" i="1"/>
  <c r="N197" i="1"/>
  <c r="P186" i="1"/>
  <c r="M191" i="1"/>
  <c r="O191" i="1"/>
  <c r="O197" i="1" s="1"/>
  <c r="P190" i="1"/>
  <c r="P191" i="1" s="1"/>
  <c r="L196" i="1"/>
  <c r="P104" i="1"/>
  <c r="P107" i="1" s="1"/>
  <c r="P115" i="1" s="1"/>
  <c r="O147" i="1"/>
  <c r="L139" i="1"/>
  <c r="N182" i="1"/>
  <c r="L129" i="1"/>
  <c r="L130" i="1" s="1"/>
  <c r="M130" i="1"/>
  <c r="L108" i="1"/>
  <c r="L111" i="1" s="1"/>
  <c r="M114" i="1"/>
  <c r="L112" i="1"/>
  <c r="L114" i="1" s="1"/>
  <c r="L132" i="1"/>
  <c r="P152" i="1"/>
  <c r="Q152" i="1"/>
  <c r="P154" i="1"/>
  <c r="Q154" i="1"/>
  <c r="M159" i="1"/>
  <c r="L156" i="1"/>
  <c r="L159" i="1" s="1"/>
  <c r="P164" i="1"/>
  <c r="Q164" i="1"/>
  <c r="P166" i="1"/>
  <c r="Q166" i="1"/>
  <c r="P169" i="1"/>
  <c r="Q169" i="1"/>
  <c r="P175" i="1"/>
  <c r="Q175" i="1"/>
  <c r="P177" i="1"/>
  <c r="Q177" i="1"/>
  <c r="M146" i="1"/>
  <c r="L144" i="1"/>
  <c r="L146" i="1" s="1"/>
  <c r="M151" i="1"/>
  <c r="L148" i="1"/>
  <c r="L161" i="1"/>
  <c r="L162" i="1" s="1"/>
  <c r="M162" i="1"/>
  <c r="P170" i="1"/>
  <c r="Q170" i="1"/>
  <c r="P172" i="1"/>
  <c r="Q172" i="1"/>
  <c r="Q102" i="1"/>
  <c r="M107" i="1"/>
  <c r="M119" i="1"/>
  <c r="Q140" i="1"/>
  <c r="Q144" i="1"/>
  <c r="Q146" i="1" s="1"/>
  <c r="M100" i="1"/>
  <c r="O115" i="1"/>
  <c r="M102" i="1"/>
  <c r="L102" i="1" s="1"/>
  <c r="Q108" i="1"/>
  <c r="Q111" i="1" s="1"/>
  <c r="Q112" i="1"/>
  <c r="Q114" i="1" s="1"/>
  <c r="Q120" i="1"/>
  <c r="Q123" i="1" s="1"/>
  <c r="Q122" i="1"/>
  <c r="P124" i="1"/>
  <c r="P127" i="1" s="1"/>
  <c r="Q132" i="1"/>
  <c r="Q134" i="1"/>
  <c r="P138" i="1"/>
  <c r="M140" i="1"/>
  <c r="Q142" i="1"/>
  <c r="O163" i="1"/>
  <c r="Q186" i="1"/>
  <c r="Q100" i="1"/>
  <c r="M152" i="1"/>
  <c r="M154" i="1"/>
  <c r="L154" i="1" s="1"/>
  <c r="P158" i="1"/>
  <c r="M164" i="1"/>
  <c r="M166" i="1"/>
  <c r="L166" i="1" s="1"/>
  <c r="M169" i="1"/>
  <c r="M170" i="1"/>
  <c r="L170" i="1" s="1"/>
  <c r="M172" i="1"/>
  <c r="L172" i="1" s="1"/>
  <c r="M175" i="1"/>
  <c r="Q179" i="1"/>
  <c r="Q181" i="1" s="1"/>
  <c r="Q189" i="1"/>
  <c r="Q191" i="1" s="1"/>
  <c r="Q194" i="1"/>
  <c r="Q196" i="1" s="1"/>
  <c r="M196" i="1"/>
  <c r="M197" i="1" s="1"/>
  <c r="L179" i="1"/>
  <c r="L181" i="1" s="1"/>
  <c r="Q104" i="3" l="1"/>
  <c r="P148" i="1"/>
  <c r="T98" i="3"/>
  <c r="T97" i="3" s="1"/>
  <c r="U108" i="3"/>
  <c r="V108" i="3"/>
  <c r="U74" i="3"/>
  <c r="U73" i="3" s="1"/>
  <c r="T74" i="3"/>
  <c r="T73" i="3" s="1"/>
  <c r="T64" i="3"/>
  <c r="T63" i="3" s="1"/>
  <c r="N220" i="3"/>
  <c r="N223" i="3"/>
  <c r="V63" i="3"/>
  <c r="U57" i="3"/>
  <c r="U56" i="3" s="1"/>
  <c r="V204" i="3"/>
  <c r="V208" i="3" s="1"/>
  <c r="O182" i="3"/>
  <c r="U49" i="3"/>
  <c r="U48" i="3" s="1"/>
  <c r="N182" i="3"/>
  <c r="V25" i="3"/>
  <c r="T12" i="3"/>
  <c r="N212" i="3"/>
  <c r="T48" i="3"/>
  <c r="T155" i="3"/>
  <c r="Q231" i="3"/>
  <c r="Q240" i="3" s="1"/>
  <c r="V12" i="3"/>
  <c r="O222" i="3"/>
  <c r="N233" i="3"/>
  <c r="O237" i="3"/>
  <c r="N232" i="3"/>
  <c r="N237" i="3" s="1"/>
  <c r="O239" i="3"/>
  <c r="N154" i="3"/>
  <c r="U84" i="3"/>
  <c r="U83" i="3" s="1"/>
  <c r="T84" i="3"/>
  <c r="T83" i="3" s="1"/>
  <c r="T237" i="3"/>
  <c r="T240" i="3" s="1"/>
  <c r="U26" i="3"/>
  <c r="U25" i="3" s="1"/>
  <c r="N118" i="3"/>
  <c r="N119" i="3" s="1"/>
  <c r="N120" i="3"/>
  <c r="O126" i="3"/>
  <c r="U98" i="3"/>
  <c r="U34" i="3"/>
  <c r="U33" i="3" s="1"/>
  <c r="U63" i="3"/>
  <c r="U41" i="3"/>
  <c r="U40" i="3" s="1"/>
  <c r="Q134" i="3"/>
  <c r="Q155" i="3"/>
  <c r="L135" i="1"/>
  <c r="U91" i="3"/>
  <c r="U90" i="3" s="1"/>
  <c r="T57" i="3"/>
  <c r="T56" i="3" s="1"/>
  <c r="T26" i="3"/>
  <c r="T25" i="3" s="1"/>
  <c r="T41" i="3"/>
  <c r="T40" i="3" s="1"/>
  <c r="T91" i="3"/>
  <c r="T90" i="3" s="1"/>
  <c r="T34" i="3"/>
  <c r="T33" i="3" s="1"/>
  <c r="N252" i="3"/>
  <c r="U252" i="3" s="1"/>
  <c r="O254" i="3"/>
  <c r="N254" i="3" s="1"/>
  <c r="N262" i="3" s="1"/>
  <c r="Q262" i="3"/>
  <c r="O180" i="3"/>
  <c r="O203" i="3"/>
  <c r="O194" i="3"/>
  <c r="Q194" i="3"/>
  <c r="Q203" i="3"/>
  <c r="T203" i="3"/>
  <c r="T211" i="3" s="1"/>
  <c r="N239" i="3"/>
  <c r="U194" i="3"/>
  <c r="N193" i="3"/>
  <c r="U20" i="3"/>
  <c r="N195" i="3"/>
  <c r="N144" i="3"/>
  <c r="N184" i="3"/>
  <c r="T174" i="3"/>
  <c r="T183" i="3" s="1"/>
  <c r="V120" i="3"/>
  <c r="V126" i="3" s="1"/>
  <c r="N204" i="3"/>
  <c r="N208" i="3" s="1"/>
  <c r="N202" i="3"/>
  <c r="N149" i="3"/>
  <c r="N168" i="3"/>
  <c r="V168" i="3"/>
  <c r="N135" i="3"/>
  <c r="V135" i="3"/>
  <c r="V143" i="3" s="1"/>
  <c r="N133" i="3"/>
  <c r="O174" i="3"/>
  <c r="N175" i="3"/>
  <c r="N180" i="3" s="1"/>
  <c r="V184" i="3"/>
  <c r="O143" i="3"/>
  <c r="Q183" i="3"/>
  <c r="N173" i="3"/>
  <c r="N159" i="3"/>
  <c r="N167" i="3" s="1"/>
  <c r="Q143" i="3"/>
  <c r="T150" i="3"/>
  <c r="N142" i="3"/>
  <c r="O119" i="3"/>
  <c r="N151" i="3"/>
  <c r="N127" i="3"/>
  <c r="N131" i="3" s="1"/>
  <c r="T143" i="3"/>
  <c r="L151" i="1"/>
  <c r="O150" i="3"/>
  <c r="V173" i="3"/>
  <c r="U97" i="3"/>
  <c r="O155" i="3"/>
  <c r="P118" i="1"/>
  <c r="O131" i="1"/>
  <c r="T20" i="3"/>
  <c r="O131" i="3"/>
  <c r="T119" i="3"/>
  <c r="T134" i="3" s="1"/>
  <c r="V193" i="3"/>
  <c r="V56" i="3"/>
  <c r="U174" i="3"/>
  <c r="V232" i="3"/>
  <c r="V237" i="3" s="1"/>
  <c r="U237" i="3"/>
  <c r="V224" i="3"/>
  <c r="V220" i="3"/>
  <c r="U220" i="3"/>
  <c r="V202" i="3"/>
  <c r="U202" i="3"/>
  <c r="V175" i="3"/>
  <c r="V180" i="3" s="1"/>
  <c r="U175" i="3"/>
  <c r="U180" i="3" s="1"/>
  <c r="V159" i="3"/>
  <c r="U159" i="3"/>
  <c r="V149" i="3"/>
  <c r="U149" i="3"/>
  <c r="V127" i="3"/>
  <c r="V131" i="3" s="1"/>
  <c r="U131" i="3"/>
  <c r="V118" i="3"/>
  <c r="U118" i="3"/>
  <c r="V229" i="3"/>
  <c r="U229" i="3"/>
  <c r="V223" i="3"/>
  <c r="U223" i="3"/>
  <c r="V212" i="3"/>
  <c r="U212" i="3"/>
  <c r="V195" i="3"/>
  <c r="U195" i="3"/>
  <c r="U203" i="3" s="1"/>
  <c r="V166" i="3"/>
  <c r="U166" i="3"/>
  <c r="V144" i="3"/>
  <c r="U144" i="3"/>
  <c r="L119" i="1"/>
  <c r="I202" i="1"/>
  <c r="Q139" i="1"/>
  <c r="P156" i="1"/>
  <c r="P136" i="1"/>
  <c r="L120" i="1"/>
  <c r="L123" i="1" s="1"/>
  <c r="P197" i="1"/>
  <c r="P159" i="1"/>
  <c r="P139" i="1"/>
  <c r="P147" i="1" s="1"/>
  <c r="Q135" i="1"/>
  <c r="Q143" i="1"/>
  <c r="Q116" i="1"/>
  <c r="Q119" i="1" s="1"/>
  <c r="Q131" i="1" s="1"/>
  <c r="P116" i="1"/>
  <c r="P119" i="1" s="1"/>
  <c r="P131" i="1" s="1"/>
  <c r="P150" i="1"/>
  <c r="P151" i="1" s="1"/>
  <c r="M135" i="1"/>
  <c r="L191" i="1"/>
  <c r="L197" i="1" s="1"/>
  <c r="Q151" i="1"/>
  <c r="L169" i="1"/>
  <c r="L174" i="1" s="1"/>
  <c r="M174" i="1"/>
  <c r="M155" i="1"/>
  <c r="M163" i="1" s="1"/>
  <c r="L163" i="1" s="1"/>
  <c r="L152" i="1"/>
  <c r="L155" i="1" s="1"/>
  <c r="M178" i="1"/>
  <c r="L175" i="1"/>
  <c r="L178" i="1" s="1"/>
  <c r="M103" i="1"/>
  <c r="M115" i="1" s="1"/>
  <c r="L115" i="1" s="1"/>
  <c r="L100" i="1"/>
  <c r="L103" i="1" s="1"/>
  <c r="Q103" i="1"/>
  <c r="Q115" i="1" s="1"/>
  <c r="M131" i="1"/>
  <c r="Q178" i="1"/>
  <c r="Q174" i="1"/>
  <c r="Q168" i="1"/>
  <c r="Q155" i="1"/>
  <c r="Q163" i="1" s="1"/>
  <c r="L164" i="1"/>
  <c r="L168" i="1" s="1"/>
  <c r="M168" i="1"/>
  <c r="M143" i="1"/>
  <c r="L140" i="1"/>
  <c r="L143" i="1" s="1"/>
  <c r="Q197" i="1"/>
  <c r="P178" i="1"/>
  <c r="P174" i="1"/>
  <c r="P168" i="1"/>
  <c r="P155" i="1"/>
  <c r="V203" i="3" l="1"/>
  <c r="O134" i="3"/>
  <c r="N134" i="3" s="1"/>
  <c r="W33" i="3"/>
  <c r="U254" i="3"/>
  <c r="U262" i="3" s="1"/>
  <c r="V252" i="3"/>
  <c r="V254" i="3" s="1"/>
  <c r="V262" i="3" s="1"/>
  <c r="N126" i="3"/>
  <c r="N222" i="3"/>
  <c r="M147" i="1"/>
  <c r="L147" i="1" s="1"/>
  <c r="Q211" i="3"/>
  <c r="N155" i="3"/>
  <c r="Q158" i="3"/>
  <c r="O183" i="3"/>
  <c r="N183" i="3" s="1"/>
  <c r="O262" i="3"/>
  <c r="N194" i="3"/>
  <c r="N203" i="3"/>
  <c r="V222" i="3"/>
  <c r="V21" i="3"/>
  <c r="V20" i="3" s="1"/>
  <c r="V194" i="3"/>
  <c r="O158" i="3"/>
  <c r="N150" i="3"/>
  <c r="N174" i="3"/>
  <c r="N143" i="3"/>
  <c r="V174" i="3"/>
  <c r="T158" i="3"/>
  <c r="L131" i="1"/>
  <c r="V119" i="3"/>
  <c r="V134" i="3" s="1"/>
  <c r="V150" i="3"/>
  <c r="V158" i="3" s="1"/>
  <c r="U167" i="3"/>
  <c r="U183" i="3" s="1"/>
  <c r="U119" i="3"/>
  <c r="U134" i="3" s="1"/>
  <c r="U150" i="3"/>
  <c r="U158" i="3" s="1"/>
  <c r="U222" i="3"/>
  <c r="V167" i="3"/>
  <c r="Q147" i="1"/>
  <c r="P163" i="1"/>
  <c r="P182" i="1"/>
  <c r="L182" i="1"/>
  <c r="Q182" i="1"/>
  <c r="M182" i="1"/>
  <c r="N158" i="3" l="1"/>
  <c r="V183" i="3"/>
  <c r="L26" i="1"/>
  <c r="M41" i="1"/>
  <c r="M40" i="1"/>
  <c r="M39" i="1"/>
  <c r="M33" i="1"/>
  <c r="M32" i="1"/>
  <c r="M26" i="1"/>
  <c r="M25" i="1"/>
  <c r="M24" i="1"/>
  <c r="M18" i="1"/>
  <c r="N92" i="1"/>
  <c r="N91" i="1"/>
  <c r="M92" i="1"/>
  <c r="M91" i="1"/>
  <c r="L92" i="1"/>
  <c r="L91" i="1"/>
  <c r="N85" i="1"/>
  <c r="N86" i="1"/>
  <c r="N87" i="1"/>
  <c r="N84" i="1"/>
  <c r="M85" i="1"/>
  <c r="M84" i="1"/>
  <c r="L85" i="1"/>
  <c r="L84" i="1"/>
  <c r="N78" i="1"/>
  <c r="N76" i="1" s="1"/>
  <c r="N77" i="1"/>
  <c r="M78" i="1"/>
  <c r="M77" i="1"/>
  <c r="L78" i="1"/>
  <c r="L79" i="1"/>
  <c r="L80" i="1"/>
  <c r="L81" i="1"/>
  <c r="L77" i="1"/>
  <c r="N70" i="1"/>
  <c r="N71" i="1"/>
  <c r="N69" i="1"/>
  <c r="M70" i="1"/>
  <c r="M71" i="1"/>
  <c r="M69" i="1"/>
  <c r="L70" i="1"/>
  <c r="L71" i="1"/>
  <c r="L69" i="1"/>
  <c r="N62" i="1"/>
  <c r="N63" i="1"/>
  <c r="N61" i="1"/>
  <c r="M62" i="1"/>
  <c r="M63" i="1"/>
  <c r="M61" i="1"/>
  <c r="L62" i="1"/>
  <c r="L63" i="1"/>
  <c r="L61" i="1"/>
  <c r="N55" i="1"/>
  <c r="N54" i="1"/>
  <c r="M55" i="1"/>
  <c r="M54" i="1"/>
  <c r="L55" i="1"/>
  <c r="L54" i="1"/>
  <c r="N48" i="1"/>
  <c r="M48" i="1"/>
  <c r="L48" i="1"/>
  <c r="N47" i="1"/>
  <c r="M47" i="1"/>
  <c r="L47" i="1"/>
  <c r="N44" i="1"/>
  <c r="N40" i="1"/>
  <c r="N41" i="1"/>
  <c r="N39" i="1"/>
  <c r="L40" i="1"/>
  <c r="L41" i="1"/>
  <c r="L39" i="1"/>
  <c r="N36" i="1"/>
  <c r="N33" i="1"/>
  <c r="N32" i="1"/>
  <c r="L32" i="1"/>
  <c r="N25" i="1"/>
  <c r="N26" i="1"/>
  <c r="L25" i="1"/>
  <c r="L24" i="1"/>
  <c r="N46" i="1" l="1"/>
  <c r="N83" i="1"/>
  <c r="N53" i="1"/>
  <c r="M38" i="1"/>
  <c r="M23" i="1"/>
  <c r="M68" i="1"/>
  <c r="M31" i="1"/>
  <c r="M53" i="1"/>
  <c r="N38" i="1"/>
  <c r="N37" i="1" s="1"/>
  <c r="M60" i="1"/>
  <c r="N90" i="1"/>
  <c r="M46" i="1"/>
  <c r="N68" i="1"/>
  <c r="M76" i="1"/>
  <c r="M90" i="1"/>
  <c r="M83" i="1"/>
  <c r="N60" i="1"/>
  <c r="N31" i="1"/>
  <c r="N30" i="1" s="1"/>
  <c r="N24" i="1" l="1"/>
  <c r="N23" i="1" s="1"/>
  <c r="O25" i="1"/>
  <c r="P25" i="1" s="1"/>
  <c r="Q25" i="1" s="1"/>
  <c r="M17" i="1"/>
  <c r="L90" i="1"/>
  <c r="L83" i="1"/>
  <c r="O83" i="1" s="1"/>
  <c r="P83" i="1" s="1"/>
  <c r="Q83" i="1" s="1"/>
  <c r="L76" i="1"/>
  <c r="L75" i="1" s="1"/>
  <c r="N18" i="1"/>
  <c r="N17" i="1" s="1"/>
  <c r="O77" i="1"/>
  <c r="P77" i="1" s="1"/>
  <c r="Q77" i="1" s="1"/>
  <c r="O78" i="1"/>
  <c r="P78" i="1" s="1"/>
  <c r="Q78" i="1" s="1"/>
  <c r="O84" i="1"/>
  <c r="P84" i="1" s="1"/>
  <c r="Q84" i="1" s="1"/>
  <c r="O85" i="1"/>
  <c r="P85" i="1" s="1"/>
  <c r="Q85" i="1" s="1"/>
  <c r="O90" i="1"/>
  <c r="P90" i="1" s="1"/>
  <c r="Q90" i="1" s="1"/>
  <c r="O91" i="1"/>
  <c r="P91" i="1" s="1"/>
  <c r="Q91" i="1" s="1"/>
  <c r="O92" i="1"/>
  <c r="P92" i="1" s="1"/>
  <c r="Q92" i="1" s="1"/>
  <c r="N12" i="1"/>
  <c r="N13" i="1"/>
  <c r="N14" i="1"/>
  <c r="N15" i="1"/>
  <c r="N19" i="1"/>
  <c r="N20" i="1"/>
  <c r="N21" i="1"/>
  <c r="N27" i="1"/>
  <c r="N28" i="1"/>
  <c r="N29" i="1"/>
  <c r="N34" i="1"/>
  <c r="N35" i="1"/>
  <c r="N42" i="1"/>
  <c r="N43" i="1"/>
  <c r="N49" i="1"/>
  <c r="N50" i="1"/>
  <c r="N51" i="1"/>
  <c r="N45" i="1" s="1"/>
  <c r="N56" i="1"/>
  <c r="N57" i="1"/>
  <c r="N58" i="1"/>
  <c r="N52" i="1" s="1"/>
  <c r="N64" i="1"/>
  <c r="N65" i="1"/>
  <c r="N66" i="1"/>
  <c r="N59" i="1" s="1"/>
  <c r="N72" i="1"/>
  <c r="N73" i="1"/>
  <c r="N74" i="1"/>
  <c r="N67" i="1" s="1"/>
  <c r="N79" i="1"/>
  <c r="N80" i="1"/>
  <c r="N81" i="1"/>
  <c r="N75" i="1" s="1"/>
  <c r="N88" i="1"/>
  <c r="N82" i="1" s="1"/>
  <c r="N93" i="1"/>
  <c r="N94" i="1"/>
  <c r="N95" i="1"/>
  <c r="N89" i="1" s="1"/>
  <c r="N11" i="1"/>
  <c r="M12" i="1"/>
  <c r="M13" i="1"/>
  <c r="M14" i="1"/>
  <c r="M15" i="1"/>
  <c r="M19" i="1"/>
  <c r="M20" i="1"/>
  <c r="M21" i="1"/>
  <c r="M27" i="1"/>
  <c r="M28" i="1"/>
  <c r="M29" i="1"/>
  <c r="M34" i="1"/>
  <c r="M35" i="1"/>
  <c r="M36" i="1"/>
  <c r="M30" i="1" s="1"/>
  <c r="M42" i="1"/>
  <c r="M43" i="1"/>
  <c r="M44" i="1"/>
  <c r="M37" i="1" s="1"/>
  <c r="M49" i="1"/>
  <c r="M50" i="1"/>
  <c r="M51" i="1"/>
  <c r="M45" i="1" s="1"/>
  <c r="M56" i="1"/>
  <c r="M57" i="1"/>
  <c r="M58" i="1"/>
  <c r="M52" i="1" s="1"/>
  <c r="M64" i="1"/>
  <c r="M65" i="1"/>
  <c r="M66" i="1"/>
  <c r="M59" i="1" s="1"/>
  <c r="M72" i="1"/>
  <c r="M73" i="1"/>
  <c r="M74" i="1"/>
  <c r="M67" i="1" s="1"/>
  <c r="M79" i="1"/>
  <c r="O79" i="1" s="1"/>
  <c r="P79" i="1" s="1"/>
  <c r="Q79" i="1" s="1"/>
  <c r="M80" i="1"/>
  <c r="O80" i="1" s="1"/>
  <c r="P80" i="1" s="1"/>
  <c r="Q80" i="1" s="1"/>
  <c r="M81" i="1"/>
  <c r="M75" i="1" s="1"/>
  <c r="M86" i="1"/>
  <c r="M87" i="1"/>
  <c r="M88" i="1"/>
  <c r="M82" i="1" s="1"/>
  <c r="M93" i="1"/>
  <c r="M94" i="1"/>
  <c r="M95" i="1"/>
  <c r="M89" i="1" s="1"/>
  <c r="M11" i="1"/>
  <c r="L12" i="1"/>
  <c r="O12" i="1" s="1"/>
  <c r="P12" i="1" s="1"/>
  <c r="Q12" i="1" s="1"/>
  <c r="L13" i="1"/>
  <c r="O13" i="1" s="1"/>
  <c r="P13" i="1" s="1"/>
  <c r="Q13" i="1" s="1"/>
  <c r="L14" i="1"/>
  <c r="O14" i="1" s="1"/>
  <c r="P14" i="1" s="1"/>
  <c r="Q14" i="1" s="1"/>
  <c r="L15" i="1"/>
  <c r="L18" i="1"/>
  <c r="L17" i="1" s="1"/>
  <c r="L19" i="1"/>
  <c r="L20" i="1"/>
  <c r="L21" i="1"/>
  <c r="L27" i="1"/>
  <c r="L28" i="1"/>
  <c r="L29" i="1"/>
  <c r="L33" i="1"/>
  <c r="O33" i="1" s="1"/>
  <c r="P33" i="1" s="1"/>
  <c r="Q33" i="1" s="1"/>
  <c r="L34" i="1"/>
  <c r="O34" i="1" s="1"/>
  <c r="P34" i="1" s="1"/>
  <c r="Q34" i="1" s="1"/>
  <c r="L35" i="1"/>
  <c r="O35" i="1" s="1"/>
  <c r="P35" i="1" s="1"/>
  <c r="Q35" i="1" s="1"/>
  <c r="L36" i="1"/>
  <c r="O36" i="1" s="1"/>
  <c r="P36" i="1" s="1"/>
  <c r="Q36" i="1" s="1"/>
  <c r="L38" i="1"/>
  <c r="O40" i="1"/>
  <c r="P40" i="1" s="1"/>
  <c r="Q40" i="1" s="1"/>
  <c r="O41" i="1"/>
  <c r="P41" i="1" s="1"/>
  <c r="Q41" i="1" s="1"/>
  <c r="L42" i="1"/>
  <c r="O42" i="1" s="1"/>
  <c r="P42" i="1" s="1"/>
  <c r="Q42" i="1" s="1"/>
  <c r="L43" i="1"/>
  <c r="L44" i="1"/>
  <c r="L46" i="1"/>
  <c r="O48" i="1"/>
  <c r="P48" i="1" s="1"/>
  <c r="Q48" i="1" s="1"/>
  <c r="L49" i="1"/>
  <c r="L50" i="1"/>
  <c r="O50" i="1" s="1"/>
  <c r="P50" i="1" s="1"/>
  <c r="Q50" i="1" s="1"/>
  <c r="L51" i="1"/>
  <c r="L53" i="1"/>
  <c r="O55" i="1"/>
  <c r="P55" i="1" s="1"/>
  <c r="Q55" i="1" s="1"/>
  <c r="L56" i="1"/>
  <c r="L57" i="1"/>
  <c r="L58" i="1"/>
  <c r="O58" i="1" s="1"/>
  <c r="P58" i="1" s="1"/>
  <c r="Q58" i="1" s="1"/>
  <c r="O61" i="1"/>
  <c r="P61" i="1" s="1"/>
  <c r="Q61" i="1" s="1"/>
  <c r="O62" i="1"/>
  <c r="P62" i="1" s="1"/>
  <c r="Q62" i="1" s="1"/>
  <c r="O63" i="1"/>
  <c r="P63" i="1" s="1"/>
  <c r="Q63" i="1" s="1"/>
  <c r="L64" i="1"/>
  <c r="O64" i="1" s="1"/>
  <c r="P64" i="1" s="1"/>
  <c r="Q64" i="1" s="1"/>
  <c r="L65" i="1"/>
  <c r="L66" i="1"/>
  <c r="O66" i="1" s="1"/>
  <c r="P66" i="1" s="1"/>
  <c r="Q66" i="1" s="1"/>
  <c r="L68" i="1"/>
  <c r="O70" i="1"/>
  <c r="P70" i="1" s="1"/>
  <c r="Q70" i="1" s="1"/>
  <c r="O71" i="1"/>
  <c r="P71" i="1" s="1"/>
  <c r="Q71" i="1" s="1"/>
  <c r="L72" i="1"/>
  <c r="O72" i="1" s="1"/>
  <c r="P72" i="1" s="1"/>
  <c r="Q72" i="1" s="1"/>
  <c r="L73" i="1"/>
  <c r="L74" i="1"/>
  <c r="L86" i="1"/>
  <c r="L87" i="1"/>
  <c r="O87" i="1" s="1"/>
  <c r="P87" i="1" s="1"/>
  <c r="Q87" i="1" s="1"/>
  <c r="L88" i="1"/>
  <c r="O88" i="1" s="1"/>
  <c r="P88" i="1" s="1"/>
  <c r="Q88" i="1" s="1"/>
  <c r="L93" i="1"/>
  <c r="O93" i="1" s="1"/>
  <c r="P93" i="1" s="1"/>
  <c r="Q93" i="1" s="1"/>
  <c r="L94" i="1"/>
  <c r="L95" i="1"/>
  <c r="O95" i="1" s="1"/>
  <c r="P95" i="1" s="1"/>
  <c r="Q95" i="1" s="1"/>
  <c r="L11" i="1"/>
  <c r="O11" i="1" s="1"/>
  <c r="P11" i="1" s="1"/>
  <c r="Q11" i="1" s="1"/>
  <c r="O73" i="1" l="1"/>
  <c r="P73" i="1" s="1"/>
  <c r="Q73" i="1" s="1"/>
  <c r="O29" i="1"/>
  <c r="P29" i="1" s="1"/>
  <c r="Q29" i="1" s="1"/>
  <c r="O20" i="1"/>
  <c r="P20" i="1" s="1"/>
  <c r="Q20" i="1" s="1"/>
  <c r="O74" i="1"/>
  <c r="P74" i="1" s="1"/>
  <c r="Q74" i="1" s="1"/>
  <c r="O94" i="1"/>
  <c r="P94" i="1" s="1"/>
  <c r="Q94" i="1" s="1"/>
  <c r="O86" i="1"/>
  <c r="P86" i="1" s="1"/>
  <c r="Q86" i="1" s="1"/>
  <c r="O65" i="1"/>
  <c r="P65" i="1" s="1"/>
  <c r="Q65" i="1" s="1"/>
  <c r="O15" i="1"/>
  <c r="P15" i="1" s="1"/>
  <c r="Q15" i="1" s="1"/>
  <c r="O56" i="1"/>
  <c r="P56" i="1" s="1"/>
  <c r="Q56" i="1" s="1"/>
  <c r="O44" i="1"/>
  <c r="P44" i="1" s="1"/>
  <c r="Q44" i="1" s="1"/>
  <c r="O27" i="1"/>
  <c r="P27" i="1" s="1"/>
  <c r="Q27" i="1" s="1"/>
  <c r="L16" i="1"/>
  <c r="O57" i="1"/>
  <c r="P57" i="1" s="1"/>
  <c r="Q57" i="1" s="1"/>
  <c r="O51" i="1"/>
  <c r="P51" i="1" s="1"/>
  <c r="Q51" i="1" s="1"/>
  <c r="O49" i="1"/>
  <c r="P49" i="1" s="1"/>
  <c r="Q49" i="1" s="1"/>
  <c r="O43" i="1"/>
  <c r="P43" i="1" s="1"/>
  <c r="Q43" i="1" s="1"/>
  <c r="O28" i="1"/>
  <c r="P28" i="1" s="1"/>
  <c r="Q28" i="1" s="1"/>
  <c r="O21" i="1"/>
  <c r="P21" i="1" s="1"/>
  <c r="Q21" i="1" s="1"/>
  <c r="O19" i="1"/>
  <c r="P19" i="1" s="1"/>
  <c r="Q19" i="1" s="1"/>
  <c r="N16" i="1"/>
  <c r="M10" i="1"/>
  <c r="M9" i="1" s="1"/>
  <c r="N10" i="1"/>
  <c r="N9" i="1" s="1"/>
  <c r="O81" i="1"/>
  <c r="P81" i="1" s="1"/>
  <c r="Q81" i="1" s="1"/>
  <c r="O75" i="1"/>
  <c r="P75" i="1" s="1"/>
  <c r="Q75" i="1" s="1"/>
  <c r="L89" i="1"/>
  <c r="L31" i="1"/>
  <c r="L30" i="1" s="1"/>
  <c r="O30" i="1" s="1"/>
  <c r="P30" i="1" s="1"/>
  <c r="Q30" i="1" s="1"/>
  <c r="N22" i="1"/>
  <c r="O76" i="1"/>
  <c r="P76" i="1" s="1"/>
  <c r="Q76" i="1" s="1"/>
  <c r="L82" i="1"/>
  <c r="O82" i="1" s="1"/>
  <c r="P82" i="1" s="1"/>
  <c r="Q82" i="1" s="1"/>
  <c r="L67" i="1"/>
  <c r="O67" i="1" s="1"/>
  <c r="P67" i="1" s="1"/>
  <c r="Q67" i="1" s="1"/>
  <c r="O68" i="1"/>
  <c r="P68" i="1" s="1"/>
  <c r="Q68" i="1" s="1"/>
  <c r="L45" i="1"/>
  <c r="O45" i="1" s="1"/>
  <c r="P45" i="1" s="1"/>
  <c r="Q45" i="1" s="1"/>
  <c r="O46" i="1"/>
  <c r="P46" i="1" s="1"/>
  <c r="Q46" i="1" s="1"/>
  <c r="O38" i="1"/>
  <c r="O37" i="1" s="1"/>
  <c r="L37" i="1"/>
  <c r="L52" i="1"/>
  <c r="O52" i="1" s="1"/>
  <c r="P52" i="1" s="1"/>
  <c r="Q52" i="1" s="1"/>
  <c r="O53" i="1"/>
  <c r="P53" i="1" s="1"/>
  <c r="Q53" i="1" s="1"/>
  <c r="O31" i="1"/>
  <c r="P31" i="1" s="1"/>
  <c r="Q31" i="1" s="1"/>
  <c r="O69" i="1"/>
  <c r="P69" i="1" s="1"/>
  <c r="Q69" i="1" s="1"/>
  <c r="O39" i="1"/>
  <c r="P39" i="1" s="1"/>
  <c r="Q39" i="1" s="1"/>
  <c r="O32" i="1"/>
  <c r="P32" i="1" s="1"/>
  <c r="Q32" i="1" s="1"/>
  <c r="L10" i="1"/>
  <c r="L60" i="1"/>
  <c r="M16" i="1"/>
  <c r="O54" i="1"/>
  <c r="P54" i="1" s="1"/>
  <c r="Q54" i="1" s="1"/>
  <c r="O47" i="1"/>
  <c r="P47" i="1" s="1"/>
  <c r="Q47" i="1" s="1"/>
  <c r="M22" i="1"/>
  <c r="O24" i="1"/>
  <c r="P24" i="1" s="1"/>
  <c r="Q24" i="1" s="1"/>
  <c r="L23" i="1"/>
  <c r="L22" i="1" s="1"/>
  <c r="O26" i="1"/>
  <c r="P26" i="1" s="1"/>
  <c r="Q26" i="1" s="1"/>
  <c r="O23" i="1"/>
  <c r="P23" i="1" s="1"/>
  <c r="Q23" i="1" s="1"/>
  <c r="O17" i="1"/>
  <c r="P17" i="1" s="1"/>
  <c r="Q17" i="1" s="1"/>
  <c r="O89" i="1"/>
  <c r="P89" i="1" s="1"/>
  <c r="Q89" i="1" s="1"/>
  <c r="O18" i="1"/>
  <c r="P18" i="1" s="1"/>
  <c r="Q18" i="1" s="1"/>
  <c r="K12" i="1"/>
  <c r="K13" i="1"/>
  <c r="K14" i="1"/>
  <c r="K15" i="1"/>
  <c r="K16" i="1"/>
  <c r="K17" i="1"/>
  <c r="K18" i="1"/>
  <c r="K19" i="1"/>
  <c r="K20" i="1"/>
  <c r="K21" i="1"/>
  <c r="K22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11" i="1"/>
  <c r="O16" i="1" l="1"/>
  <c r="P16" i="1" s="1"/>
  <c r="Q16" i="1" s="1"/>
  <c r="P38" i="1"/>
  <c r="P37" i="1" s="1"/>
  <c r="O22" i="1"/>
  <c r="P22" i="1" s="1"/>
  <c r="Q22" i="1" s="1"/>
  <c r="L59" i="1"/>
  <c r="O59" i="1" s="1"/>
  <c r="P59" i="1" s="1"/>
  <c r="Q59" i="1" s="1"/>
  <c r="O60" i="1"/>
  <c r="P60" i="1" s="1"/>
  <c r="Q60" i="1" s="1"/>
  <c r="O10" i="1"/>
  <c r="P10" i="1" s="1"/>
  <c r="Q10" i="1" s="1"/>
  <c r="L9" i="1"/>
  <c r="O9" i="1" s="1"/>
  <c r="K23" i="1"/>
  <c r="Q38" i="1" l="1"/>
  <c r="Q37" i="1" s="1"/>
  <c r="P9" i="1"/>
  <c r="Q9" i="1"/>
  <c r="U210" i="3"/>
  <c r="U211" i="3" s="1"/>
  <c r="O210" i="3"/>
  <c r="O211" i="3" s="1"/>
  <c r="N211" i="3" l="1"/>
  <c r="N210" i="3"/>
  <c r="V210" i="3"/>
  <c r="V211" i="3" s="1"/>
  <c r="O231" i="3"/>
  <c r="O240" i="3" s="1"/>
  <c r="J230" i="3"/>
  <c r="U230" i="3" s="1"/>
  <c r="U231" i="3" s="1"/>
  <c r="U240" i="3" s="1"/>
  <c r="N230" i="3" l="1"/>
  <c r="V230" i="3"/>
  <c r="V231" i="3" s="1"/>
  <c r="V240" i="3" s="1"/>
  <c r="N231" i="3" l="1"/>
  <c r="N240" i="3" s="1"/>
</calcChain>
</file>

<file path=xl/comments1.xml><?xml version="1.0" encoding="utf-8"?>
<comments xmlns="http://schemas.openxmlformats.org/spreadsheetml/2006/main">
  <authors>
    <author>Бецку</author>
  </authors>
  <commentList>
    <comment ref="N16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6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26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26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-0,35</t>
        </r>
      </text>
    </comment>
    <comment ref="N36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36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47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47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-0,53</t>
        </r>
      </text>
    </comment>
    <comment ref="N55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55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66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79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79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87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87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100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00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113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13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127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27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-0,27</t>
        </r>
      </text>
    </comment>
    <comment ref="N137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37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<sst xmlns="http://schemas.openxmlformats.org/spreadsheetml/2006/main" count="3521" uniqueCount="273">
  <si>
    <t>Группы общеразвивающей направленности (за исключением малокомплектных образовательных организаций)</t>
  </si>
  <si>
    <t>Нормативные затраты на оказание муниципальных услуг (работ) на 2016-2018 гг</t>
  </si>
  <si>
    <t>Приложение 3</t>
  </si>
  <si>
    <t>Наименование учреждения</t>
  </si>
  <si>
    <t>Ед. изм. объема услуги</t>
  </si>
  <si>
    <t>Значение объема муниципальной услуги (работы)</t>
  </si>
  <si>
    <t>Базовый норматив затрат на единицу объема</t>
  </si>
  <si>
    <t>Нормативные затраты на оказание муниципальной услуги (работы)</t>
  </si>
  <si>
    <t>2016 год</t>
  </si>
  <si>
    <t>2017 год</t>
  </si>
  <si>
    <t>2018 год</t>
  </si>
  <si>
    <t>в т.ч. Местный бюджет</t>
  </si>
  <si>
    <t>Итого:</t>
  </si>
  <si>
    <t>в соответствии с реестром</t>
  </si>
  <si>
    <t>в соответствии с перечнем</t>
  </si>
  <si>
    <t>по ОКЕИ</t>
  </si>
  <si>
    <t>в натуральных показателях</t>
  </si>
  <si>
    <t>в рублях</t>
  </si>
  <si>
    <t>МБДОУ д/с № 4</t>
  </si>
  <si>
    <t>до 3 лет</t>
  </si>
  <si>
    <t>чел.</t>
  </si>
  <si>
    <t>32</t>
  </si>
  <si>
    <t>0</t>
  </si>
  <si>
    <t>0,00</t>
  </si>
  <si>
    <t>от 3 до 7 лет</t>
  </si>
  <si>
    <t>88</t>
  </si>
  <si>
    <t>Мат. база</t>
  </si>
  <si>
    <t>120</t>
  </si>
  <si>
    <r>
      <rPr>
        <b/>
        <sz val="11"/>
        <rFont val="Times New Roman"/>
        <family val="1"/>
        <charset val="204"/>
      </rPr>
      <t>Присмотр и уход</t>
    </r>
  </si>
  <si>
    <t>МБДОУ д/с № 5</t>
  </si>
  <si>
    <t>Группы общеразвивающей направленности, созданные в малокомплектных образовательных организациях</t>
  </si>
  <si>
    <t>группы</t>
  </si>
  <si>
    <t>3</t>
  </si>
  <si>
    <t>Административноуправленческий и учебновспомогательный персонал</t>
  </si>
  <si>
    <t>37</t>
  </si>
  <si>
    <t>МБДОУ д/с № 7</t>
  </si>
  <si>
    <t>29</t>
  </si>
  <si>
    <t>43</t>
  </si>
  <si>
    <t>Группы компенсирующей направленности (за исключением малокомплектных образовательных организаций)</t>
  </si>
  <si>
    <t>48</t>
  </si>
  <si>
    <t>МБДОУ д/с № 8</t>
  </si>
  <si>
    <t>19</t>
  </si>
  <si>
    <t>87</t>
  </si>
  <si>
    <t>106</t>
  </si>
  <si>
    <t>МБДОУ д/с № 9</t>
  </si>
  <si>
    <t>52</t>
  </si>
  <si>
    <t>93</t>
  </si>
  <si>
    <t>72</t>
  </si>
  <si>
    <t>217</t>
  </si>
  <si>
    <t>МБДОУ д/с № 10</t>
  </si>
  <si>
    <t>21</t>
  </si>
  <si>
    <t>Мат.база</t>
  </si>
  <si>
    <t>108</t>
  </si>
  <si>
    <t>МБДОУ д/с № 12</t>
  </si>
  <si>
    <t>41</t>
  </si>
  <si>
    <t>109</t>
  </si>
  <si>
    <t>150</t>
  </si>
  <si>
    <t>МБДОУ д/с № 13</t>
  </si>
  <si>
    <t>18</t>
  </si>
  <si>
    <t>95</t>
  </si>
  <si>
    <t>113</t>
  </si>
  <si>
    <t>МБДОУ д/с № 14</t>
  </si>
  <si>
    <t>45</t>
  </si>
  <si>
    <t>190</t>
  </si>
  <si>
    <t>235</t>
  </si>
  <si>
    <t>МБДОУ д/с № 15</t>
  </si>
  <si>
    <t>31</t>
  </si>
  <si>
    <t>140</t>
  </si>
  <si>
    <t>МБДОУ д/с № 18</t>
  </si>
  <si>
    <t>28</t>
  </si>
  <si>
    <t>112</t>
  </si>
  <si>
    <t>МАДОУ д/с№ 17</t>
  </si>
  <si>
    <t>47</t>
  </si>
  <si>
    <t>198</t>
  </si>
  <si>
    <t>245</t>
  </si>
  <si>
    <r>
      <rPr>
        <b/>
        <sz val="11"/>
        <rFont val="Times New Roman"/>
        <family val="1"/>
        <charset val="204"/>
      </rPr>
      <t>Присмотр н уход</t>
    </r>
  </si>
  <si>
    <t>Реализация основных общеобразовательных программ дошкольного образования</t>
  </si>
  <si>
    <t>Административно-управленческий и учебно-вспомогательный персонал</t>
  </si>
  <si>
    <t>Группы общеразвивающей направленности, в которых воспитанники посещают бассейн</t>
  </si>
  <si>
    <t>в т.ч. Краевой бюджет пед.персонал</t>
  </si>
  <si>
    <t>в т.ч. Краевой бюджет адм-упр.и уч.-вспом.  персонал</t>
  </si>
  <si>
    <t>Наименование услуги</t>
  </si>
  <si>
    <t>27113,68</t>
  </si>
  <si>
    <t>в т.ч. Краевой бюджет адм-упр.и уч.-вспом. Персонал,руб.</t>
  </si>
  <si>
    <t>в т.ч. Местный бюджет, руб.</t>
  </si>
  <si>
    <t>в т.ч. Краевой бюджет пед.персонал, руб.</t>
  </si>
  <si>
    <t>Наименование услуги и уникальный номер реестровой записи</t>
  </si>
  <si>
    <t>Форма организации обучения детей</t>
  </si>
  <si>
    <t>Всего:</t>
  </si>
  <si>
    <t>краевой норматив на общеобразовательные программы</t>
  </si>
  <si>
    <t>краевой норматив на административно-управленч. и учебно-вспомогат.персонал</t>
  </si>
  <si>
    <t>норматив финансирования из местного бюджета</t>
  </si>
  <si>
    <t>Всего на 2016 год:</t>
  </si>
  <si>
    <t>в т.ч на  общеобразовательные программы</t>
  </si>
  <si>
    <t>на содержание административно-управленч. и учебно-вспомогат.персонал</t>
  </si>
  <si>
    <t>за счет финансирования из местного бюджета</t>
  </si>
  <si>
    <t>2017 год, всего</t>
  </si>
  <si>
    <t>2018 год, всего</t>
  </si>
  <si>
    <t>МБОУ Школа №2 им.Ю.А.Гагарина</t>
  </si>
  <si>
    <t>Реализация основных общеобразовательных программ начального общего образования</t>
  </si>
  <si>
    <t>Обучение детей  в образовательных организациях, реализующих программы общего образования (k = 1)</t>
  </si>
  <si>
    <t>человек</t>
  </si>
  <si>
    <t>Инклюзивное обучение детей c ограниченными возможностями здоровья в общеобразовательных классах образовательных организаций (k = 9)</t>
  </si>
  <si>
    <t>Х</t>
  </si>
  <si>
    <t>х</t>
  </si>
  <si>
    <t>Индивидуальное обучение детей при наличии соответствующего медицинского заключения и детей-инвалидов на дому (k = 10) город</t>
  </si>
  <si>
    <t>итого по услуге: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</si>
  <si>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</si>
  <si>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</si>
  <si>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Реализация дополнительных общеобразовательных общеразвивающих программ</t>
  </si>
  <si>
    <t>Реализация дополнительных общеобразовательных программ в физкультурно-спортивных клубах при образовательных организациях, реализующих основные общеобразовательные программы (город)</t>
  </si>
  <si>
    <t>. Реализация дополнительных общеобразовательных программ (за исключением физкультурно-спортивных клубов) в образовательных организациях, реализующих основные общеобразовательные программы (город)</t>
  </si>
  <si>
    <t>Всего по учреждению:</t>
  </si>
  <si>
    <t>МБОУ СОШ №4</t>
  </si>
  <si>
    <t>МБОУ СОШ №5</t>
  </si>
  <si>
    <t>МБОУ СОШ № 9</t>
  </si>
  <si>
    <t>МАОУ гимназия №10</t>
  </si>
  <si>
    <t>Обучение детей, находящихся на длительном лечении в медицинских учреждениях (индивидуальное, групповое) (k = 11)</t>
  </si>
  <si>
    <t>Обучение детей  в образовательных организациях, реализующих программы общего образования (k = 1) с углубленным изучением предметов</t>
  </si>
  <si>
    <t>МБОУ СОШ № 7</t>
  </si>
  <si>
    <t xml:space="preserve">Обучение детей  в малокомплектных образовательных организациях, расположенных в городских населенных пунктах, и в классах с наполняемостью 20 и более человек, созданных в малокомплектных образовательных организациях, расположенных в сельских населенных </t>
  </si>
  <si>
    <t>класс/человек</t>
  </si>
  <si>
    <t>2\46</t>
  </si>
  <si>
    <t>2\49</t>
  </si>
  <si>
    <t>642642,05- на 1 класс+20730,64 на 1 человека</t>
  </si>
  <si>
    <t>642642,05- на 1 класс+ 952,08- на 1 человека</t>
  </si>
  <si>
    <t>3857,41- на 1 человека</t>
  </si>
  <si>
    <t>15921,15- на 1 человека</t>
  </si>
  <si>
    <t>Обучение детей в классах с наполняемостью менее 20 человек, созданных в малокомплектных образовательных организациях, расположенных в сельских населенных пунктах (за исключением детей с ограниченными возможностями здоровья, обучающихся в отдельных классах) (k = 5)</t>
  </si>
  <si>
    <t>4\61</t>
  </si>
  <si>
    <t>4\63</t>
  </si>
  <si>
    <t>604145,69 на 1 класс+ 20730,64 на 1 человека</t>
  </si>
  <si>
    <t>604145,69- на 1 класс+ 952,08 на 1 человека</t>
  </si>
  <si>
    <t>6\107</t>
  </si>
  <si>
    <t>6\109</t>
  </si>
  <si>
    <t>6\112</t>
  </si>
  <si>
    <t>3\66</t>
  </si>
  <si>
    <t>5\112</t>
  </si>
  <si>
    <t>955112,98- на 1 класс+ 20947,76 на 1 человека</t>
  </si>
  <si>
    <t>955112,98- на 1 класс+ 1169,2 на 1 человека</t>
  </si>
  <si>
    <t>3\47</t>
  </si>
  <si>
    <t>6\99</t>
  </si>
  <si>
    <t>756594,85 на 1 класс+ 20947,76 на 1 человека</t>
  </si>
  <si>
    <t>756594,85- на 1 класс+1169,2 на 1 человека</t>
  </si>
  <si>
    <t>. Индивидуальное обучение детей при наличии соответствующего медицинского заключения и детей-инвалидов на дому (k = 10) село</t>
  </si>
  <si>
    <t>6\113</t>
  </si>
  <si>
    <t>8\146</t>
  </si>
  <si>
    <t>9\174</t>
  </si>
  <si>
    <t>1\7</t>
  </si>
  <si>
    <t>2\17</t>
  </si>
  <si>
    <t>808407,62 на 1 класс+ 21146,23 на 1 человека</t>
  </si>
  <si>
    <t>808407,62 на 1 класс+1367,67 на 1 человека</t>
  </si>
  <si>
    <t>Форма организации обучения. Направленность групп</t>
  </si>
  <si>
    <t>к Приказу от 31.12.2015_№ 317</t>
  </si>
  <si>
    <t>2. Общеобразовательные учреждения</t>
  </si>
  <si>
    <t>1. Дошкольные образовательные учреждения</t>
  </si>
  <si>
    <t>3. Учреждения дополнительного образования детей (местный бюджет)</t>
  </si>
  <si>
    <t>МБОУ ДО "ДДТ"</t>
  </si>
  <si>
    <t xml:space="preserve">Реализация дополнительных общеразвивающих программ (учреждения дополнительного образования детей) </t>
  </si>
  <si>
    <t>Психолого-медико-педагогическое обследование детей</t>
  </si>
  <si>
    <t>МБОУ ДО "ДЭБС"</t>
  </si>
  <si>
    <t>Кочанова Марина Александровна (39144)3-09-14</t>
  </si>
  <si>
    <t>Группы комбинированной направленности (за исключением малокомплектных образовательных организаций), городской населенный пункт</t>
  </si>
  <si>
    <t>Инклюзивное обучение детей c ограниченными возможностями здоровья в общеобразовательных классах образовательных организаций (k = 9) в т.ч.:</t>
  </si>
  <si>
    <t>t=4</t>
  </si>
  <si>
    <t>t=6</t>
  </si>
  <si>
    <t>t=7</t>
  </si>
  <si>
    <t>t=8</t>
  </si>
  <si>
    <t>t=12</t>
  </si>
  <si>
    <t>t=5</t>
  </si>
  <si>
    <t>t=10</t>
  </si>
  <si>
    <t>t=2</t>
  </si>
  <si>
    <r>
      <t xml:space="preserve">Обучение детей  в образовательных организациях, реализующих программы общего образования </t>
    </r>
    <r>
      <rPr>
        <b/>
        <sz val="11"/>
        <color theme="1"/>
        <rFont val="Times New Roman"/>
        <family val="1"/>
        <charset val="204"/>
      </rPr>
      <t>математический класс</t>
    </r>
    <r>
      <rPr>
        <sz val="11"/>
        <color theme="1"/>
        <rFont val="Times New Roman"/>
        <family val="1"/>
        <charset val="204"/>
      </rPr>
      <t xml:space="preserve"> (k = 1)</t>
    </r>
  </si>
  <si>
    <t>Индивидуальное обучение детей при наличии соответствующего медицинского заключения и детей-инвалидов на дому (k = 10) село</t>
  </si>
  <si>
    <t>Обучение детей, находящихся на длительном лечении в медицинских учреждениях (индивидуальное, групповое) (k = 11) село</t>
  </si>
  <si>
    <t>Приложение № 3</t>
  </si>
  <si>
    <t>2019 год</t>
  </si>
  <si>
    <t>чел.-час.</t>
  </si>
  <si>
    <t>Чесалина Татьяна Викторовна (39144)3-16-33</t>
  </si>
  <si>
    <t>Разновозрастные группы общеразвивающей направленности (за исключением малокомплектных образовательных организаций)</t>
  </si>
  <si>
    <t>до 3 лет (b=3)</t>
  </si>
  <si>
    <t>от 3 до 7 лет (b=8)</t>
  </si>
  <si>
    <t>Группы комбинированной направленности, в которых воспитанники посещают бассейн</t>
  </si>
  <si>
    <t>2020 год</t>
  </si>
  <si>
    <t>2020 год, всего</t>
  </si>
  <si>
    <t>4001,99- на 1 человека</t>
  </si>
  <si>
    <t>Дополнительное образование детей в образовательных организациях, реализующих основные общеобразовательные программы (село)</t>
  </si>
  <si>
    <t>Дополнительное образование детей в образовательных организациях, реализующих основные общеобразовательные программы (город)</t>
  </si>
  <si>
    <t>3\34</t>
  </si>
  <si>
    <t>к Приказу от 27.12.2017 г. № 244</t>
  </si>
  <si>
    <t>t=9</t>
  </si>
  <si>
    <t>\</t>
  </si>
  <si>
    <t>3\67</t>
  </si>
  <si>
    <t>1\19</t>
  </si>
  <si>
    <t>628912,16- на 1 класс+ 1351,63 на 1 человека</t>
  </si>
  <si>
    <t>668575,57- на 1 класс+ 1351,63- на 1 человека</t>
  </si>
  <si>
    <t>787313,28- на 1 класс+1649,65 на 1 человека</t>
  </si>
  <si>
    <t>993246,10- на 1 класс+ 1649,65 на 1 человека</t>
  </si>
  <si>
    <t>4\86</t>
  </si>
  <si>
    <t>2\29</t>
  </si>
  <si>
    <t>841148,96 на 1 класс+1998,78 на 1 человека</t>
  </si>
  <si>
    <t>2\15</t>
  </si>
  <si>
    <t>6\116</t>
  </si>
  <si>
    <t>Приложение № 2</t>
  </si>
  <si>
    <t>к Приказу от 08.10.2018 г. №</t>
  </si>
  <si>
    <t>2021 год</t>
  </si>
  <si>
    <t>2019 год срзнач.</t>
  </si>
  <si>
    <t>Нормативные затраты на оказание муниципальных услуг (работ) на 2019-2021 гг.</t>
  </si>
  <si>
    <t>2019 год c 01.09.2019</t>
  </si>
  <si>
    <t>Всего на 2019 год:</t>
  </si>
  <si>
    <t>2021 год, всего</t>
  </si>
  <si>
    <t>2021год</t>
  </si>
  <si>
    <t xml:space="preserve">2019 год </t>
  </si>
  <si>
    <t>11625,23- на 1 человека</t>
  </si>
  <si>
    <t>668575,57- на 1 класс+16978,85 на 1 человека</t>
  </si>
  <si>
    <t>628912,16 на 1 класс+ 16978,85 на 1 человека</t>
  </si>
  <si>
    <t>993246,1- на 1 класс+ 17276,87 на 1 человека</t>
  </si>
  <si>
    <t>787313,28 на 1 класс+ 17276,87 на 1 человека</t>
  </si>
  <si>
    <t>841148,96 на 1 класс+ 17626,00 на 1 человека</t>
  </si>
  <si>
    <t>местный бюджет</t>
  </si>
  <si>
    <t>внебюджет</t>
  </si>
  <si>
    <t>в т.ч. ВНЕюджет, руб.</t>
  </si>
  <si>
    <t>МРОТ краевой</t>
  </si>
  <si>
    <t>МРОТ местный</t>
  </si>
  <si>
    <t>в т.ч. Краевой бюджет адм-упр.и уч.-вспом.  Персонал с коэффициентом</t>
  </si>
  <si>
    <t xml:space="preserve">Доплата до МРОТ </t>
  </si>
  <si>
    <t>краевой бюджет</t>
  </si>
  <si>
    <t>Доплата до МРОТ местный бюджет</t>
  </si>
  <si>
    <t>Доплата до МРОТ краевой бюджет</t>
  </si>
  <si>
    <t>Доплата до МРОТ</t>
  </si>
  <si>
    <t>ВСЕГО</t>
  </si>
  <si>
    <t>Итого по учреждению:</t>
  </si>
  <si>
    <t>ВСЕГО:</t>
  </si>
  <si>
    <t>4001,99*2,3654- на 1 человека</t>
  </si>
  <si>
    <t>ИТОГО</t>
  </si>
  <si>
    <t>Гайлит Светлана Геннадьевна (39144)3-79-43</t>
  </si>
  <si>
    <t xml:space="preserve"> договоров (штук)</t>
  </si>
  <si>
    <t>Повышение оплаты труда молодым специалистам</t>
  </si>
  <si>
    <t>Услуга 1</t>
  </si>
  <si>
    <t>Работа 1</t>
  </si>
  <si>
    <t>628912,16- на 1 класс+ 1342,39 на 1 человека</t>
  </si>
  <si>
    <t>993246,10- на 1 класс+ 1638,38 на 1 человека</t>
  </si>
  <si>
    <t>787313,28- на 1 класс+1638,38 на 1 человека</t>
  </si>
  <si>
    <t>841148,96 на 1 класс+1985,12 на 1 человека</t>
  </si>
  <si>
    <t>48495,11- на 1 класс+ 1342,39- на 1 человека</t>
  </si>
  <si>
    <t>Реализация основных общеобразовательных программ начального общего образования 801012О.99.0.БА81АЭ92001; 801012О.99.0.БА81АА00001; 801012О.99.0.БА81АЮ16001</t>
  </si>
  <si>
    <t>Реализация основных общеобразовательных программ основного общего образования 802111О.99.0.БАЮ58001; 802111О.99.0.БА96АА00001; 802111О.99.0.БА96АЮ83001</t>
  </si>
  <si>
    <t>Реализация основных общеобразовательных программ среднего общего образования 802112О.99.0.ББ11АЮ58001; 802112О.99.0.ББ11АА00001; 802112О.99.0.ББ11АЮ83001</t>
  </si>
  <si>
    <t xml:space="preserve">Реализация дополнительных общеобразовательных общеразвивающих программ 801012О.99.0.ББ57АЕ52000; 804200О.99.0.ББ52АЕ76000; 804200О.99.0.ББ52АЕ04000; 804200О.99.0.ББ52АЖ24000  </t>
  </si>
  <si>
    <t>Реализация дополнительных общеразвивающих программ (естественно-научное направление) 804200О.99.0.ББ52АЕ28000; 804200О.99.0.ББ52АЕ28000</t>
  </si>
  <si>
    <t>Реализация дополнительных общеразвивающих программ (социально-педагогическое направление) 804200О.99.0.ББ52АЖ24000</t>
  </si>
  <si>
    <t>Реализация дополнительных общеразвивающих программ (техническое направление) 804200О.99.0.ББ52АЕ04000</t>
  </si>
  <si>
    <t>Реализация дополнительных общеразвивающих программ (туристическо-краеведческое направление) 804200О.99.0.ББ52А368000</t>
  </si>
  <si>
    <t>Реализация дополнительных общеразвивающих программ (физкультурно-спортивная) 804200О.99.0.ББ52АЕ52000</t>
  </si>
  <si>
    <t>Реализация дополнительных общеразвивающих программ (художественное направление) 804200О.99.0.ББ52АЕ76000</t>
  </si>
  <si>
    <t>Обеспечение доступа к объектам спорта(бассейн) Р.03.1.0026.0001.001</t>
  </si>
  <si>
    <t>801011О.99.0.БВ24ДП02000; 801011О.99.0.БВ24ДН82000; 801011О.99.0.БВ24ГД82000; 801011О.99.0.БВ24АУ02000; 801011О.99.0.БВ24АВ42000;</t>
  </si>
  <si>
    <t>853211О.99.0.БВ19АА68000; 853211О.99.0.БВ19АА56000; 853211О.99.0.БВ19АБ82000; 853211О.99.0.БВ19АА20000</t>
  </si>
  <si>
    <t>Обеспечение доступа к объектам спорта (спортзал) Р.03.1.0026.0001.001</t>
  </si>
  <si>
    <t>ИТОГО по  услуге :</t>
  </si>
  <si>
    <t>ИТОГО по  работе :</t>
  </si>
  <si>
    <t>к Приказу от 26.12.2018 г. № 251</t>
  </si>
  <si>
    <t>12601,86- на 1 человека</t>
  </si>
  <si>
    <t>в т.ч. ВНЕбюджет, руб.</t>
  </si>
  <si>
    <t>к Приказу от 26.08.2019 г. № 177</t>
  </si>
  <si>
    <t>Заочное обучение детей в образовательных организациях, реализующие основные общеобразовательные программы (k =14)</t>
  </si>
  <si>
    <t>Кучмистова Марина Александровна (39144)3-79-43</t>
  </si>
  <si>
    <t>12011,78- на 1 человека</t>
  </si>
  <si>
    <t>841148,96 на 1 класс+ 23463,21 на 1 человека</t>
  </si>
  <si>
    <t>993246,1- на 1 класс+ 23116,,46 на 1 человека</t>
  </si>
  <si>
    <t>648495,11- на 1 класс+22820,48 на 1 человека</t>
  </si>
  <si>
    <t>Повышение оплаты труда до целевого показателя</t>
  </si>
  <si>
    <t>Приложение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</si>
</sst>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00000"/>
  </numFmts>
  <fonts count="21" x14ac:knownFonts="1">
    <font>
      <sz val="10"/>
      <name val="Arial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8"/>
      <name val="Times New Roman"/>
      <family val="1"/>
      <charset val="204"/>
    </font>
    <font>
      <sz val="11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2" borderId="0" applyNumberFormat="0" applyBorder="0" applyAlignment="0" applyProtection="0"/>
    <xf numFmtId="0" fontId="6" fillId="0" borderId="3"/>
  </cellStyleXfs>
  <cellXfs count="264">
    <xf numFmtId="0" fontId="0" fillId="0" borderId="0" xfId="0"/>
    <xf numFmtId="0" fontId="0" fillId="0" borderId="1" xfId="0" applyBorder="1" applyAlignment="1">
      <alignment vertical="top"/>
    </xf>
    <xf numFmtId="0" fontId="1" fillId="0" borderId="0" xfId="0" applyFont="1"/>
    <xf numFmtId="0" fontId="1" fillId="0" borderId="3" xfId="0" applyFont="1" applyBorder="1" applyAlignment="1">
      <alignment vertical="top"/>
    </xf>
    <xf numFmtId="4" fontId="0" fillId="0" borderId="0" xfId="0" applyNumberFormat="1"/>
    <xf numFmtId="0" fontId="12" fillId="0" borderId="0" xfId="0" applyFont="1"/>
    <xf numFmtId="0" fontId="13" fillId="0" borderId="3" xfId="0" applyFont="1" applyBorder="1" applyAlignment="1">
      <alignment vertical="top"/>
    </xf>
    <xf numFmtId="0" fontId="4" fillId="3" borderId="4" xfId="0" applyFont="1" applyFill="1" applyBorder="1" applyAlignment="1">
      <alignment horizontal="center" vertical="center" wrapText="1" readingOrder="1"/>
    </xf>
    <xf numFmtId="0" fontId="4" fillId="3" borderId="4" xfId="0" applyFont="1" applyFill="1" applyBorder="1" applyAlignment="1">
      <alignment vertical="center" wrapText="1" readingOrder="1"/>
    </xf>
    <xf numFmtId="0" fontId="7" fillId="3" borderId="4" xfId="0" applyFont="1" applyFill="1" applyBorder="1" applyAlignment="1">
      <alignment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right" vertical="center" wrapText="1" readingOrder="1"/>
    </xf>
    <xf numFmtId="4" fontId="8" fillId="3" borderId="4" xfId="0" applyNumberFormat="1" applyFont="1" applyFill="1" applyBorder="1" applyAlignment="1">
      <alignment horizontal="center" vertical="center" wrapText="1" readingOrder="1"/>
    </xf>
    <xf numFmtId="4" fontId="4" fillId="3" borderId="4" xfId="0" applyNumberFormat="1" applyFont="1" applyFill="1" applyBorder="1" applyAlignment="1">
      <alignment horizontal="right" vertical="center" wrapText="1" readingOrder="1"/>
    </xf>
    <xf numFmtId="0" fontId="0" fillId="3" borderId="4" xfId="0" applyFont="1" applyFill="1" applyBorder="1" applyAlignment="1">
      <alignment horizontal="right" vertical="center"/>
    </xf>
    <xf numFmtId="0" fontId="7" fillId="3" borderId="4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right" vertical="center" wrapText="1" readingOrder="1"/>
    </xf>
    <xf numFmtId="0" fontId="0" fillId="3" borderId="4" xfId="0" applyFont="1" applyFill="1" applyBorder="1" applyAlignment="1">
      <alignment horizontal="left" vertical="center"/>
    </xf>
    <xf numFmtId="2" fontId="9" fillId="3" borderId="4" xfId="0" applyNumberFormat="1" applyFont="1" applyFill="1" applyBorder="1" applyAlignment="1">
      <alignment horizontal="right" vertical="center" wrapText="1" readingOrder="1"/>
    </xf>
    <xf numFmtId="2" fontId="0" fillId="3" borderId="4" xfId="0" applyNumberFormat="1" applyFont="1" applyFill="1" applyBorder="1" applyAlignment="1">
      <alignment horizontal="right" vertical="center"/>
    </xf>
    <xf numFmtId="0" fontId="4" fillId="3" borderId="4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horizontal="left" vertical="center" wrapText="1" readingOrder="1"/>
    </xf>
    <xf numFmtId="0" fontId="4" fillId="3" borderId="4" xfId="0" applyFont="1" applyFill="1" applyBorder="1" applyAlignment="1">
      <alignment horizontal="right" vertical="center" wrapText="1"/>
    </xf>
    <xf numFmtId="4" fontId="4" fillId="3" borderId="4" xfId="0" applyNumberFormat="1" applyFont="1" applyFill="1" applyBorder="1" applyAlignment="1">
      <alignment horizontal="right" vertical="center" wrapText="1"/>
    </xf>
    <xf numFmtId="0" fontId="7" fillId="3" borderId="4" xfId="0" applyFont="1" applyFill="1" applyBorder="1"/>
    <xf numFmtId="0" fontId="7" fillId="3" borderId="4" xfId="0" applyFont="1" applyFill="1" applyBorder="1" applyAlignment="1">
      <alignment horizontal="right"/>
    </xf>
    <xf numFmtId="0" fontId="11" fillId="3" borderId="4" xfId="0" applyFont="1" applyFill="1" applyBorder="1" applyAlignment="1">
      <alignment horizontal="right"/>
    </xf>
    <xf numFmtId="2" fontId="11" fillId="3" borderId="4" xfId="0" applyNumberFormat="1" applyFont="1" applyFill="1" applyBorder="1"/>
    <xf numFmtId="0" fontId="11" fillId="3" borderId="4" xfId="0" applyFont="1" applyFill="1" applyBorder="1"/>
    <xf numFmtId="0" fontId="11" fillId="3" borderId="4" xfId="0" applyFont="1" applyFill="1" applyBorder="1" applyAlignment="1"/>
    <xf numFmtId="4" fontId="11" fillId="3" borderId="4" xfId="0" applyNumberFormat="1" applyFont="1" applyFill="1" applyBorder="1"/>
    <xf numFmtId="17" fontId="4" fillId="3" borderId="4" xfId="0" applyNumberFormat="1" applyFont="1" applyFill="1" applyBorder="1" applyAlignment="1">
      <alignment horizontal="right" vertical="center" wrapText="1" readingOrder="1"/>
    </xf>
    <xf numFmtId="2" fontId="8" fillId="3" borderId="4" xfId="0" applyNumberFormat="1" applyFont="1" applyFill="1" applyBorder="1" applyAlignment="1">
      <alignment horizontal="center" vertical="center" wrapText="1" readingOrder="1"/>
    </xf>
    <xf numFmtId="4" fontId="0" fillId="3" borderId="4" xfId="0" applyNumberFormat="1" applyFont="1" applyFill="1" applyBorder="1" applyAlignment="1">
      <alignment horizontal="right" vertical="center"/>
    </xf>
    <xf numFmtId="17" fontId="4" fillId="3" borderId="4" xfId="0" applyNumberFormat="1" applyFont="1" applyFill="1" applyBorder="1" applyAlignment="1">
      <alignment horizontal="right" vertical="center" wrapText="1"/>
    </xf>
    <xf numFmtId="0" fontId="0" fillId="3" borderId="4" xfId="0" applyFill="1" applyBorder="1" applyAlignment="1">
      <alignment horizontal="right" vertical="center"/>
    </xf>
    <xf numFmtId="2" fontId="7" fillId="3" borderId="4" xfId="0" applyNumberFormat="1" applyFont="1" applyFill="1" applyBorder="1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top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wrapText="1"/>
    </xf>
    <xf numFmtId="0" fontId="1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left" vertical="top"/>
    </xf>
    <xf numFmtId="4" fontId="1" fillId="3" borderId="4" xfId="0" applyNumberFormat="1" applyFont="1" applyFill="1" applyBorder="1" applyAlignment="1">
      <alignment horizontal="right"/>
    </xf>
    <xf numFmtId="0" fontId="2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/>
    </xf>
    <xf numFmtId="0" fontId="1" fillId="3" borderId="4" xfId="0" applyFont="1" applyFill="1" applyBorder="1" applyAlignment="1">
      <alignment horizontal="center" vertical="top"/>
    </xf>
    <xf numFmtId="0" fontId="1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left" vertical="top" indent="2"/>
    </xf>
    <xf numFmtId="0" fontId="7" fillId="3" borderId="4" xfId="2" applyFont="1" applyFill="1" applyBorder="1" applyAlignment="1">
      <alignment horizontal="center" vertical="top" wrapText="1"/>
    </xf>
    <xf numFmtId="0" fontId="14" fillId="0" borderId="0" xfId="0" applyFont="1"/>
    <xf numFmtId="0" fontId="15" fillId="0" borderId="0" xfId="0" applyFont="1"/>
    <xf numFmtId="4" fontId="1" fillId="3" borderId="4" xfId="0" applyNumberFormat="1" applyFont="1" applyFill="1" applyBorder="1" applyAlignment="1">
      <alignment horizontal="left" vertical="top"/>
    </xf>
    <xf numFmtId="0" fontId="1" fillId="3" borderId="4" xfId="0" applyFont="1" applyFill="1" applyBorder="1" applyAlignment="1">
      <alignment horizontal="left" vertical="center" wrapText="1"/>
    </xf>
    <xf numFmtId="0" fontId="1" fillId="3" borderId="5" xfId="0" applyFont="1" applyFill="1" applyBorder="1" applyAlignment="1"/>
    <xf numFmtId="3" fontId="4" fillId="0" borderId="4" xfId="0" applyNumberFormat="1" applyFont="1" applyFill="1" applyBorder="1" applyAlignment="1">
      <alignment horizontal="right" wrapText="1"/>
    </xf>
    <xf numFmtId="3" fontId="7" fillId="0" borderId="4" xfId="0" applyNumberFormat="1" applyFont="1" applyFill="1" applyBorder="1" applyAlignment="1"/>
    <xf numFmtId="0" fontId="7" fillId="0" borderId="4" xfId="0" applyFont="1" applyFill="1" applyBorder="1" applyAlignment="1">
      <alignment wrapText="1"/>
    </xf>
    <xf numFmtId="0" fontId="4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3" fontId="9" fillId="0" borderId="4" xfId="0" applyNumberFormat="1" applyFont="1" applyFill="1" applyBorder="1" applyAlignment="1">
      <alignment horizontal="right" wrapText="1"/>
    </xf>
    <xf numFmtId="0" fontId="4" fillId="0" borderId="4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left" vertical="center" wrapText="1" readingOrder="1"/>
    </xf>
    <xf numFmtId="3" fontId="1" fillId="0" borderId="4" xfId="0" applyNumberFormat="1" applyFont="1" applyFill="1" applyBorder="1" applyAlignment="1">
      <alignment horizontal="left"/>
    </xf>
    <xf numFmtId="0" fontId="11" fillId="0" borderId="4" xfId="0" applyFont="1" applyFill="1" applyBorder="1"/>
    <xf numFmtId="4" fontId="8" fillId="0" borderId="4" xfId="0" applyNumberFormat="1" applyFont="1" applyFill="1" applyBorder="1" applyAlignment="1">
      <alignment horizontal="center" wrapText="1"/>
    </xf>
    <xf numFmtId="4" fontId="4" fillId="0" borderId="4" xfId="0" applyNumberFormat="1" applyFont="1" applyFill="1" applyBorder="1" applyAlignment="1">
      <alignment horizontal="right" wrapText="1"/>
    </xf>
    <xf numFmtId="4" fontId="1" fillId="0" borderId="4" xfId="0" applyNumberFormat="1" applyFont="1" applyFill="1" applyBorder="1" applyAlignment="1">
      <alignment horizontal="left"/>
    </xf>
    <xf numFmtId="4" fontId="7" fillId="0" borderId="4" xfId="0" applyNumberFormat="1" applyFont="1" applyFill="1" applyBorder="1" applyAlignment="1">
      <alignment horizontal="right"/>
    </xf>
    <xf numFmtId="4" fontId="7" fillId="0" borderId="4" xfId="0" applyNumberFormat="1" applyFont="1" applyFill="1" applyBorder="1" applyAlignment="1"/>
    <xf numFmtId="4" fontId="1" fillId="0" borderId="4" xfId="0" applyNumberFormat="1" applyFont="1" applyFill="1" applyBorder="1" applyAlignment="1">
      <alignment horizontal="right"/>
    </xf>
    <xf numFmtId="0" fontId="7" fillId="0" borderId="4" xfId="0" applyFont="1" applyFill="1" applyBorder="1" applyAlignment="1">
      <alignment vertical="top" wrapText="1"/>
    </xf>
    <xf numFmtId="3" fontId="7" fillId="0" borderId="4" xfId="0" applyNumberFormat="1" applyFont="1" applyFill="1" applyBorder="1" applyAlignment="1">
      <alignment horizontal="right"/>
    </xf>
    <xf numFmtId="4" fontId="2" fillId="0" borderId="4" xfId="0" applyNumberFormat="1" applyFont="1" applyFill="1" applyBorder="1" applyAlignment="1">
      <alignment horizontal="right"/>
    </xf>
    <xf numFmtId="3" fontId="1" fillId="0" borderId="4" xfId="0" applyNumberFormat="1" applyFont="1" applyFill="1" applyBorder="1" applyAlignment="1">
      <alignment horizontal="right"/>
    </xf>
    <xf numFmtId="0" fontId="1" fillId="0" borderId="0" xfId="0" applyFont="1" applyFill="1"/>
    <xf numFmtId="0" fontId="2" fillId="0" borderId="3" xfId="0" applyFont="1" applyFill="1" applyBorder="1" applyAlignment="1">
      <alignment vertical="top"/>
    </xf>
    <xf numFmtId="0" fontId="1" fillId="0" borderId="4" xfId="0" applyFont="1" applyFill="1" applyBorder="1" applyAlignment="1">
      <alignment horizontal="left" vertical="top"/>
    </xf>
    <xf numFmtId="0" fontId="1" fillId="0" borderId="4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vertical="center" wrapText="1"/>
    </xf>
    <xf numFmtId="4" fontId="1" fillId="0" borderId="0" xfId="0" applyNumberFormat="1" applyFont="1" applyFill="1"/>
    <xf numFmtId="0" fontId="1" fillId="0" borderId="4" xfId="0" applyFont="1" applyFill="1" applyBorder="1" applyAlignment="1">
      <alignment horizontal="center"/>
    </xf>
    <xf numFmtId="3" fontId="1" fillId="0" borderId="4" xfId="0" applyNumberFormat="1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left" vertical="top"/>
    </xf>
    <xf numFmtId="3" fontId="2" fillId="0" borderId="4" xfId="0" applyNumberFormat="1" applyFont="1" applyFill="1" applyBorder="1" applyAlignment="1">
      <alignment horizontal="left"/>
    </xf>
    <xf numFmtId="0" fontId="1" fillId="0" borderId="4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left" vertical="top" indent="2"/>
    </xf>
    <xf numFmtId="0" fontId="1" fillId="0" borderId="4" xfId="0" applyFont="1" applyFill="1" applyBorder="1" applyAlignment="1">
      <alignment horizontal="left" vertical="top" indent="2"/>
    </xf>
    <xf numFmtId="0" fontId="2" fillId="0" borderId="0" xfId="0" applyFont="1" applyFill="1"/>
    <xf numFmtId="0" fontId="1" fillId="0" borderId="4" xfId="0" applyFont="1" applyFill="1" applyBorder="1" applyAlignment="1">
      <alignment horizontal="left"/>
    </xf>
    <xf numFmtId="0" fontId="4" fillId="0" borderId="4" xfId="0" applyFont="1" applyFill="1" applyBorder="1" applyAlignment="1">
      <alignment vertical="center" wrapText="1" readingOrder="1"/>
    </xf>
    <xf numFmtId="3" fontId="4" fillId="0" borderId="4" xfId="0" applyNumberFormat="1" applyFont="1" applyFill="1" applyBorder="1" applyAlignment="1">
      <alignment wrapText="1"/>
    </xf>
    <xf numFmtId="4" fontId="1" fillId="0" borderId="4" xfId="0" applyNumberFormat="1" applyFont="1" applyFill="1" applyBorder="1" applyAlignment="1">
      <alignment horizontal="center"/>
    </xf>
    <xf numFmtId="0" fontId="11" fillId="0" borderId="4" xfId="0" applyFont="1" applyFill="1" applyBorder="1" applyAlignment="1"/>
    <xf numFmtId="3" fontId="11" fillId="0" borderId="4" xfId="0" applyNumberFormat="1" applyFont="1" applyFill="1" applyBorder="1" applyAlignment="1"/>
    <xf numFmtId="4" fontId="11" fillId="0" borderId="4" xfId="0" applyNumberFormat="1" applyFont="1" applyFill="1" applyBorder="1" applyAlignment="1"/>
    <xf numFmtId="4" fontId="11" fillId="0" borderId="4" xfId="0" applyNumberFormat="1" applyFont="1" applyFill="1" applyBorder="1" applyAlignment="1">
      <alignment horizontal="right"/>
    </xf>
    <xf numFmtId="3" fontId="4" fillId="0" borderId="4" xfId="0" applyNumberFormat="1" applyFont="1" applyFill="1" applyBorder="1" applyAlignment="1">
      <alignment horizontal="left" wrapText="1"/>
    </xf>
    <xf numFmtId="0" fontId="1" fillId="0" borderId="5" xfId="0" applyFont="1" applyFill="1" applyBorder="1" applyAlignment="1"/>
    <xf numFmtId="4" fontId="8" fillId="0" borderId="4" xfId="0" applyNumberFormat="1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 readingOrder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top"/>
    </xf>
    <xf numFmtId="4" fontId="9" fillId="0" borderId="4" xfId="0" applyNumberFormat="1" applyFont="1" applyFill="1" applyBorder="1" applyAlignment="1">
      <alignment horizontal="right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3" fontId="1" fillId="0" borderId="4" xfId="0" applyNumberFormat="1" applyFont="1" applyFill="1" applyBorder="1" applyAlignment="1">
      <alignment horizontal="right" wrapText="1"/>
    </xf>
    <xf numFmtId="3" fontId="7" fillId="3" borderId="4" xfId="0" applyNumberFormat="1" applyFont="1" applyFill="1" applyBorder="1" applyAlignment="1"/>
    <xf numFmtId="3" fontId="4" fillId="3" borderId="4" xfId="0" applyNumberFormat="1" applyFont="1" applyFill="1" applyBorder="1" applyAlignment="1">
      <alignment horizontal="right" wrapText="1"/>
    </xf>
    <xf numFmtId="165" fontId="1" fillId="0" borderId="0" xfId="0" applyNumberFormat="1" applyFont="1" applyFill="1"/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indent="2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vertical="center" wrapText="1"/>
    </xf>
    <xf numFmtId="4" fontId="2" fillId="0" borderId="4" xfId="0" applyNumberFormat="1" applyFont="1" applyFill="1" applyBorder="1" applyAlignment="1"/>
    <xf numFmtId="0" fontId="1" fillId="0" borderId="4" xfId="1" applyFont="1" applyFill="1" applyBorder="1" applyAlignment="1">
      <alignment horizontal="center" vertical="top" wrapText="1"/>
    </xf>
    <xf numFmtId="4" fontId="11" fillId="3" borderId="4" xfId="0" applyNumberFormat="1" applyFont="1" applyFill="1" applyBorder="1" applyAlignment="1"/>
    <xf numFmtId="0" fontId="1" fillId="0" borderId="4" xfId="0" applyFont="1" applyFill="1" applyBorder="1" applyAlignment="1">
      <alignment horizontal="left" vertical="center" wrapText="1"/>
    </xf>
    <xf numFmtId="4" fontId="4" fillId="0" borderId="4" xfId="0" applyNumberFormat="1" applyFont="1" applyFill="1" applyBorder="1" applyAlignment="1">
      <alignment horizontal="center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7" fillId="0" borderId="4" xfId="2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wrapText="1"/>
    </xf>
    <xf numFmtId="4" fontId="4" fillId="4" borderId="4" xfId="0" applyNumberFormat="1" applyFont="1" applyFill="1" applyBorder="1" applyAlignment="1">
      <alignment horizontal="right" wrapText="1"/>
    </xf>
    <xf numFmtId="4" fontId="8" fillId="4" borderId="4" xfId="0" applyNumberFormat="1" applyFont="1" applyFill="1" applyBorder="1" applyAlignment="1">
      <alignment horizontal="right" wrapText="1"/>
    </xf>
    <xf numFmtId="4" fontId="1" fillId="4" borderId="4" xfId="0" applyNumberFormat="1" applyFont="1" applyFill="1" applyBorder="1" applyAlignment="1">
      <alignment horizontal="right"/>
    </xf>
    <xf numFmtId="4" fontId="7" fillId="4" borderId="4" xfId="0" applyNumberFormat="1" applyFont="1" applyFill="1" applyBorder="1" applyAlignment="1">
      <alignment horizontal="right"/>
    </xf>
    <xf numFmtId="4" fontId="16" fillId="0" borderId="4" xfId="0" applyNumberFormat="1" applyFont="1" applyFill="1" applyBorder="1" applyAlignment="1">
      <alignment horizontal="left"/>
    </xf>
    <xf numFmtId="4" fontId="8" fillId="5" borderId="4" xfId="0" applyNumberFormat="1" applyFont="1" applyFill="1" applyBorder="1" applyAlignment="1">
      <alignment horizontal="right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3" fontId="4" fillId="0" borderId="4" xfId="0" applyNumberFormat="1" applyFont="1" applyFill="1" applyBorder="1" applyAlignment="1">
      <alignment horizontal="center" wrapText="1"/>
    </xf>
    <xf numFmtId="4" fontId="1" fillId="5" borderId="4" xfId="0" applyNumberFormat="1" applyFont="1" applyFill="1" applyBorder="1" applyAlignment="1">
      <alignment horizontal="right"/>
    </xf>
    <xf numFmtId="164" fontId="4" fillId="0" borderId="4" xfId="0" applyNumberFormat="1" applyFont="1" applyFill="1" applyBorder="1" applyAlignment="1">
      <alignment horizontal="right" wrapText="1"/>
    </xf>
    <xf numFmtId="3" fontId="4" fillId="0" borderId="4" xfId="0" applyNumberFormat="1" applyFont="1" applyFill="1" applyBorder="1" applyAlignment="1">
      <alignment horizontal="center" wrapText="1"/>
    </xf>
    <xf numFmtId="0" fontId="1" fillId="5" borderId="4" xfId="0" applyFont="1" applyFill="1" applyBorder="1" applyAlignment="1">
      <alignment horizontal="center" wrapText="1"/>
    </xf>
    <xf numFmtId="0" fontId="1" fillId="5" borderId="4" xfId="0" applyFont="1" applyFill="1" applyBorder="1" applyAlignment="1">
      <alignment horizontal="center" vertical="center" wrapText="1"/>
    </xf>
    <xf numFmtId="4" fontId="2" fillId="5" borderId="4" xfId="0" applyNumberFormat="1" applyFont="1" applyFill="1" applyBorder="1" applyAlignment="1">
      <alignment horizontal="right"/>
    </xf>
    <xf numFmtId="4" fontId="1" fillId="6" borderId="4" xfId="0" applyNumberFormat="1" applyFont="1" applyFill="1" applyBorder="1" applyAlignment="1">
      <alignment horizontal="right"/>
    </xf>
    <xf numFmtId="4" fontId="8" fillId="5" borderId="4" xfId="0" applyNumberFormat="1" applyFont="1" applyFill="1" applyBorder="1" applyAlignment="1">
      <alignment horizontal="center" wrapText="1"/>
    </xf>
    <xf numFmtId="4" fontId="1" fillId="5" borderId="4" xfId="0" applyNumberFormat="1" applyFont="1" applyFill="1" applyBorder="1" applyAlignment="1">
      <alignment horizontal="left"/>
    </xf>
    <xf numFmtId="0" fontId="1" fillId="5" borderId="4" xfId="1" applyFont="1" applyFill="1" applyBorder="1" applyAlignment="1">
      <alignment horizontal="center" vertical="top" wrapText="1"/>
    </xf>
    <xf numFmtId="0" fontId="7" fillId="5" borderId="4" xfId="0" applyFont="1" applyFill="1" applyBorder="1" applyAlignment="1">
      <alignment wrapText="1"/>
    </xf>
    <xf numFmtId="0" fontId="4" fillId="5" borderId="4" xfId="0" applyFont="1" applyFill="1" applyBorder="1" applyAlignment="1">
      <alignment horizontal="left" vertical="center" wrapText="1"/>
    </xf>
    <xf numFmtId="3" fontId="7" fillId="5" borderId="4" xfId="0" applyNumberFormat="1" applyFont="1" applyFill="1" applyBorder="1" applyAlignment="1"/>
    <xf numFmtId="3" fontId="4" fillId="5" borderId="4" xfId="0" applyNumberFormat="1" applyFont="1" applyFill="1" applyBorder="1" applyAlignment="1">
      <alignment horizontal="right" wrapText="1"/>
    </xf>
    <xf numFmtId="4" fontId="1" fillId="7" borderId="4" xfId="0" applyNumberFormat="1" applyFont="1" applyFill="1" applyBorder="1" applyAlignment="1">
      <alignment horizontal="right"/>
    </xf>
    <xf numFmtId="4" fontId="7" fillId="5" borderId="4" xfId="0" applyNumberFormat="1" applyFont="1" applyFill="1" applyBorder="1" applyAlignment="1">
      <alignment horizontal="right"/>
    </xf>
    <xf numFmtId="0" fontId="1" fillId="5" borderId="4" xfId="0" applyFont="1" applyFill="1" applyBorder="1" applyAlignment="1">
      <alignment horizontal="right"/>
    </xf>
    <xf numFmtId="0" fontId="1" fillId="7" borderId="4" xfId="0" applyFont="1" applyFill="1" applyBorder="1" applyAlignment="1">
      <alignment horizontal="right"/>
    </xf>
    <xf numFmtId="0" fontId="1" fillId="0" borderId="4" xfId="0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3" fontId="4" fillId="0" borderId="4" xfId="0" applyNumberFormat="1" applyFont="1" applyFill="1" applyBorder="1" applyAlignment="1">
      <alignment horizontal="center" wrapText="1"/>
    </xf>
    <xf numFmtId="4" fontId="2" fillId="6" borderId="4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vertical="top"/>
    </xf>
    <xf numFmtId="0" fontId="1" fillId="0" borderId="4" xfId="0" applyFont="1" applyFill="1" applyBorder="1"/>
    <xf numFmtId="0" fontId="1" fillId="0" borderId="4" xfId="0" applyFont="1" applyFill="1" applyBorder="1" applyAlignment="1">
      <alignment horizontal="right"/>
    </xf>
    <xf numFmtId="4" fontId="1" fillId="0" borderId="4" xfId="0" applyNumberFormat="1" applyFont="1" applyFill="1" applyBorder="1"/>
    <xf numFmtId="0" fontId="2" fillId="0" borderId="4" xfId="0" applyFont="1" applyFill="1" applyBorder="1"/>
    <xf numFmtId="4" fontId="2" fillId="0" borderId="4" xfId="0" applyNumberFormat="1" applyFont="1" applyFill="1" applyBorder="1"/>
    <xf numFmtId="0" fontId="2" fillId="0" borderId="4" xfId="0" applyFont="1" applyFill="1" applyBorder="1" applyAlignment="1">
      <alignment horizontal="left" vertical="center"/>
    </xf>
    <xf numFmtId="4" fontId="17" fillId="0" borderId="4" xfId="0" applyNumberFormat="1" applyFont="1" applyFill="1" applyBorder="1" applyAlignment="1">
      <alignment horizontal="right"/>
    </xf>
    <xf numFmtId="3" fontId="4" fillId="0" borderId="4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/>
    <xf numFmtId="4" fontId="1" fillId="0" borderId="3" xfId="0" applyNumberFormat="1" applyFont="1" applyFill="1" applyBorder="1"/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 readingOrder="1"/>
    </xf>
    <xf numFmtId="3" fontId="4" fillId="0" borderId="4" xfId="0" applyNumberFormat="1" applyFont="1" applyFill="1" applyBorder="1" applyAlignment="1">
      <alignment horizontal="center" wrapText="1"/>
    </xf>
    <xf numFmtId="0" fontId="7" fillId="0" borderId="4" xfId="2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right"/>
    </xf>
    <xf numFmtId="0" fontId="1" fillId="0" borderId="4" xfId="0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4" fontId="8" fillId="0" borderId="4" xfId="0" applyNumberFormat="1" applyFont="1" applyFill="1" applyBorder="1" applyAlignment="1"/>
    <xf numFmtId="4" fontId="8" fillId="0" borderId="4" xfId="0" applyNumberFormat="1" applyFont="1" applyFill="1" applyBorder="1" applyAlignment="1">
      <alignment horizontal="right"/>
    </xf>
    <xf numFmtId="4" fontId="20" fillId="0" borderId="4" xfId="0" applyNumberFormat="1" applyFont="1" applyFill="1" applyBorder="1" applyAlignment="1">
      <alignment horizontal="right"/>
    </xf>
    <xf numFmtId="4" fontId="2" fillId="0" borderId="0" xfId="0" applyNumberFormat="1" applyFont="1" applyFill="1"/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3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left" vertical="center" wrapText="1"/>
    </xf>
    <xf numFmtId="4" fontId="4" fillId="0" borderId="4" xfId="0" applyNumberFormat="1" applyFont="1" applyFill="1" applyBorder="1" applyAlignment="1">
      <alignment horizontal="center" wrapText="1"/>
    </xf>
    <xf numFmtId="2" fontId="1" fillId="0" borderId="0" xfId="0" applyNumberFormat="1" applyFont="1" applyFill="1"/>
    <xf numFmtId="0" fontId="7" fillId="3" borderId="4" xfId="2" applyFont="1" applyFill="1" applyBorder="1" applyAlignment="1">
      <alignment horizontal="center" vertical="top" wrapText="1"/>
    </xf>
    <xf numFmtId="0" fontId="10" fillId="3" borderId="4" xfId="1" applyFont="1" applyFill="1" applyBorder="1" applyAlignment="1">
      <alignment horizontal="center" vertical="top" wrapText="1"/>
    </xf>
    <xf numFmtId="0" fontId="13" fillId="3" borderId="4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top"/>
    </xf>
    <xf numFmtId="0" fontId="13" fillId="0" borderId="3" xfId="0" applyFont="1" applyBorder="1" applyAlignment="1">
      <alignment horizontal="center" vertical="top"/>
    </xf>
    <xf numFmtId="0" fontId="4" fillId="3" borderId="4" xfId="0" applyFont="1" applyFill="1" applyBorder="1" applyAlignment="1">
      <alignment horizontal="center" vertical="center" wrapText="1" readingOrder="1"/>
    </xf>
    <xf numFmtId="0" fontId="1" fillId="3" borderId="6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top" wrapText="1"/>
    </xf>
    <xf numFmtId="0" fontId="7" fillId="0" borderId="5" xfId="2" applyFont="1" applyFill="1" applyBorder="1" applyAlignment="1">
      <alignment horizontal="center" vertical="top" wrapText="1"/>
    </xf>
    <xf numFmtId="0" fontId="7" fillId="0" borderId="6" xfId="2" applyFont="1" applyFill="1" applyBorder="1" applyAlignment="1">
      <alignment horizontal="center" vertical="top" wrapText="1"/>
    </xf>
    <xf numFmtId="0" fontId="7" fillId="0" borderId="7" xfId="2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1" fillId="0" borderId="8" xfId="0" applyFont="1" applyFill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 readingOrder="1"/>
    </xf>
    <xf numFmtId="3" fontId="4" fillId="0" borderId="4" xfId="0" applyNumberFormat="1" applyFont="1" applyFill="1" applyBorder="1" applyAlignment="1">
      <alignment horizont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right"/>
    </xf>
    <xf numFmtId="0" fontId="2" fillId="0" borderId="9" xfId="0" applyFont="1" applyFill="1" applyBorder="1" applyAlignment="1">
      <alignment horizontal="right"/>
    </xf>
    <xf numFmtId="0" fontId="2" fillId="0" borderId="10" xfId="0" applyFont="1" applyFill="1" applyBorder="1" applyAlignment="1">
      <alignment horizontal="right"/>
    </xf>
    <xf numFmtId="0" fontId="0" fillId="0" borderId="9" xfId="0" applyFill="1" applyBorder="1"/>
    <xf numFmtId="0" fontId="0" fillId="0" borderId="10" xfId="0" applyFill="1" applyBorder="1"/>
  </cellXfs>
  <cellStyles count="3">
    <cellStyle name="Обычный" xfId="0" builtinId="0"/>
    <cellStyle name="Обычный 2" xfId="2"/>
    <cellStyle name="Плохой" xfId="1" builtinId="27"/>
  </cellStyles>
  <dxfs count="0"/>
  <tableStyles count="0" defaultTableStyle="TableStyleMedium9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8"/>
  <sheetViews>
    <sheetView zoomScale="80" zoomScaleNormal="80" workbookViewId="0">
      <pane xSplit="3" ySplit="8" topLeftCell="D18" activePane="bottomRight" state="frozen"/>
      <selection pane="topRight" activeCell="D1" sqref="D1"/>
      <selection pane="bottomLeft" activeCell="A9" sqref="A9"/>
      <selection pane="bottomRight" activeCell="N21" sqref="N21"/>
    </sheetView>
  </sheetViews>
  <sheetFormatPr defaultRowHeight="12.75" x14ac:dyDescent="0.2"/>
  <cols>
    <col min="1" max="1" width="19.42578125" customWidth="1"/>
    <col min="2" max="2" width="19.85546875" customWidth="1"/>
    <col min="3" max="3" width="23.7109375" customWidth="1"/>
    <col min="4" max="4" width="8.7109375" customWidth="1"/>
    <col min="5" max="5" width="12.42578125" customWidth="1"/>
    <col min="6" max="7" width="12.7109375" customWidth="1"/>
    <col min="8" max="8" width="14.140625" bestFit="1" customWidth="1"/>
    <col min="9" max="9" width="16" customWidth="1"/>
    <col min="10" max="10" width="13.85546875" customWidth="1"/>
    <col min="11" max="11" width="12.140625" bestFit="1" customWidth="1"/>
    <col min="12" max="12" width="16.7109375" customWidth="1"/>
    <col min="13" max="13" width="15.42578125" customWidth="1"/>
    <col min="14" max="14" width="13.28515625" customWidth="1"/>
    <col min="15" max="15" width="14.28515625" customWidth="1"/>
    <col min="16" max="16" width="13.140625" customWidth="1"/>
    <col min="17" max="17" width="14.85546875" bestFit="1" customWidth="1"/>
    <col min="19" max="19" width="13.5703125" bestFit="1" customWidth="1"/>
  </cols>
  <sheetData>
    <row r="1" spans="1:19" ht="15" x14ac:dyDescent="0.2">
      <c r="A1" s="1"/>
      <c r="O1" s="3" t="s">
        <v>2</v>
      </c>
    </row>
    <row r="2" spans="1:19" ht="15" x14ac:dyDescent="0.2">
      <c r="O2" s="3" t="s">
        <v>153</v>
      </c>
    </row>
    <row r="3" spans="1:19" ht="18.75" x14ac:dyDescent="0.2">
      <c r="A3" s="225" t="s">
        <v>1</v>
      </c>
      <c r="B3" s="225"/>
      <c r="C3" s="226"/>
      <c r="D3" s="225"/>
      <c r="E3" s="225"/>
      <c r="F3" s="225"/>
      <c r="G3" s="225"/>
      <c r="H3" s="225"/>
      <c r="I3" s="226"/>
      <c r="J3" s="225"/>
      <c r="K3" s="225"/>
      <c r="L3" s="225"/>
      <c r="M3" s="225"/>
      <c r="N3" s="226"/>
      <c r="O3" s="225"/>
      <c r="P3" s="225"/>
      <c r="Q3" s="225"/>
    </row>
    <row r="4" spans="1:19" ht="36.75" customHeight="1" x14ac:dyDescent="0.3">
      <c r="A4" s="6" t="s">
        <v>155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</row>
    <row r="5" spans="1:19" ht="15.75" hidden="1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9" ht="45" x14ac:dyDescent="0.2">
      <c r="A6" s="38" t="s">
        <v>3</v>
      </c>
      <c r="B6" s="38" t="s">
        <v>81</v>
      </c>
      <c r="C6" s="38" t="s">
        <v>152</v>
      </c>
      <c r="D6" s="38" t="s">
        <v>4</v>
      </c>
      <c r="E6" s="232" t="s">
        <v>5</v>
      </c>
      <c r="F6" s="232"/>
      <c r="G6" s="232"/>
      <c r="H6" s="223" t="s">
        <v>6</v>
      </c>
      <c r="I6" s="223"/>
      <c r="J6" s="223"/>
      <c r="K6" s="223"/>
      <c r="L6" s="223" t="s">
        <v>7</v>
      </c>
      <c r="M6" s="223"/>
      <c r="N6" s="223"/>
      <c r="O6" s="223"/>
      <c r="P6" s="223"/>
      <c r="Q6" s="223"/>
    </row>
    <row r="7" spans="1:19" ht="60" x14ac:dyDescent="0.25">
      <c r="A7" s="39"/>
      <c r="B7" s="39"/>
      <c r="C7" s="39"/>
      <c r="D7" s="39"/>
      <c r="E7" s="40" t="s">
        <v>8</v>
      </c>
      <c r="F7" s="40" t="s">
        <v>9</v>
      </c>
      <c r="G7" s="40" t="s">
        <v>10</v>
      </c>
      <c r="H7" s="41" t="s">
        <v>79</v>
      </c>
      <c r="I7" s="38" t="s">
        <v>80</v>
      </c>
      <c r="J7" s="41" t="s">
        <v>11</v>
      </c>
      <c r="K7" s="40" t="s">
        <v>12</v>
      </c>
      <c r="L7" s="224" t="s">
        <v>8</v>
      </c>
      <c r="M7" s="224"/>
      <c r="N7" s="224"/>
      <c r="O7" s="224"/>
      <c r="P7" s="40" t="s">
        <v>9</v>
      </c>
      <c r="Q7" s="40" t="s">
        <v>10</v>
      </c>
    </row>
    <row r="8" spans="1:19" ht="43.5" customHeight="1" x14ac:dyDescent="0.25">
      <c r="A8" s="42" t="s">
        <v>13</v>
      </c>
      <c r="B8" s="42" t="s">
        <v>14</v>
      </c>
      <c r="C8" s="42"/>
      <c r="D8" s="43" t="s">
        <v>15</v>
      </c>
      <c r="E8" s="42" t="s">
        <v>16</v>
      </c>
      <c r="F8" s="42" t="s">
        <v>16</v>
      </c>
      <c r="G8" s="42" t="s">
        <v>16</v>
      </c>
      <c r="H8" s="43" t="s">
        <v>17</v>
      </c>
      <c r="I8" s="43" t="s">
        <v>17</v>
      </c>
      <c r="J8" s="43" t="s">
        <v>17</v>
      </c>
      <c r="K8" s="43" t="s">
        <v>17</v>
      </c>
      <c r="L8" s="43" t="s">
        <v>85</v>
      </c>
      <c r="M8" s="43" t="s">
        <v>83</v>
      </c>
      <c r="N8" s="43" t="s">
        <v>84</v>
      </c>
      <c r="O8" s="43" t="s">
        <v>12</v>
      </c>
      <c r="P8" s="43" t="s">
        <v>17</v>
      </c>
      <c r="Q8" s="43" t="s">
        <v>17</v>
      </c>
    </row>
    <row r="9" spans="1:19" ht="15" x14ac:dyDescent="0.25">
      <c r="A9" s="44" t="s">
        <v>18</v>
      </c>
      <c r="B9" s="45"/>
      <c r="C9" s="45"/>
      <c r="D9" s="45"/>
      <c r="E9" s="45"/>
      <c r="F9" s="45"/>
      <c r="G9" s="45"/>
      <c r="H9" s="46"/>
      <c r="I9" s="46"/>
      <c r="J9" s="46"/>
      <c r="K9" s="46"/>
      <c r="L9" s="46">
        <f>L10+L15</f>
        <v>4839183.68</v>
      </c>
      <c r="M9" s="46">
        <f t="shared" ref="M9:N9" si="0">M10+M15</f>
        <v>1411442.4</v>
      </c>
      <c r="N9" s="46">
        <f t="shared" si="0"/>
        <v>6372720</v>
      </c>
      <c r="O9" s="46">
        <f>L9+M9+N9</f>
        <v>12623346.08</v>
      </c>
      <c r="P9" s="46">
        <f>L9</f>
        <v>4839183.68</v>
      </c>
      <c r="Q9" s="46">
        <f>L9</f>
        <v>4839183.68</v>
      </c>
    </row>
    <row r="10" spans="1:19" ht="85.5" x14ac:dyDescent="0.25">
      <c r="A10" s="47"/>
      <c r="B10" s="47" t="s">
        <v>76</v>
      </c>
      <c r="C10" s="47"/>
      <c r="D10" s="45"/>
      <c r="E10" s="48"/>
      <c r="F10" s="48"/>
      <c r="G10" s="48"/>
      <c r="H10" s="46"/>
      <c r="I10" s="46"/>
      <c r="J10" s="46"/>
      <c r="K10" s="46"/>
      <c r="L10" s="46">
        <f>L11+L12</f>
        <v>4839183.68</v>
      </c>
      <c r="M10" s="46">
        <f t="shared" ref="M10:N10" si="1">M11+M12</f>
        <v>1411442.4</v>
      </c>
      <c r="N10" s="46">
        <f t="shared" si="1"/>
        <v>3253642.8</v>
      </c>
      <c r="O10" s="46">
        <f>L10+M10+N10</f>
        <v>9504268.879999999</v>
      </c>
      <c r="P10" s="46">
        <f>O10</f>
        <v>9504268.879999999</v>
      </c>
      <c r="Q10" s="46">
        <f>P10</f>
        <v>9504268.879999999</v>
      </c>
      <c r="S10" s="4"/>
    </row>
    <row r="11" spans="1:19" ht="105" x14ac:dyDescent="0.25">
      <c r="A11" s="42"/>
      <c r="B11" s="44" t="s">
        <v>19</v>
      </c>
      <c r="C11" s="42" t="s">
        <v>0</v>
      </c>
      <c r="D11" s="44" t="s">
        <v>20</v>
      </c>
      <c r="E11" s="44" t="s">
        <v>21</v>
      </c>
      <c r="F11" s="44" t="s">
        <v>21</v>
      </c>
      <c r="G11" s="44" t="s">
        <v>21</v>
      </c>
      <c r="H11" s="46">
        <v>47587</v>
      </c>
      <c r="I11" s="46">
        <v>11762.02</v>
      </c>
      <c r="J11" s="46">
        <v>27113.69</v>
      </c>
      <c r="K11" s="46">
        <f>H11+I11+J11</f>
        <v>86462.71</v>
      </c>
      <c r="L11" s="46">
        <f>E11*H11</f>
        <v>1522784</v>
      </c>
      <c r="M11" s="46">
        <f>F11*I11</f>
        <v>376384.64</v>
      </c>
      <c r="N11" s="46">
        <f>G11*J11</f>
        <v>867638.08</v>
      </c>
      <c r="O11" s="46">
        <f>L11+M11+N11</f>
        <v>2766806.72</v>
      </c>
      <c r="P11" s="46">
        <f>O11</f>
        <v>2766806.72</v>
      </c>
      <c r="Q11" s="46">
        <f>P11</f>
        <v>2766806.72</v>
      </c>
      <c r="S11" s="4"/>
    </row>
    <row r="12" spans="1:19" ht="15" x14ac:dyDescent="0.25">
      <c r="A12" s="49"/>
      <c r="B12" s="50" t="s">
        <v>24</v>
      </c>
      <c r="C12" s="50"/>
      <c r="D12" s="50" t="s">
        <v>20</v>
      </c>
      <c r="E12" s="44" t="s">
        <v>25</v>
      </c>
      <c r="F12" s="44" t="s">
        <v>25</v>
      </c>
      <c r="G12" s="44" t="s">
        <v>25</v>
      </c>
      <c r="H12" s="46">
        <v>37686.36</v>
      </c>
      <c r="I12" s="46">
        <v>11762.02</v>
      </c>
      <c r="J12" s="46">
        <v>27113.69</v>
      </c>
      <c r="K12" s="46">
        <f t="shared" ref="K12:K75" si="2">H12+I12+J12</f>
        <v>76562.070000000007</v>
      </c>
      <c r="L12" s="46">
        <f t="shared" ref="L12:L74" si="3">E12*H12</f>
        <v>3316399.68</v>
      </c>
      <c r="M12" s="46">
        <f t="shared" ref="M12:M74" si="4">F12*I12</f>
        <v>1035057.76</v>
      </c>
      <c r="N12" s="46">
        <f t="shared" ref="N12:N74" si="5">G12*J12</f>
        <v>2386004.7199999997</v>
      </c>
      <c r="O12" s="46">
        <f t="shared" ref="O12:O75" si="6">L12+M12+N12</f>
        <v>6737462.1600000001</v>
      </c>
      <c r="P12" s="46">
        <f t="shared" ref="P12:Q75" si="7">O12</f>
        <v>6737462.1600000001</v>
      </c>
      <c r="Q12" s="46">
        <f t="shared" si="7"/>
        <v>6737462.1600000001</v>
      </c>
      <c r="S12" s="4"/>
    </row>
    <row r="13" spans="1:19" ht="75" hidden="1" x14ac:dyDescent="0.25">
      <c r="A13" s="42" t="s">
        <v>77</v>
      </c>
      <c r="B13" s="45"/>
      <c r="C13" s="45"/>
      <c r="D13" s="44" t="s">
        <v>20</v>
      </c>
      <c r="E13" s="44" t="s">
        <v>27</v>
      </c>
      <c r="F13" s="44" t="s">
        <v>27</v>
      </c>
      <c r="G13" s="44" t="s">
        <v>27</v>
      </c>
      <c r="H13" s="46"/>
      <c r="I13" s="46"/>
      <c r="J13" s="46"/>
      <c r="K13" s="46">
        <f t="shared" si="2"/>
        <v>0</v>
      </c>
      <c r="L13" s="46">
        <f t="shared" si="3"/>
        <v>0</v>
      </c>
      <c r="M13" s="46">
        <f t="shared" si="4"/>
        <v>0</v>
      </c>
      <c r="N13" s="46">
        <f t="shared" si="5"/>
        <v>0</v>
      </c>
      <c r="O13" s="46">
        <f t="shared" si="6"/>
        <v>0</v>
      </c>
      <c r="P13" s="46">
        <f t="shared" si="7"/>
        <v>0</v>
      </c>
      <c r="Q13" s="46">
        <f t="shared" si="7"/>
        <v>0</v>
      </c>
    </row>
    <row r="14" spans="1:19" ht="15" hidden="1" x14ac:dyDescent="0.25">
      <c r="A14" s="43"/>
      <c r="B14" s="45"/>
      <c r="C14" s="45"/>
      <c r="D14" s="45"/>
      <c r="E14" s="44" t="s">
        <v>27</v>
      </c>
      <c r="F14" s="44" t="s">
        <v>27</v>
      </c>
      <c r="G14" s="44" t="s">
        <v>27</v>
      </c>
      <c r="H14" s="46"/>
      <c r="I14" s="46"/>
      <c r="J14" s="46">
        <v>0</v>
      </c>
      <c r="K14" s="46">
        <f t="shared" si="2"/>
        <v>0</v>
      </c>
      <c r="L14" s="46">
        <f t="shared" si="3"/>
        <v>0</v>
      </c>
      <c r="M14" s="46">
        <f t="shared" si="4"/>
        <v>0</v>
      </c>
      <c r="N14" s="46">
        <f t="shared" si="5"/>
        <v>0</v>
      </c>
      <c r="O14" s="46">
        <f t="shared" si="6"/>
        <v>0</v>
      </c>
      <c r="P14" s="46">
        <f t="shared" si="7"/>
        <v>0</v>
      </c>
      <c r="Q14" s="46">
        <f t="shared" si="7"/>
        <v>0</v>
      </c>
    </row>
    <row r="15" spans="1:19" ht="15" x14ac:dyDescent="0.25">
      <c r="A15" s="50"/>
      <c r="B15" s="50" t="s">
        <v>28</v>
      </c>
      <c r="C15" s="50"/>
      <c r="D15" s="45"/>
      <c r="E15" s="44" t="s">
        <v>27</v>
      </c>
      <c r="F15" s="44" t="s">
        <v>27</v>
      </c>
      <c r="G15" s="44" t="s">
        <v>27</v>
      </c>
      <c r="H15" s="46" t="s">
        <v>23</v>
      </c>
      <c r="I15" s="46"/>
      <c r="J15" s="46">
        <v>25992.31</v>
      </c>
      <c r="K15" s="46">
        <f t="shared" si="2"/>
        <v>25992.31</v>
      </c>
      <c r="L15" s="46">
        <f t="shared" si="3"/>
        <v>0</v>
      </c>
      <c r="M15" s="46">
        <f t="shared" si="4"/>
        <v>0</v>
      </c>
      <c r="N15" s="46">
        <f t="shared" si="5"/>
        <v>3119077.2</v>
      </c>
      <c r="O15" s="46">
        <f t="shared" si="6"/>
        <v>3119077.2</v>
      </c>
      <c r="P15" s="46">
        <f t="shared" si="7"/>
        <v>3119077.2</v>
      </c>
      <c r="Q15" s="46">
        <f t="shared" si="7"/>
        <v>3119077.2</v>
      </c>
    </row>
    <row r="16" spans="1:19" ht="15" x14ac:dyDescent="0.25">
      <c r="A16" s="50" t="s">
        <v>29</v>
      </c>
      <c r="B16" s="50"/>
      <c r="C16" s="50"/>
      <c r="D16" s="45"/>
      <c r="E16" s="44"/>
      <c r="F16" s="44"/>
      <c r="G16" s="44"/>
      <c r="H16" s="46"/>
      <c r="I16" s="46"/>
      <c r="J16" s="46"/>
      <c r="K16" s="46">
        <f t="shared" si="2"/>
        <v>0</v>
      </c>
      <c r="L16" s="46">
        <f>L17+L21</f>
        <v>2191749.33</v>
      </c>
      <c r="M16" s="46">
        <f t="shared" ref="M16:N16" si="8">M17+M21</f>
        <v>435194.74</v>
      </c>
      <c r="N16" s="46">
        <f t="shared" si="8"/>
        <v>1964922</v>
      </c>
      <c r="O16" s="46">
        <f t="shared" si="6"/>
        <v>4591866.07</v>
      </c>
      <c r="P16" s="46">
        <f t="shared" si="7"/>
        <v>4591866.07</v>
      </c>
      <c r="Q16" s="46">
        <f t="shared" si="7"/>
        <v>4591866.07</v>
      </c>
    </row>
    <row r="17" spans="1:17" ht="85.5" x14ac:dyDescent="0.25">
      <c r="A17" s="51"/>
      <c r="B17" s="47" t="s">
        <v>76</v>
      </c>
      <c r="C17" s="47"/>
      <c r="D17" s="45"/>
      <c r="E17" s="48"/>
      <c r="F17" s="48"/>
      <c r="G17" s="48"/>
      <c r="H17" s="46"/>
      <c r="I17" s="46"/>
      <c r="J17" s="46"/>
      <c r="K17" s="46">
        <f t="shared" si="2"/>
        <v>0</v>
      </c>
      <c r="L17" s="46">
        <f>L18</f>
        <v>2191749.33</v>
      </c>
      <c r="M17" s="46">
        <f t="shared" ref="M17:N17" si="9">M18</f>
        <v>435194.74</v>
      </c>
      <c r="N17" s="46">
        <f t="shared" si="9"/>
        <v>1003206.5299999999</v>
      </c>
      <c r="O17" s="46">
        <f>L17+M17+N17</f>
        <v>3630150.6</v>
      </c>
      <c r="P17" s="46">
        <f t="shared" si="7"/>
        <v>3630150.6</v>
      </c>
      <c r="Q17" s="46">
        <f t="shared" si="7"/>
        <v>3630150.6</v>
      </c>
    </row>
    <row r="18" spans="1:17" ht="105" x14ac:dyDescent="0.25">
      <c r="A18" s="42"/>
      <c r="B18" s="45"/>
      <c r="C18" s="42" t="s">
        <v>30</v>
      </c>
      <c r="D18" s="50" t="s">
        <v>31</v>
      </c>
      <c r="E18" s="44" t="s">
        <v>32</v>
      </c>
      <c r="F18" s="44" t="s">
        <v>32</v>
      </c>
      <c r="G18" s="44">
        <v>3</v>
      </c>
      <c r="H18" s="46">
        <v>730583.11</v>
      </c>
      <c r="I18" s="46">
        <v>11762.02</v>
      </c>
      <c r="J18" s="46">
        <v>27113.69</v>
      </c>
      <c r="K18" s="46">
        <f t="shared" si="2"/>
        <v>769458.82</v>
      </c>
      <c r="L18" s="46">
        <f t="shared" si="3"/>
        <v>2191749.33</v>
      </c>
      <c r="M18" s="46">
        <f>E21*I18</f>
        <v>435194.74</v>
      </c>
      <c r="N18" s="46">
        <f>E21*J18</f>
        <v>1003206.5299999999</v>
      </c>
      <c r="O18" s="46">
        <f t="shared" si="6"/>
        <v>3630150.6</v>
      </c>
      <c r="P18" s="46">
        <f t="shared" si="7"/>
        <v>3630150.6</v>
      </c>
      <c r="Q18" s="46">
        <f t="shared" si="7"/>
        <v>3630150.6</v>
      </c>
    </row>
    <row r="19" spans="1:17" ht="15" hidden="1" x14ac:dyDescent="0.25">
      <c r="A19" s="50" t="s">
        <v>26</v>
      </c>
      <c r="B19" s="45"/>
      <c r="C19" s="45"/>
      <c r="D19" s="50" t="s">
        <v>31</v>
      </c>
      <c r="E19" s="44" t="s">
        <v>32</v>
      </c>
      <c r="F19" s="44" t="s">
        <v>32</v>
      </c>
      <c r="G19" s="44" t="s">
        <v>32</v>
      </c>
      <c r="H19" s="46"/>
      <c r="I19" s="46">
        <v>11762.02</v>
      </c>
      <c r="J19" s="46">
        <v>27113.69</v>
      </c>
      <c r="K19" s="46">
        <f t="shared" si="2"/>
        <v>38875.71</v>
      </c>
      <c r="L19" s="46">
        <f t="shared" si="3"/>
        <v>0</v>
      </c>
      <c r="M19" s="46">
        <f t="shared" si="4"/>
        <v>35286.06</v>
      </c>
      <c r="N19" s="46">
        <f t="shared" si="5"/>
        <v>81341.069999999992</v>
      </c>
      <c r="O19" s="46">
        <f t="shared" si="6"/>
        <v>116627.12999999999</v>
      </c>
      <c r="P19" s="46">
        <f t="shared" si="7"/>
        <v>116627.12999999999</v>
      </c>
      <c r="Q19" s="46">
        <f t="shared" si="7"/>
        <v>116627.12999999999</v>
      </c>
    </row>
    <row r="20" spans="1:17" ht="75" hidden="1" x14ac:dyDescent="0.25">
      <c r="A20" s="42" t="s">
        <v>77</v>
      </c>
      <c r="B20" s="45"/>
      <c r="C20" s="45"/>
      <c r="D20" s="50" t="s">
        <v>20</v>
      </c>
      <c r="E20" s="44" t="s">
        <v>34</v>
      </c>
      <c r="F20" s="44" t="s">
        <v>34</v>
      </c>
      <c r="G20" s="44" t="s">
        <v>34</v>
      </c>
      <c r="H20" s="46"/>
      <c r="I20" s="46"/>
      <c r="J20" s="46"/>
      <c r="K20" s="46">
        <f t="shared" si="2"/>
        <v>0</v>
      </c>
      <c r="L20" s="46">
        <f t="shared" si="3"/>
        <v>0</v>
      </c>
      <c r="M20" s="46">
        <f t="shared" si="4"/>
        <v>0</v>
      </c>
      <c r="N20" s="46">
        <f t="shared" si="5"/>
        <v>0</v>
      </c>
      <c r="O20" s="46">
        <f t="shared" si="6"/>
        <v>0</v>
      </c>
      <c r="P20" s="46">
        <f t="shared" si="7"/>
        <v>0</v>
      </c>
      <c r="Q20" s="46">
        <f t="shared" si="7"/>
        <v>0</v>
      </c>
    </row>
    <row r="21" spans="1:17" ht="15" x14ac:dyDescent="0.25">
      <c r="A21" s="50"/>
      <c r="B21" s="50" t="s">
        <v>28</v>
      </c>
      <c r="C21" s="50"/>
      <c r="D21" s="50" t="s">
        <v>20</v>
      </c>
      <c r="E21" s="44" t="s">
        <v>34</v>
      </c>
      <c r="F21" s="44" t="s">
        <v>34</v>
      </c>
      <c r="G21" s="44" t="s">
        <v>34</v>
      </c>
      <c r="H21" s="46" t="s">
        <v>23</v>
      </c>
      <c r="I21" s="46"/>
      <c r="J21" s="46">
        <v>25992.31</v>
      </c>
      <c r="K21" s="46">
        <f t="shared" si="2"/>
        <v>25992.31</v>
      </c>
      <c r="L21" s="46">
        <f t="shared" si="3"/>
        <v>0</v>
      </c>
      <c r="M21" s="46">
        <f t="shared" si="4"/>
        <v>0</v>
      </c>
      <c r="N21" s="46">
        <f t="shared" si="5"/>
        <v>961715.47000000009</v>
      </c>
      <c r="O21" s="46">
        <f t="shared" si="6"/>
        <v>961715.47000000009</v>
      </c>
      <c r="P21" s="46">
        <f t="shared" si="7"/>
        <v>961715.47000000009</v>
      </c>
      <c r="Q21" s="46">
        <f t="shared" si="7"/>
        <v>961715.47000000009</v>
      </c>
    </row>
    <row r="22" spans="1:17" ht="15" x14ac:dyDescent="0.25">
      <c r="A22" s="44" t="s">
        <v>35</v>
      </c>
      <c r="B22" s="45"/>
      <c r="C22" s="45"/>
      <c r="D22" s="45"/>
      <c r="E22" s="48"/>
      <c r="F22" s="48"/>
      <c r="G22" s="48"/>
      <c r="H22" s="46"/>
      <c r="I22" s="46"/>
      <c r="J22" s="46"/>
      <c r="K22" s="46">
        <f t="shared" si="2"/>
        <v>0</v>
      </c>
      <c r="L22" s="46">
        <f>L23+L29</f>
        <v>9194014.25</v>
      </c>
      <c r="M22" s="46">
        <f t="shared" ref="M22:N22" si="10">M23+M29</f>
        <v>1411442.4</v>
      </c>
      <c r="N22" s="46">
        <f t="shared" si="10"/>
        <v>6372720</v>
      </c>
      <c r="O22" s="46">
        <f>L22+M22+N22</f>
        <v>16978176.649999999</v>
      </c>
      <c r="P22" s="46">
        <f t="shared" si="7"/>
        <v>16978176.649999999</v>
      </c>
      <c r="Q22" s="46">
        <f t="shared" si="7"/>
        <v>16978176.649999999</v>
      </c>
    </row>
    <row r="23" spans="1:17" ht="85.5" x14ac:dyDescent="0.25">
      <c r="A23" s="42"/>
      <c r="B23" s="47" t="s">
        <v>76</v>
      </c>
      <c r="C23" s="47"/>
      <c r="D23" s="45"/>
      <c r="E23" s="48"/>
      <c r="F23" s="48"/>
      <c r="G23" s="48"/>
      <c r="H23" s="46"/>
      <c r="I23" s="46"/>
      <c r="J23" s="46"/>
      <c r="K23" s="46">
        <f t="shared" si="2"/>
        <v>0</v>
      </c>
      <c r="L23" s="46">
        <f>L24+L25+L26</f>
        <v>9194014.25</v>
      </c>
      <c r="M23" s="46">
        <f>M24+M25+M26</f>
        <v>1411442.4</v>
      </c>
      <c r="N23" s="46">
        <f t="shared" ref="N23" si="11">N24+N25+N26</f>
        <v>3253642.8</v>
      </c>
      <c r="O23" s="46">
        <f>L23+M23+N23</f>
        <v>13859099.449999999</v>
      </c>
      <c r="P23" s="46">
        <f t="shared" si="7"/>
        <v>13859099.449999999</v>
      </c>
      <c r="Q23" s="46">
        <f t="shared" si="7"/>
        <v>13859099.449999999</v>
      </c>
    </row>
    <row r="24" spans="1:17" ht="105" x14ac:dyDescent="0.25">
      <c r="A24" s="42"/>
      <c r="B24" s="44" t="s">
        <v>19</v>
      </c>
      <c r="C24" s="42" t="s">
        <v>0</v>
      </c>
      <c r="D24" s="50" t="s">
        <v>20</v>
      </c>
      <c r="E24" s="44" t="s">
        <v>36</v>
      </c>
      <c r="F24" s="44" t="s">
        <v>36</v>
      </c>
      <c r="G24" s="44" t="s">
        <v>36</v>
      </c>
      <c r="H24" s="46">
        <v>41608.51</v>
      </c>
      <c r="I24" s="46">
        <v>11762.02</v>
      </c>
      <c r="J24" s="46">
        <v>27113.69</v>
      </c>
      <c r="K24" s="46">
        <f t="shared" si="2"/>
        <v>80484.22</v>
      </c>
      <c r="L24" s="46">
        <f>E24*H24</f>
        <v>1206646.79</v>
      </c>
      <c r="M24" s="46">
        <f>E24*I24</f>
        <v>341098.58</v>
      </c>
      <c r="N24" s="46">
        <f>E24*J24</f>
        <v>786297.01</v>
      </c>
      <c r="O24" s="46">
        <f t="shared" ref="O24:O29" si="12">L24+M24+N24</f>
        <v>2334042.38</v>
      </c>
      <c r="P24" s="46">
        <f t="shared" si="7"/>
        <v>2334042.38</v>
      </c>
      <c r="Q24" s="46">
        <f t="shared" si="7"/>
        <v>2334042.38</v>
      </c>
    </row>
    <row r="25" spans="1:17" ht="15" x14ac:dyDescent="0.25">
      <c r="A25" s="49"/>
      <c r="B25" s="44" t="s">
        <v>24</v>
      </c>
      <c r="C25" s="44"/>
      <c r="D25" s="44" t="s">
        <v>20</v>
      </c>
      <c r="E25" s="44" t="s">
        <v>37</v>
      </c>
      <c r="F25" s="44" t="s">
        <v>37</v>
      </c>
      <c r="G25" s="44" t="s">
        <v>37</v>
      </c>
      <c r="H25" s="46">
        <v>32991.18</v>
      </c>
      <c r="I25" s="46">
        <v>11762.02</v>
      </c>
      <c r="J25" s="46">
        <v>27113.69</v>
      </c>
      <c r="K25" s="46">
        <f t="shared" si="2"/>
        <v>71866.89</v>
      </c>
      <c r="L25" s="46">
        <f t="shared" ref="L25" si="13">E25*H25</f>
        <v>1418620.74</v>
      </c>
      <c r="M25" s="46">
        <f>E25*I25</f>
        <v>505766.86000000004</v>
      </c>
      <c r="N25" s="46">
        <f t="shared" ref="N25:N26" si="14">E25*J25</f>
        <v>1165888.67</v>
      </c>
      <c r="O25" s="46">
        <f t="shared" si="12"/>
        <v>3090276.27</v>
      </c>
      <c r="P25" s="46">
        <f t="shared" si="7"/>
        <v>3090276.27</v>
      </c>
      <c r="Q25" s="46">
        <f t="shared" si="7"/>
        <v>3090276.27</v>
      </c>
    </row>
    <row r="26" spans="1:17" ht="105" x14ac:dyDescent="0.25">
      <c r="A26" s="42"/>
      <c r="B26" s="45"/>
      <c r="C26" s="42" t="s">
        <v>38</v>
      </c>
      <c r="D26" s="50" t="s">
        <v>20</v>
      </c>
      <c r="E26" s="44" t="s">
        <v>39</v>
      </c>
      <c r="F26" s="44" t="s">
        <v>39</v>
      </c>
      <c r="G26" s="44" t="s">
        <v>39</v>
      </c>
      <c r="H26" s="46">
        <v>136848.89000000001</v>
      </c>
      <c r="I26" s="46">
        <v>11762.02</v>
      </c>
      <c r="J26" s="46">
        <v>27113.69</v>
      </c>
      <c r="K26" s="46">
        <f t="shared" si="2"/>
        <v>175724.6</v>
      </c>
      <c r="L26" s="46">
        <f>E26*H26</f>
        <v>6568746.7200000007</v>
      </c>
      <c r="M26" s="46">
        <f>E26*I26</f>
        <v>564576.96</v>
      </c>
      <c r="N26" s="46">
        <f t="shared" si="14"/>
        <v>1301457.1199999999</v>
      </c>
      <c r="O26" s="46">
        <f t="shared" si="12"/>
        <v>8434780.8000000007</v>
      </c>
      <c r="P26" s="46">
        <f t="shared" si="7"/>
        <v>8434780.8000000007</v>
      </c>
      <c r="Q26" s="46">
        <f t="shared" si="7"/>
        <v>8434780.8000000007</v>
      </c>
    </row>
    <row r="27" spans="1:17" ht="15" hidden="1" x14ac:dyDescent="0.25">
      <c r="A27" s="44" t="s">
        <v>26</v>
      </c>
      <c r="B27" s="45"/>
      <c r="C27" s="45"/>
      <c r="D27" s="44" t="s">
        <v>20</v>
      </c>
      <c r="E27" s="44" t="s">
        <v>27</v>
      </c>
      <c r="F27" s="44" t="s">
        <v>27</v>
      </c>
      <c r="G27" s="44" t="s">
        <v>27</v>
      </c>
      <c r="H27" s="46"/>
      <c r="I27" s="46">
        <v>11762.02</v>
      </c>
      <c r="J27" s="46"/>
      <c r="K27" s="46">
        <f t="shared" si="2"/>
        <v>11762.02</v>
      </c>
      <c r="L27" s="46">
        <f t="shared" si="3"/>
        <v>0</v>
      </c>
      <c r="M27" s="46">
        <f t="shared" si="4"/>
        <v>1411442.4000000001</v>
      </c>
      <c r="N27" s="46">
        <f t="shared" si="5"/>
        <v>0</v>
      </c>
      <c r="O27" s="46">
        <f t="shared" si="12"/>
        <v>1411442.4000000001</v>
      </c>
      <c r="P27" s="46">
        <f t="shared" si="7"/>
        <v>1411442.4000000001</v>
      </c>
      <c r="Q27" s="46">
        <f t="shared" si="7"/>
        <v>1411442.4000000001</v>
      </c>
    </row>
    <row r="28" spans="1:17" ht="75" hidden="1" x14ac:dyDescent="0.25">
      <c r="A28" s="42" t="s">
        <v>77</v>
      </c>
      <c r="B28" s="45"/>
      <c r="C28" s="45"/>
      <c r="D28" s="50" t="s">
        <v>20</v>
      </c>
      <c r="E28" s="44" t="s">
        <v>27</v>
      </c>
      <c r="F28" s="44" t="s">
        <v>27</v>
      </c>
      <c r="G28" s="44" t="s">
        <v>27</v>
      </c>
      <c r="H28" s="46"/>
      <c r="I28" s="46"/>
      <c r="J28" s="46" t="s">
        <v>22</v>
      </c>
      <c r="K28" s="46">
        <f t="shared" si="2"/>
        <v>0</v>
      </c>
      <c r="L28" s="46">
        <f t="shared" si="3"/>
        <v>0</v>
      </c>
      <c r="M28" s="46">
        <f t="shared" si="4"/>
        <v>0</v>
      </c>
      <c r="N28" s="46">
        <f t="shared" si="5"/>
        <v>0</v>
      </c>
      <c r="O28" s="46">
        <f t="shared" si="12"/>
        <v>0</v>
      </c>
      <c r="P28" s="46">
        <f t="shared" si="7"/>
        <v>0</v>
      </c>
      <c r="Q28" s="46">
        <f t="shared" si="7"/>
        <v>0</v>
      </c>
    </row>
    <row r="29" spans="1:17" ht="15" x14ac:dyDescent="0.25">
      <c r="A29" s="44"/>
      <c r="B29" s="44" t="s">
        <v>28</v>
      </c>
      <c r="C29" s="44"/>
      <c r="D29" s="50" t="s">
        <v>20</v>
      </c>
      <c r="E29" s="44" t="s">
        <v>27</v>
      </c>
      <c r="F29" s="44" t="s">
        <v>27</v>
      </c>
      <c r="G29" s="44" t="s">
        <v>27</v>
      </c>
      <c r="H29" s="46" t="s">
        <v>23</v>
      </c>
      <c r="I29" s="46"/>
      <c r="J29" s="46">
        <v>25992.31</v>
      </c>
      <c r="K29" s="46">
        <f t="shared" si="2"/>
        <v>25992.31</v>
      </c>
      <c r="L29" s="46">
        <f t="shared" si="3"/>
        <v>0</v>
      </c>
      <c r="M29" s="46">
        <f t="shared" si="4"/>
        <v>0</v>
      </c>
      <c r="N29" s="46">
        <f t="shared" si="5"/>
        <v>3119077.2</v>
      </c>
      <c r="O29" s="46">
        <f t="shared" si="12"/>
        <v>3119077.2</v>
      </c>
      <c r="P29" s="46">
        <f t="shared" si="7"/>
        <v>3119077.2</v>
      </c>
      <c r="Q29" s="46">
        <f t="shared" si="7"/>
        <v>3119077.2</v>
      </c>
    </row>
    <row r="30" spans="1:17" ht="15" x14ac:dyDescent="0.25">
      <c r="A30" s="44" t="s">
        <v>40</v>
      </c>
      <c r="B30" s="52"/>
      <c r="C30" s="52"/>
      <c r="D30" s="52"/>
      <c r="E30" s="48"/>
      <c r="F30" s="48"/>
      <c r="G30" s="48"/>
      <c r="H30" s="46"/>
      <c r="I30" s="46"/>
      <c r="J30" s="46"/>
      <c r="K30" s="46">
        <f t="shared" si="2"/>
        <v>0</v>
      </c>
      <c r="L30" s="46">
        <f>L31+L36</f>
        <v>3660794.35</v>
      </c>
      <c r="M30" s="46">
        <f t="shared" ref="M30:N30" si="15">M31+M36</f>
        <v>1246774.1200000001</v>
      </c>
      <c r="N30" s="46">
        <f t="shared" si="15"/>
        <v>5629236</v>
      </c>
      <c r="O30" s="46">
        <f t="shared" si="6"/>
        <v>10536804.470000001</v>
      </c>
      <c r="P30" s="46">
        <f t="shared" si="7"/>
        <v>10536804.470000001</v>
      </c>
      <c r="Q30" s="46">
        <f t="shared" si="7"/>
        <v>10536804.470000001</v>
      </c>
    </row>
    <row r="31" spans="1:17" ht="85.5" x14ac:dyDescent="0.25">
      <c r="A31" s="42"/>
      <c r="B31" s="47" t="s">
        <v>76</v>
      </c>
      <c r="C31" s="47"/>
      <c r="D31" s="52"/>
      <c r="E31" s="48"/>
      <c r="F31" s="48"/>
      <c r="G31" s="48"/>
      <c r="H31" s="46"/>
      <c r="I31" s="46"/>
      <c r="J31" s="46"/>
      <c r="K31" s="46">
        <f t="shared" si="2"/>
        <v>0</v>
      </c>
      <c r="L31" s="46">
        <f>L32+L33</f>
        <v>3660794.35</v>
      </c>
      <c r="M31" s="46">
        <f>M32+M33</f>
        <v>1246774.1200000001</v>
      </c>
      <c r="N31" s="46">
        <f t="shared" ref="N31" si="16">N32+N33</f>
        <v>2874051.1399999997</v>
      </c>
      <c r="O31" s="46">
        <f t="shared" si="6"/>
        <v>7781619.6100000003</v>
      </c>
      <c r="P31" s="46">
        <f t="shared" si="7"/>
        <v>7781619.6100000003</v>
      </c>
      <c r="Q31" s="46">
        <f t="shared" si="7"/>
        <v>7781619.6100000003</v>
      </c>
    </row>
    <row r="32" spans="1:17" ht="105" x14ac:dyDescent="0.25">
      <c r="A32" s="42"/>
      <c r="B32" s="44" t="s">
        <v>19</v>
      </c>
      <c r="C32" s="42" t="s">
        <v>0</v>
      </c>
      <c r="D32" s="50" t="s">
        <v>20</v>
      </c>
      <c r="E32" s="44" t="s">
        <v>41</v>
      </c>
      <c r="F32" s="44" t="s">
        <v>41</v>
      </c>
      <c r="G32" s="44" t="s">
        <v>41</v>
      </c>
      <c r="H32" s="46">
        <v>41608.51</v>
      </c>
      <c r="I32" s="46">
        <v>11762.02</v>
      </c>
      <c r="J32" s="46">
        <v>27113.69</v>
      </c>
      <c r="K32" s="46">
        <f t="shared" si="2"/>
        <v>80484.22</v>
      </c>
      <c r="L32" s="46">
        <f>E32*H32</f>
        <v>790561.69000000006</v>
      </c>
      <c r="M32" s="46">
        <f>E32*I32</f>
        <v>223478.38</v>
      </c>
      <c r="N32" s="46">
        <f>E32*J32</f>
        <v>515160.11</v>
      </c>
      <c r="O32" s="46">
        <f t="shared" si="6"/>
        <v>1529200.1800000002</v>
      </c>
      <c r="P32" s="46">
        <f t="shared" si="7"/>
        <v>1529200.1800000002</v>
      </c>
      <c r="Q32" s="46">
        <f t="shared" si="7"/>
        <v>1529200.1800000002</v>
      </c>
    </row>
    <row r="33" spans="1:17" ht="15" x14ac:dyDescent="0.25">
      <c r="A33" s="49"/>
      <c r="B33" s="44" t="s">
        <v>24</v>
      </c>
      <c r="C33" s="44"/>
      <c r="D33" s="44" t="s">
        <v>20</v>
      </c>
      <c r="E33" s="44" t="s">
        <v>42</v>
      </c>
      <c r="F33" s="44" t="s">
        <v>42</v>
      </c>
      <c r="G33" s="44" t="s">
        <v>42</v>
      </c>
      <c r="H33" s="46">
        <v>32991.18</v>
      </c>
      <c r="I33" s="46">
        <v>11762.02</v>
      </c>
      <c r="J33" s="46">
        <v>27113.69</v>
      </c>
      <c r="K33" s="46">
        <f t="shared" si="2"/>
        <v>71866.89</v>
      </c>
      <c r="L33" s="46">
        <f t="shared" si="3"/>
        <v>2870232.66</v>
      </c>
      <c r="M33" s="46">
        <f>E33*I33</f>
        <v>1023295.74</v>
      </c>
      <c r="N33" s="46">
        <f>E33*J33</f>
        <v>2358891.0299999998</v>
      </c>
      <c r="O33" s="46">
        <f t="shared" si="6"/>
        <v>6252419.4299999997</v>
      </c>
      <c r="P33" s="46">
        <f t="shared" si="7"/>
        <v>6252419.4299999997</v>
      </c>
      <c r="Q33" s="46">
        <f t="shared" si="7"/>
        <v>6252419.4299999997</v>
      </c>
    </row>
    <row r="34" spans="1:17" ht="15" hidden="1" x14ac:dyDescent="0.25">
      <c r="A34" s="44" t="s">
        <v>26</v>
      </c>
      <c r="B34" s="52"/>
      <c r="C34" s="52"/>
      <c r="D34" s="44" t="s">
        <v>20</v>
      </c>
      <c r="E34" s="44" t="s">
        <v>43</v>
      </c>
      <c r="F34" s="44" t="s">
        <v>43</v>
      </c>
      <c r="G34" s="44" t="s">
        <v>43</v>
      </c>
      <c r="H34" s="46"/>
      <c r="I34" s="46">
        <v>11762.02</v>
      </c>
      <c r="J34" s="46"/>
      <c r="K34" s="46">
        <f t="shared" si="2"/>
        <v>11762.02</v>
      </c>
      <c r="L34" s="46">
        <f t="shared" si="3"/>
        <v>0</v>
      </c>
      <c r="M34" s="46">
        <f t="shared" si="4"/>
        <v>1246774.1200000001</v>
      </c>
      <c r="N34" s="46">
        <f t="shared" si="5"/>
        <v>0</v>
      </c>
      <c r="O34" s="46">
        <f t="shared" si="6"/>
        <v>1246774.1200000001</v>
      </c>
      <c r="P34" s="46">
        <f t="shared" si="7"/>
        <v>1246774.1200000001</v>
      </c>
      <c r="Q34" s="46">
        <f t="shared" si="7"/>
        <v>1246774.1200000001</v>
      </c>
    </row>
    <row r="35" spans="1:17" ht="60" hidden="1" x14ac:dyDescent="0.25">
      <c r="A35" s="42" t="s">
        <v>33</v>
      </c>
      <c r="B35" s="52"/>
      <c r="C35" s="52"/>
      <c r="D35" s="50" t="s">
        <v>20</v>
      </c>
      <c r="E35" s="44" t="s">
        <v>43</v>
      </c>
      <c r="F35" s="44" t="s">
        <v>43</v>
      </c>
      <c r="G35" s="44" t="s">
        <v>43</v>
      </c>
      <c r="H35" s="46"/>
      <c r="I35" s="46"/>
      <c r="J35" s="46" t="s">
        <v>22</v>
      </c>
      <c r="K35" s="46">
        <f t="shared" si="2"/>
        <v>0</v>
      </c>
      <c r="L35" s="46">
        <f t="shared" si="3"/>
        <v>0</v>
      </c>
      <c r="M35" s="46">
        <f t="shared" si="4"/>
        <v>0</v>
      </c>
      <c r="N35" s="46">
        <f t="shared" si="5"/>
        <v>0</v>
      </c>
      <c r="O35" s="46">
        <f t="shared" si="6"/>
        <v>0</v>
      </c>
      <c r="P35" s="46">
        <f t="shared" si="7"/>
        <v>0</v>
      </c>
      <c r="Q35" s="46">
        <f t="shared" si="7"/>
        <v>0</v>
      </c>
    </row>
    <row r="36" spans="1:17" ht="15" x14ac:dyDescent="0.25">
      <c r="A36" s="44"/>
      <c r="B36" s="44" t="s">
        <v>28</v>
      </c>
      <c r="C36" s="44"/>
      <c r="D36" s="44" t="s">
        <v>20</v>
      </c>
      <c r="E36" s="44" t="s">
        <v>43</v>
      </c>
      <c r="F36" s="44" t="s">
        <v>43</v>
      </c>
      <c r="G36" s="44" t="s">
        <v>43</v>
      </c>
      <c r="H36" s="46" t="s">
        <v>23</v>
      </c>
      <c r="I36" s="46"/>
      <c r="J36" s="46">
        <v>25992.31</v>
      </c>
      <c r="K36" s="46">
        <f t="shared" si="2"/>
        <v>25992.31</v>
      </c>
      <c r="L36" s="46">
        <f t="shared" si="3"/>
        <v>0</v>
      </c>
      <c r="M36" s="46">
        <f t="shared" si="4"/>
        <v>0</v>
      </c>
      <c r="N36" s="46">
        <f>E36*J36</f>
        <v>2755184.8600000003</v>
      </c>
      <c r="O36" s="46">
        <f t="shared" si="6"/>
        <v>2755184.8600000003</v>
      </c>
      <c r="P36" s="46">
        <f t="shared" si="7"/>
        <v>2755184.8600000003</v>
      </c>
      <c r="Q36" s="46">
        <f t="shared" si="7"/>
        <v>2755184.8600000003</v>
      </c>
    </row>
    <row r="37" spans="1:17" ht="15" x14ac:dyDescent="0.25">
      <c r="A37" s="44" t="s">
        <v>44</v>
      </c>
      <c r="B37" s="52"/>
      <c r="C37" s="52"/>
      <c r="D37" s="52"/>
      <c r="E37" s="48"/>
      <c r="F37" s="48"/>
      <c r="G37" s="48"/>
      <c r="H37" s="46"/>
      <c r="I37" s="46"/>
      <c r="J37" s="46"/>
      <c r="K37" s="46">
        <f t="shared" si="2"/>
        <v>0</v>
      </c>
      <c r="L37" s="46">
        <f>L38+L44</f>
        <v>15084942.340000002</v>
      </c>
      <c r="M37" s="46">
        <f t="shared" ref="M37:N37" si="17">M38+M44</f>
        <v>2552358.3400000003</v>
      </c>
      <c r="N37" s="46">
        <f t="shared" si="17"/>
        <v>11524002</v>
      </c>
      <c r="O37" s="46">
        <f t="shared" ref="O37:Q37" si="18">O38+O44</f>
        <v>29161302.680000003</v>
      </c>
      <c r="P37" s="46">
        <f t="shared" si="18"/>
        <v>29161302.680000003</v>
      </c>
      <c r="Q37" s="46">
        <f t="shared" si="18"/>
        <v>29161302.680000003</v>
      </c>
    </row>
    <row r="38" spans="1:17" ht="85.5" x14ac:dyDescent="0.25">
      <c r="A38" s="42"/>
      <c r="B38" s="47" t="s">
        <v>76</v>
      </c>
      <c r="C38" s="47"/>
      <c r="D38" s="52"/>
      <c r="E38" s="48"/>
      <c r="F38" s="48"/>
      <c r="G38" s="48"/>
      <c r="H38" s="46"/>
      <c r="I38" s="46"/>
      <c r="J38" s="46"/>
      <c r="K38" s="46">
        <f t="shared" si="2"/>
        <v>0</v>
      </c>
      <c r="L38" s="46">
        <f>L39+L40+L41</f>
        <v>15084942.340000002</v>
      </c>
      <c r="M38" s="46">
        <f>M39+M40+M41</f>
        <v>2552358.3400000003</v>
      </c>
      <c r="N38" s="46">
        <f t="shared" ref="N38" si="19">N39+N40+N41</f>
        <v>5883670.7299999995</v>
      </c>
      <c r="O38" s="46">
        <f t="shared" si="6"/>
        <v>23520971.410000004</v>
      </c>
      <c r="P38" s="46">
        <f t="shared" si="7"/>
        <v>23520971.410000004</v>
      </c>
      <c r="Q38" s="46">
        <f t="shared" si="7"/>
        <v>23520971.410000004</v>
      </c>
    </row>
    <row r="39" spans="1:17" ht="105" x14ac:dyDescent="0.25">
      <c r="A39" s="42"/>
      <c r="B39" s="44" t="s">
        <v>19</v>
      </c>
      <c r="C39" s="42" t="s">
        <v>0</v>
      </c>
      <c r="D39" s="50" t="s">
        <v>20</v>
      </c>
      <c r="E39" s="44" t="s">
        <v>45</v>
      </c>
      <c r="F39" s="44" t="s">
        <v>45</v>
      </c>
      <c r="G39" s="44" t="s">
        <v>45</v>
      </c>
      <c r="H39" s="46">
        <v>41608.51</v>
      </c>
      <c r="I39" s="46">
        <v>11762.02</v>
      </c>
      <c r="J39" s="46">
        <v>27113.69</v>
      </c>
      <c r="K39" s="46">
        <f t="shared" si="2"/>
        <v>80484.22</v>
      </c>
      <c r="L39" s="46">
        <f>E39*H39</f>
        <v>2163642.52</v>
      </c>
      <c r="M39" s="46">
        <f>E39*I39</f>
        <v>611625.04</v>
      </c>
      <c r="N39" s="46">
        <f>E39*J39</f>
        <v>1409911.88</v>
      </c>
      <c r="O39" s="46">
        <f t="shared" si="6"/>
        <v>4185179.44</v>
      </c>
      <c r="P39" s="46">
        <f t="shared" si="7"/>
        <v>4185179.44</v>
      </c>
      <c r="Q39" s="46">
        <f t="shared" si="7"/>
        <v>4185179.44</v>
      </c>
    </row>
    <row r="40" spans="1:17" ht="15" x14ac:dyDescent="0.25">
      <c r="A40" s="49"/>
      <c r="B40" s="44" t="s">
        <v>24</v>
      </c>
      <c r="C40" s="44"/>
      <c r="D40" s="44" t="s">
        <v>20</v>
      </c>
      <c r="E40" s="44" t="s">
        <v>46</v>
      </c>
      <c r="F40" s="44" t="s">
        <v>46</v>
      </c>
      <c r="G40" s="44" t="s">
        <v>46</v>
      </c>
      <c r="H40" s="46">
        <v>32991.18</v>
      </c>
      <c r="I40" s="46">
        <v>11762.02</v>
      </c>
      <c r="J40" s="46">
        <v>27113.69</v>
      </c>
      <c r="K40" s="46">
        <f t="shared" si="2"/>
        <v>71866.89</v>
      </c>
      <c r="L40" s="46">
        <f t="shared" ref="L40:L41" si="20">E40*H40</f>
        <v>3068179.74</v>
      </c>
      <c r="M40" s="46">
        <f>E40*I40</f>
        <v>1093867.8600000001</v>
      </c>
      <c r="N40" s="46">
        <f t="shared" ref="N40:N41" si="21">E40*J40</f>
        <v>2521573.17</v>
      </c>
      <c r="O40" s="46">
        <f t="shared" si="6"/>
        <v>6683620.7700000005</v>
      </c>
      <c r="P40" s="46">
        <f t="shared" si="7"/>
        <v>6683620.7700000005</v>
      </c>
      <c r="Q40" s="46">
        <f t="shared" si="7"/>
        <v>6683620.7700000005</v>
      </c>
    </row>
    <row r="41" spans="1:17" ht="105" x14ac:dyDescent="0.25">
      <c r="A41" s="42"/>
      <c r="B41" s="52"/>
      <c r="C41" s="42" t="s">
        <v>38</v>
      </c>
      <c r="D41" s="50" t="s">
        <v>20</v>
      </c>
      <c r="E41" s="44" t="s">
        <v>47</v>
      </c>
      <c r="F41" s="44" t="s">
        <v>47</v>
      </c>
      <c r="G41" s="44" t="s">
        <v>47</v>
      </c>
      <c r="H41" s="46">
        <v>136848.89000000001</v>
      </c>
      <c r="I41" s="46">
        <v>11762.02</v>
      </c>
      <c r="J41" s="46">
        <v>27113.69</v>
      </c>
      <c r="K41" s="46">
        <f t="shared" si="2"/>
        <v>175724.6</v>
      </c>
      <c r="L41" s="46">
        <f t="shared" si="20"/>
        <v>9853120.0800000019</v>
      </c>
      <c r="M41" s="46">
        <f>E41*I41</f>
        <v>846865.44000000006</v>
      </c>
      <c r="N41" s="46">
        <f t="shared" si="21"/>
        <v>1952185.68</v>
      </c>
      <c r="O41" s="46">
        <f t="shared" si="6"/>
        <v>12652171.200000001</v>
      </c>
      <c r="P41" s="46">
        <f t="shared" si="7"/>
        <v>12652171.200000001</v>
      </c>
      <c r="Q41" s="46">
        <f t="shared" si="7"/>
        <v>12652171.200000001</v>
      </c>
    </row>
    <row r="42" spans="1:17" ht="15" hidden="1" x14ac:dyDescent="0.25">
      <c r="A42" s="44" t="s">
        <v>26</v>
      </c>
      <c r="B42" s="52"/>
      <c r="C42" s="52"/>
      <c r="D42" s="44" t="s">
        <v>20</v>
      </c>
      <c r="E42" s="44" t="s">
        <v>48</v>
      </c>
      <c r="F42" s="44" t="s">
        <v>48</v>
      </c>
      <c r="G42" s="44" t="s">
        <v>48</v>
      </c>
      <c r="H42" s="46"/>
      <c r="I42" s="46">
        <v>11762.02</v>
      </c>
      <c r="J42" s="46"/>
      <c r="K42" s="46">
        <f t="shared" si="2"/>
        <v>11762.02</v>
      </c>
      <c r="L42" s="46">
        <f t="shared" si="3"/>
        <v>0</v>
      </c>
      <c r="M42" s="46">
        <f t="shared" si="4"/>
        <v>2552358.3400000003</v>
      </c>
      <c r="N42" s="46">
        <f t="shared" si="5"/>
        <v>0</v>
      </c>
      <c r="O42" s="46">
        <f t="shared" si="6"/>
        <v>2552358.3400000003</v>
      </c>
      <c r="P42" s="46">
        <f t="shared" si="7"/>
        <v>2552358.3400000003</v>
      </c>
      <c r="Q42" s="46">
        <f t="shared" si="7"/>
        <v>2552358.3400000003</v>
      </c>
    </row>
    <row r="43" spans="1:17" ht="75" hidden="1" x14ac:dyDescent="0.25">
      <c r="A43" s="42" t="s">
        <v>77</v>
      </c>
      <c r="B43" s="52"/>
      <c r="C43" s="52"/>
      <c r="D43" s="50" t="s">
        <v>20</v>
      </c>
      <c r="E43" s="44" t="s">
        <v>48</v>
      </c>
      <c r="F43" s="44" t="s">
        <v>48</v>
      </c>
      <c r="G43" s="44" t="s">
        <v>48</v>
      </c>
      <c r="H43" s="46"/>
      <c r="I43" s="46"/>
      <c r="J43" s="46" t="s">
        <v>22</v>
      </c>
      <c r="K43" s="46">
        <f t="shared" si="2"/>
        <v>0</v>
      </c>
      <c r="L43" s="46">
        <f t="shared" si="3"/>
        <v>0</v>
      </c>
      <c r="M43" s="46">
        <f t="shared" si="4"/>
        <v>0</v>
      </c>
      <c r="N43" s="46">
        <f t="shared" si="5"/>
        <v>0</v>
      </c>
      <c r="O43" s="46">
        <f t="shared" si="6"/>
        <v>0</v>
      </c>
      <c r="P43" s="46">
        <f t="shared" si="7"/>
        <v>0</v>
      </c>
      <c r="Q43" s="46">
        <f t="shared" si="7"/>
        <v>0</v>
      </c>
    </row>
    <row r="44" spans="1:17" ht="15" x14ac:dyDescent="0.25">
      <c r="A44" s="44"/>
      <c r="B44" s="44" t="s">
        <v>28</v>
      </c>
      <c r="C44" s="44"/>
      <c r="D44" s="44" t="s">
        <v>20</v>
      </c>
      <c r="E44" s="44" t="s">
        <v>48</v>
      </c>
      <c r="F44" s="44" t="s">
        <v>48</v>
      </c>
      <c r="G44" s="44" t="s">
        <v>48</v>
      </c>
      <c r="H44" s="46" t="s">
        <v>23</v>
      </c>
      <c r="I44" s="46"/>
      <c r="J44" s="46">
        <v>25992.31</v>
      </c>
      <c r="K44" s="46">
        <f t="shared" si="2"/>
        <v>25992.31</v>
      </c>
      <c r="L44" s="46">
        <f t="shared" si="3"/>
        <v>0</v>
      </c>
      <c r="M44" s="46">
        <f t="shared" si="4"/>
        <v>0</v>
      </c>
      <c r="N44" s="46">
        <f t="shared" si="5"/>
        <v>5640331.2700000005</v>
      </c>
      <c r="O44" s="46">
        <f t="shared" si="6"/>
        <v>5640331.2700000005</v>
      </c>
      <c r="P44" s="46">
        <f t="shared" si="7"/>
        <v>5640331.2700000005</v>
      </c>
      <c r="Q44" s="46">
        <f t="shared" si="7"/>
        <v>5640331.2700000005</v>
      </c>
    </row>
    <row r="45" spans="1:17" ht="15" x14ac:dyDescent="0.25">
      <c r="A45" s="44" t="s">
        <v>49</v>
      </c>
      <c r="B45" s="52"/>
      <c r="C45" s="52"/>
      <c r="D45" s="52"/>
      <c r="E45" s="48"/>
      <c r="F45" s="48"/>
      <c r="G45" s="48"/>
      <c r="H45" s="46"/>
      <c r="I45" s="46"/>
      <c r="J45" s="46"/>
      <c r="K45" s="46">
        <f t="shared" si="2"/>
        <v>0</v>
      </c>
      <c r="L45" s="46">
        <f>L46+L51</f>
        <v>3744011.37</v>
      </c>
      <c r="M45" s="46">
        <f t="shared" ref="M45:N45" si="22">M46+M51</f>
        <v>1270298.1599999999</v>
      </c>
      <c r="N45" s="46">
        <f t="shared" si="22"/>
        <v>5735448</v>
      </c>
      <c r="O45" s="46">
        <f t="shared" si="6"/>
        <v>10749757.530000001</v>
      </c>
      <c r="P45" s="46">
        <f t="shared" si="7"/>
        <v>10749757.530000001</v>
      </c>
      <c r="Q45" s="46">
        <f t="shared" si="7"/>
        <v>10749757.530000001</v>
      </c>
    </row>
    <row r="46" spans="1:17" ht="85.5" x14ac:dyDescent="0.25">
      <c r="A46" s="42"/>
      <c r="B46" s="47" t="s">
        <v>76</v>
      </c>
      <c r="C46" s="47"/>
      <c r="D46" s="52"/>
      <c r="E46" s="48"/>
      <c r="F46" s="48"/>
      <c r="G46" s="48"/>
      <c r="H46" s="46"/>
      <c r="I46" s="46"/>
      <c r="J46" s="46"/>
      <c r="K46" s="46">
        <f t="shared" si="2"/>
        <v>0</v>
      </c>
      <c r="L46" s="46">
        <f>L47+L48</f>
        <v>3744011.37</v>
      </c>
      <c r="M46" s="46">
        <f t="shared" ref="M46:N46" si="23">M47+M48</f>
        <v>1270298.1599999999</v>
      </c>
      <c r="N46" s="46">
        <f t="shared" si="23"/>
        <v>2928278.5199999996</v>
      </c>
      <c r="O46" s="46">
        <f t="shared" si="6"/>
        <v>7942588.0499999998</v>
      </c>
      <c r="P46" s="46">
        <f t="shared" si="7"/>
        <v>7942588.0499999998</v>
      </c>
      <c r="Q46" s="46">
        <f t="shared" si="7"/>
        <v>7942588.0499999998</v>
      </c>
    </row>
    <row r="47" spans="1:17" ht="105" x14ac:dyDescent="0.25">
      <c r="A47" s="42"/>
      <c r="B47" s="44" t="s">
        <v>19</v>
      </c>
      <c r="C47" s="42" t="s">
        <v>0</v>
      </c>
      <c r="D47" s="50" t="s">
        <v>20</v>
      </c>
      <c r="E47" s="44" t="s">
        <v>50</v>
      </c>
      <c r="F47" s="44" t="s">
        <v>50</v>
      </c>
      <c r="G47" s="44" t="s">
        <v>50</v>
      </c>
      <c r="H47" s="46">
        <v>41608.51</v>
      </c>
      <c r="I47" s="46">
        <v>11762.02</v>
      </c>
      <c r="J47" s="46">
        <v>27113.69</v>
      </c>
      <c r="K47" s="46">
        <f t="shared" si="2"/>
        <v>80484.22</v>
      </c>
      <c r="L47" s="46">
        <f>E47*H47</f>
        <v>873778.71000000008</v>
      </c>
      <c r="M47" s="46">
        <f>E47*I47</f>
        <v>247002.42</v>
      </c>
      <c r="N47" s="46">
        <f>E47*J47</f>
        <v>569387.49</v>
      </c>
      <c r="O47" s="46">
        <f t="shared" si="6"/>
        <v>1690168.62</v>
      </c>
      <c r="P47" s="46">
        <f t="shared" si="7"/>
        <v>1690168.62</v>
      </c>
      <c r="Q47" s="46">
        <f t="shared" si="7"/>
        <v>1690168.62</v>
      </c>
    </row>
    <row r="48" spans="1:17" ht="15" x14ac:dyDescent="0.25">
      <c r="A48" s="49"/>
      <c r="B48" s="44" t="s">
        <v>24</v>
      </c>
      <c r="C48" s="44"/>
      <c r="D48" s="44" t="s">
        <v>20</v>
      </c>
      <c r="E48" s="44" t="s">
        <v>42</v>
      </c>
      <c r="F48" s="44" t="s">
        <v>42</v>
      </c>
      <c r="G48" s="44" t="s">
        <v>42</v>
      </c>
      <c r="H48" s="46">
        <v>32991.18</v>
      </c>
      <c r="I48" s="46">
        <v>11762.02</v>
      </c>
      <c r="J48" s="46">
        <v>27113.69</v>
      </c>
      <c r="K48" s="46">
        <f t="shared" si="2"/>
        <v>71866.89</v>
      </c>
      <c r="L48" s="46">
        <f>E48*H48</f>
        <v>2870232.66</v>
      </c>
      <c r="M48" s="46">
        <f>E48*I48</f>
        <v>1023295.74</v>
      </c>
      <c r="N48" s="46">
        <f>E48*J48</f>
        <v>2358891.0299999998</v>
      </c>
      <c r="O48" s="46">
        <f t="shared" si="6"/>
        <v>6252419.4299999997</v>
      </c>
      <c r="P48" s="46">
        <f t="shared" si="7"/>
        <v>6252419.4299999997</v>
      </c>
      <c r="Q48" s="46">
        <f t="shared" si="7"/>
        <v>6252419.4299999997</v>
      </c>
    </row>
    <row r="49" spans="1:17" ht="15" hidden="1" x14ac:dyDescent="0.25">
      <c r="A49" s="44" t="s">
        <v>51</v>
      </c>
      <c r="B49" s="52"/>
      <c r="C49" s="52"/>
      <c r="D49" s="52"/>
      <c r="E49" s="44" t="s">
        <v>52</v>
      </c>
      <c r="F49" s="44" t="s">
        <v>52</v>
      </c>
      <c r="G49" s="44" t="s">
        <v>52</v>
      </c>
      <c r="H49" s="46"/>
      <c r="I49" s="46">
        <v>11762.02</v>
      </c>
      <c r="J49" s="46"/>
      <c r="K49" s="46">
        <f t="shared" si="2"/>
        <v>11762.02</v>
      </c>
      <c r="L49" s="46">
        <f t="shared" si="3"/>
        <v>0</v>
      </c>
      <c r="M49" s="46">
        <f t="shared" si="4"/>
        <v>1270298.1600000001</v>
      </c>
      <c r="N49" s="46">
        <f t="shared" si="5"/>
        <v>0</v>
      </c>
      <c r="O49" s="46">
        <f t="shared" si="6"/>
        <v>1270298.1600000001</v>
      </c>
      <c r="P49" s="46">
        <f t="shared" si="7"/>
        <v>1270298.1600000001</v>
      </c>
      <c r="Q49" s="46">
        <f t="shared" si="7"/>
        <v>1270298.1600000001</v>
      </c>
    </row>
    <row r="50" spans="1:17" ht="60" hidden="1" x14ac:dyDescent="0.25">
      <c r="A50" s="42" t="s">
        <v>33</v>
      </c>
      <c r="B50" s="52"/>
      <c r="C50" s="52"/>
      <c r="D50" s="52"/>
      <c r="E50" s="44" t="s">
        <v>52</v>
      </c>
      <c r="F50" s="44" t="s">
        <v>52</v>
      </c>
      <c r="G50" s="44" t="s">
        <v>52</v>
      </c>
      <c r="H50" s="46"/>
      <c r="I50" s="46"/>
      <c r="J50" s="46" t="s">
        <v>22</v>
      </c>
      <c r="K50" s="46">
        <f t="shared" si="2"/>
        <v>0</v>
      </c>
      <c r="L50" s="46">
        <f t="shared" si="3"/>
        <v>0</v>
      </c>
      <c r="M50" s="46">
        <f t="shared" si="4"/>
        <v>0</v>
      </c>
      <c r="N50" s="46">
        <f t="shared" si="5"/>
        <v>0</v>
      </c>
      <c r="O50" s="46">
        <f t="shared" si="6"/>
        <v>0</v>
      </c>
      <c r="P50" s="46">
        <f t="shared" si="7"/>
        <v>0</v>
      </c>
      <c r="Q50" s="46">
        <f t="shared" si="7"/>
        <v>0</v>
      </c>
    </row>
    <row r="51" spans="1:17" ht="15" x14ac:dyDescent="0.25">
      <c r="A51" s="44"/>
      <c r="B51" s="44" t="s">
        <v>28</v>
      </c>
      <c r="C51" s="44"/>
      <c r="D51" s="44" t="s">
        <v>20</v>
      </c>
      <c r="E51" s="44" t="s">
        <v>52</v>
      </c>
      <c r="F51" s="44" t="s">
        <v>52</v>
      </c>
      <c r="G51" s="44" t="s">
        <v>52</v>
      </c>
      <c r="H51" s="46" t="s">
        <v>23</v>
      </c>
      <c r="I51" s="46"/>
      <c r="J51" s="46">
        <v>25992.31</v>
      </c>
      <c r="K51" s="46">
        <f t="shared" si="2"/>
        <v>25992.31</v>
      </c>
      <c r="L51" s="46">
        <f t="shared" si="3"/>
        <v>0</v>
      </c>
      <c r="M51" s="46">
        <f t="shared" si="4"/>
        <v>0</v>
      </c>
      <c r="N51" s="46">
        <f t="shared" si="5"/>
        <v>2807169.48</v>
      </c>
      <c r="O51" s="46">
        <f t="shared" si="6"/>
        <v>2807169.48</v>
      </c>
      <c r="P51" s="46">
        <f t="shared" si="7"/>
        <v>2807169.48</v>
      </c>
      <c r="Q51" s="46">
        <f t="shared" si="7"/>
        <v>2807169.48</v>
      </c>
    </row>
    <row r="52" spans="1:17" ht="15" x14ac:dyDescent="0.25">
      <c r="A52" s="44" t="s">
        <v>53</v>
      </c>
      <c r="B52" s="52"/>
      <c r="C52" s="52"/>
      <c r="D52" s="52"/>
      <c r="E52" s="48"/>
      <c r="F52" s="48"/>
      <c r="G52" s="48"/>
      <c r="H52" s="46"/>
      <c r="I52" s="46"/>
      <c r="J52" s="46"/>
      <c r="K52" s="46">
        <f t="shared" si="2"/>
        <v>0</v>
      </c>
      <c r="L52" s="46">
        <f>L53+L58</f>
        <v>5301987.53</v>
      </c>
      <c r="M52" s="46">
        <f t="shared" ref="M52:N52" si="24">M53+M58</f>
        <v>1764303</v>
      </c>
      <c r="N52" s="46">
        <f t="shared" si="24"/>
        <v>7965900</v>
      </c>
      <c r="O52" s="46">
        <f t="shared" si="6"/>
        <v>15032190.530000001</v>
      </c>
      <c r="P52" s="46">
        <f t="shared" si="7"/>
        <v>15032190.530000001</v>
      </c>
      <c r="Q52" s="46">
        <f t="shared" si="7"/>
        <v>15032190.530000001</v>
      </c>
    </row>
    <row r="53" spans="1:17" ht="85.5" x14ac:dyDescent="0.25">
      <c r="A53" s="42"/>
      <c r="B53" s="47" t="s">
        <v>76</v>
      </c>
      <c r="C53" s="47"/>
      <c r="D53" s="52"/>
      <c r="E53" s="48"/>
      <c r="F53" s="48"/>
      <c r="G53" s="48"/>
      <c r="H53" s="46"/>
      <c r="I53" s="46"/>
      <c r="J53" s="46"/>
      <c r="K53" s="46">
        <f t="shared" si="2"/>
        <v>0</v>
      </c>
      <c r="L53" s="46">
        <f>L54+L55</f>
        <v>5301987.53</v>
      </c>
      <c r="M53" s="46">
        <f t="shared" ref="M53:N53" si="25">M54+M55</f>
        <v>1764303</v>
      </c>
      <c r="N53" s="46">
        <f t="shared" si="25"/>
        <v>4067053.5</v>
      </c>
      <c r="O53" s="46">
        <f t="shared" si="6"/>
        <v>11133344.030000001</v>
      </c>
      <c r="P53" s="46">
        <f t="shared" si="7"/>
        <v>11133344.030000001</v>
      </c>
      <c r="Q53" s="46">
        <f t="shared" si="7"/>
        <v>11133344.030000001</v>
      </c>
    </row>
    <row r="54" spans="1:17" ht="105" x14ac:dyDescent="0.25">
      <c r="A54" s="42"/>
      <c r="B54" s="44" t="s">
        <v>19</v>
      </c>
      <c r="C54" s="42" t="s">
        <v>0</v>
      </c>
      <c r="D54" s="50" t="s">
        <v>20</v>
      </c>
      <c r="E54" s="44" t="s">
        <v>54</v>
      </c>
      <c r="F54" s="44" t="s">
        <v>54</v>
      </c>
      <c r="G54" s="44" t="s">
        <v>54</v>
      </c>
      <c r="H54" s="46">
        <v>41608.51</v>
      </c>
      <c r="I54" s="46">
        <v>11762.02</v>
      </c>
      <c r="J54" s="46">
        <v>27113.69</v>
      </c>
      <c r="K54" s="46">
        <f t="shared" si="2"/>
        <v>80484.22</v>
      </c>
      <c r="L54" s="46">
        <f>E54*H54</f>
        <v>1705948.9100000001</v>
      </c>
      <c r="M54" s="46">
        <f>E54*I54</f>
        <v>482242.82</v>
      </c>
      <c r="N54" s="46">
        <f>E54*J54</f>
        <v>1111661.29</v>
      </c>
      <c r="O54" s="46">
        <f t="shared" si="6"/>
        <v>3299853.02</v>
      </c>
      <c r="P54" s="46">
        <f t="shared" si="7"/>
        <v>3299853.02</v>
      </c>
      <c r="Q54" s="46">
        <f t="shared" si="7"/>
        <v>3299853.02</v>
      </c>
    </row>
    <row r="55" spans="1:17" ht="15" x14ac:dyDescent="0.25">
      <c r="A55" s="49"/>
      <c r="B55" s="44" t="s">
        <v>24</v>
      </c>
      <c r="C55" s="44"/>
      <c r="D55" s="44" t="s">
        <v>20</v>
      </c>
      <c r="E55" s="44" t="s">
        <v>55</v>
      </c>
      <c r="F55" s="44" t="s">
        <v>55</v>
      </c>
      <c r="G55" s="44" t="s">
        <v>55</v>
      </c>
      <c r="H55" s="46">
        <v>32991.18</v>
      </c>
      <c r="I55" s="46">
        <v>11762.02</v>
      </c>
      <c r="J55" s="46">
        <v>27113.69</v>
      </c>
      <c r="K55" s="46">
        <f t="shared" si="2"/>
        <v>71866.89</v>
      </c>
      <c r="L55" s="46">
        <f>E55*H55</f>
        <v>3596038.62</v>
      </c>
      <c r="M55" s="46">
        <f>E55*I55</f>
        <v>1282060.18</v>
      </c>
      <c r="N55" s="46">
        <f>E55*J55</f>
        <v>2955392.21</v>
      </c>
      <c r="O55" s="46">
        <f t="shared" si="6"/>
        <v>7833491.0099999998</v>
      </c>
      <c r="P55" s="46">
        <f t="shared" si="7"/>
        <v>7833491.0099999998</v>
      </c>
      <c r="Q55" s="46">
        <f t="shared" si="7"/>
        <v>7833491.0099999998</v>
      </c>
    </row>
    <row r="56" spans="1:17" ht="15" hidden="1" x14ac:dyDescent="0.25">
      <c r="A56" s="44" t="s">
        <v>51</v>
      </c>
      <c r="B56" s="52"/>
      <c r="C56" s="52"/>
      <c r="D56" s="44" t="s">
        <v>20</v>
      </c>
      <c r="E56" s="44" t="s">
        <v>56</v>
      </c>
      <c r="F56" s="44" t="s">
        <v>56</v>
      </c>
      <c r="G56" s="44" t="s">
        <v>56</v>
      </c>
      <c r="H56" s="46"/>
      <c r="I56" s="46">
        <v>11762.02</v>
      </c>
      <c r="J56" s="46"/>
      <c r="K56" s="46">
        <f t="shared" si="2"/>
        <v>11762.02</v>
      </c>
      <c r="L56" s="46">
        <f t="shared" si="3"/>
        <v>0</v>
      </c>
      <c r="M56" s="46">
        <f t="shared" si="4"/>
        <v>1764303</v>
      </c>
      <c r="N56" s="46">
        <f t="shared" si="5"/>
        <v>0</v>
      </c>
      <c r="O56" s="46">
        <f t="shared" si="6"/>
        <v>1764303</v>
      </c>
      <c r="P56" s="46">
        <f t="shared" si="7"/>
        <v>1764303</v>
      </c>
      <c r="Q56" s="46">
        <f t="shared" si="7"/>
        <v>1764303</v>
      </c>
    </row>
    <row r="57" spans="1:17" ht="75" hidden="1" x14ac:dyDescent="0.25">
      <c r="A57" s="42" t="s">
        <v>77</v>
      </c>
      <c r="B57" s="52"/>
      <c r="C57" s="52"/>
      <c r="D57" s="50" t="s">
        <v>20</v>
      </c>
      <c r="E57" s="44" t="s">
        <v>56</v>
      </c>
      <c r="F57" s="44" t="s">
        <v>56</v>
      </c>
      <c r="G57" s="44" t="s">
        <v>56</v>
      </c>
      <c r="H57" s="46"/>
      <c r="I57" s="46"/>
      <c r="J57" s="46" t="s">
        <v>22</v>
      </c>
      <c r="K57" s="46">
        <f t="shared" si="2"/>
        <v>0</v>
      </c>
      <c r="L57" s="46">
        <f t="shared" si="3"/>
        <v>0</v>
      </c>
      <c r="M57" s="46">
        <f t="shared" si="4"/>
        <v>0</v>
      </c>
      <c r="N57" s="46">
        <f t="shared" si="5"/>
        <v>0</v>
      </c>
      <c r="O57" s="46">
        <f t="shared" si="6"/>
        <v>0</v>
      </c>
      <c r="P57" s="46">
        <f t="shared" si="7"/>
        <v>0</v>
      </c>
      <c r="Q57" s="46">
        <f t="shared" si="7"/>
        <v>0</v>
      </c>
    </row>
    <row r="58" spans="1:17" ht="15" x14ac:dyDescent="0.25">
      <c r="A58" s="44"/>
      <c r="B58" s="44" t="s">
        <v>28</v>
      </c>
      <c r="C58" s="44"/>
      <c r="D58" s="44" t="s">
        <v>20</v>
      </c>
      <c r="E58" s="44" t="s">
        <v>56</v>
      </c>
      <c r="F58" s="44" t="s">
        <v>56</v>
      </c>
      <c r="G58" s="44" t="s">
        <v>56</v>
      </c>
      <c r="H58" s="46" t="s">
        <v>23</v>
      </c>
      <c r="I58" s="46"/>
      <c r="J58" s="46">
        <v>25992.31</v>
      </c>
      <c r="K58" s="46">
        <f t="shared" si="2"/>
        <v>25992.31</v>
      </c>
      <c r="L58" s="46">
        <f t="shared" si="3"/>
        <v>0</v>
      </c>
      <c r="M58" s="46">
        <f t="shared" si="4"/>
        <v>0</v>
      </c>
      <c r="N58" s="46">
        <f t="shared" si="5"/>
        <v>3898846.5</v>
      </c>
      <c r="O58" s="46">
        <f t="shared" si="6"/>
        <v>3898846.5</v>
      </c>
      <c r="P58" s="46">
        <f t="shared" si="7"/>
        <v>3898846.5</v>
      </c>
      <c r="Q58" s="46">
        <f t="shared" si="7"/>
        <v>3898846.5</v>
      </c>
    </row>
    <row r="59" spans="1:17" ht="15" x14ac:dyDescent="0.25">
      <c r="A59" s="44" t="s">
        <v>57</v>
      </c>
      <c r="B59" s="52"/>
      <c r="C59" s="52"/>
      <c r="D59" s="52"/>
      <c r="E59" s="48"/>
      <c r="F59" s="48"/>
      <c r="G59" s="48"/>
      <c r="H59" s="46"/>
      <c r="I59" s="46"/>
      <c r="J59" s="46"/>
      <c r="K59" s="46">
        <f t="shared" si="2"/>
        <v>0</v>
      </c>
      <c r="L59" s="46">
        <f>L60+L66</f>
        <v>4025136.4800000004</v>
      </c>
      <c r="M59" s="46">
        <f t="shared" ref="M59:N59" si="26">M60+M66</f>
        <v>1329108.2600000002</v>
      </c>
      <c r="N59" s="46">
        <f t="shared" si="26"/>
        <v>6000976.8700000001</v>
      </c>
      <c r="O59" s="46">
        <f t="shared" si="6"/>
        <v>11355221.609999999</v>
      </c>
      <c r="P59" s="46">
        <f t="shared" si="7"/>
        <v>11355221.609999999</v>
      </c>
      <c r="Q59" s="46">
        <f t="shared" si="7"/>
        <v>11355221.609999999</v>
      </c>
    </row>
    <row r="60" spans="1:17" ht="85.5" x14ac:dyDescent="0.25">
      <c r="A60" s="42"/>
      <c r="B60" s="47" t="s">
        <v>76</v>
      </c>
      <c r="C60" s="47"/>
      <c r="D60" s="52"/>
      <c r="E60" s="48"/>
      <c r="F60" s="48"/>
      <c r="G60" s="48"/>
      <c r="H60" s="46"/>
      <c r="I60" s="46"/>
      <c r="J60" s="46"/>
      <c r="K60" s="46">
        <f t="shared" si="2"/>
        <v>0</v>
      </c>
      <c r="L60" s="46">
        <f>L61+L62+L63</f>
        <v>4025136.4800000004</v>
      </c>
      <c r="M60" s="46">
        <f t="shared" ref="M60:N60" si="27">M61+M62+M63</f>
        <v>1329108.2600000002</v>
      </c>
      <c r="N60" s="46">
        <f t="shared" si="27"/>
        <v>3063845.84</v>
      </c>
      <c r="O60" s="46">
        <f t="shared" si="6"/>
        <v>8418090.5800000001</v>
      </c>
      <c r="P60" s="46">
        <f t="shared" si="7"/>
        <v>8418090.5800000001</v>
      </c>
      <c r="Q60" s="46">
        <f t="shared" si="7"/>
        <v>8418090.5800000001</v>
      </c>
    </row>
    <row r="61" spans="1:17" ht="105" x14ac:dyDescent="0.25">
      <c r="A61" s="42"/>
      <c r="B61" s="44" t="s">
        <v>19</v>
      </c>
      <c r="C61" s="42" t="s">
        <v>0</v>
      </c>
      <c r="D61" s="50" t="s">
        <v>20</v>
      </c>
      <c r="E61" s="44" t="s">
        <v>58</v>
      </c>
      <c r="F61" s="44" t="s">
        <v>58</v>
      </c>
      <c r="G61" s="44" t="s">
        <v>58</v>
      </c>
      <c r="H61" s="46">
        <v>41608.51</v>
      </c>
      <c r="I61" s="46">
        <v>11762.02</v>
      </c>
      <c r="J61" s="46" t="s">
        <v>82</v>
      </c>
      <c r="K61" s="46">
        <f t="shared" si="2"/>
        <v>80484.209999999992</v>
      </c>
      <c r="L61" s="46">
        <f>E61*H61</f>
        <v>748953.18</v>
      </c>
      <c r="M61" s="46">
        <f>E61*I61</f>
        <v>211716.36000000002</v>
      </c>
      <c r="N61" s="46">
        <f>E61*J61</f>
        <v>488046.24</v>
      </c>
      <c r="O61" s="46">
        <f t="shared" si="6"/>
        <v>1448715.78</v>
      </c>
      <c r="P61" s="46">
        <f t="shared" si="7"/>
        <v>1448715.78</v>
      </c>
      <c r="Q61" s="46">
        <f t="shared" si="7"/>
        <v>1448715.78</v>
      </c>
    </row>
    <row r="62" spans="1:17" ht="15" x14ac:dyDescent="0.25">
      <c r="A62" s="49"/>
      <c r="B62" s="44" t="s">
        <v>24</v>
      </c>
      <c r="C62" s="44"/>
      <c r="D62" s="44" t="s">
        <v>20</v>
      </c>
      <c r="E62" s="44" t="s">
        <v>59</v>
      </c>
      <c r="F62" s="44" t="s">
        <v>59</v>
      </c>
      <c r="G62" s="44" t="s">
        <v>59</v>
      </c>
      <c r="H62" s="46">
        <v>32991.18</v>
      </c>
      <c r="I62" s="46">
        <v>11762.02</v>
      </c>
      <c r="J62" s="46" t="s">
        <v>82</v>
      </c>
      <c r="K62" s="46">
        <f t="shared" si="2"/>
        <v>71866.880000000005</v>
      </c>
      <c r="L62" s="46">
        <f t="shared" ref="L62:L63" si="28">E62*H62</f>
        <v>3134162.1</v>
      </c>
      <c r="M62" s="46">
        <f t="shared" ref="M62:M63" si="29">E62*I62</f>
        <v>1117391.9000000001</v>
      </c>
      <c r="N62" s="46">
        <f t="shared" ref="N62:N63" si="30">E62*J62</f>
        <v>2575799.6</v>
      </c>
      <c r="O62" s="46">
        <f t="shared" si="6"/>
        <v>6827353.5999999996</v>
      </c>
      <c r="P62" s="46">
        <f t="shared" si="7"/>
        <v>6827353.5999999996</v>
      </c>
      <c r="Q62" s="46">
        <f t="shared" si="7"/>
        <v>6827353.5999999996</v>
      </c>
    </row>
    <row r="63" spans="1:17" ht="75" x14ac:dyDescent="0.25">
      <c r="A63" s="42"/>
      <c r="B63" s="52"/>
      <c r="C63" s="42" t="s">
        <v>78</v>
      </c>
      <c r="D63" s="50" t="s">
        <v>20</v>
      </c>
      <c r="E63" s="44" t="s">
        <v>59</v>
      </c>
      <c r="F63" s="44" t="s">
        <v>59</v>
      </c>
      <c r="G63" s="44" t="s">
        <v>59</v>
      </c>
      <c r="H63" s="46">
        <v>1494.96</v>
      </c>
      <c r="I63" s="46"/>
      <c r="J63" s="46"/>
      <c r="K63" s="46">
        <f t="shared" si="2"/>
        <v>1494.96</v>
      </c>
      <c r="L63" s="46">
        <f t="shared" si="28"/>
        <v>142021.20000000001</v>
      </c>
      <c r="M63" s="46">
        <f t="shared" si="29"/>
        <v>0</v>
      </c>
      <c r="N63" s="46">
        <f t="shared" si="30"/>
        <v>0</v>
      </c>
      <c r="O63" s="46">
        <f t="shared" si="6"/>
        <v>142021.20000000001</v>
      </c>
      <c r="P63" s="46">
        <f t="shared" si="7"/>
        <v>142021.20000000001</v>
      </c>
      <c r="Q63" s="46">
        <f t="shared" si="7"/>
        <v>142021.20000000001</v>
      </c>
    </row>
    <row r="64" spans="1:17" ht="15" hidden="1" x14ac:dyDescent="0.25">
      <c r="A64" s="44" t="s">
        <v>26</v>
      </c>
      <c r="B64" s="52"/>
      <c r="C64" s="52"/>
      <c r="D64" s="44" t="s">
        <v>20</v>
      </c>
      <c r="E64" s="44" t="s">
        <v>60</v>
      </c>
      <c r="F64" s="44" t="s">
        <v>60</v>
      </c>
      <c r="G64" s="44" t="s">
        <v>60</v>
      </c>
      <c r="H64" s="46"/>
      <c r="I64" s="46"/>
      <c r="J64" s="46"/>
      <c r="K64" s="46">
        <f t="shared" si="2"/>
        <v>0</v>
      </c>
      <c r="L64" s="46">
        <f t="shared" si="3"/>
        <v>0</v>
      </c>
      <c r="M64" s="46">
        <f t="shared" si="4"/>
        <v>0</v>
      </c>
      <c r="N64" s="46">
        <f t="shared" si="5"/>
        <v>0</v>
      </c>
      <c r="O64" s="46">
        <f t="shared" si="6"/>
        <v>0</v>
      </c>
      <c r="P64" s="46">
        <f t="shared" si="7"/>
        <v>0</v>
      </c>
      <c r="Q64" s="46">
        <f t="shared" si="7"/>
        <v>0</v>
      </c>
    </row>
    <row r="65" spans="1:17" ht="75" hidden="1" x14ac:dyDescent="0.25">
      <c r="A65" s="42" t="s">
        <v>77</v>
      </c>
      <c r="B65" s="52"/>
      <c r="C65" s="52"/>
      <c r="D65" s="50" t="s">
        <v>20</v>
      </c>
      <c r="E65" s="44" t="s">
        <v>60</v>
      </c>
      <c r="F65" s="44" t="s">
        <v>60</v>
      </c>
      <c r="G65" s="44" t="s">
        <v>60</v>
      </c>
      <c r="H65" s="46"/>
      <c r="I65" s="46"/>
      <c r="J65" s="46" t="s">
        <v>22</v>
      </c>
      <c r="K65" s="46">
        <f t="shared" si="2"/>
        <v>0</v>
      </c>
      <c r="L65" s="46">
        <f t="shared" si="3"/>
        <v>0</v>
      </c>
      <c r="M65" s="46">
        <f t="shared" si="4"/>
        <v>0</v>
      </c>
      <c r="N65" s="46">
        <f t="shared" si="5"/>
        <v>0</v>
      </c>
      <c r="O65" s="46">
        <f t="shared" si="6"/>
        <v>0</v>
      </c>
      <c r="P65" s="46">
        <f t="shared" si="7"/>
        <v>0</v>
      </c>
      <c r="Q65" s="46">
        <f t="shared" si="7"/>
        <v>0</v>
      </c>
    </row>
    <row r="66" spans="1:17" ht="15" x14ac:dyDescent="0.25">
      <c r="A66" s="44"/>
      <c r="B66" s="44" t="s">
        <v>28</v>
      </c>
      <c r="C66" s="44"/>
      <c r="D66" s="44" t="s">
        <v>20</v>
      </c>
      <c r="E66" s="44" t="s">
        <v>60</v>
      </c>
      <c r="F66" s="44" t="s">
        <v>60</v>
      </c>
      <c r="G66" s="44" t="s">
        <v>60</v>
      </c>
      <c r="H66" s="46" t="s">
        <v>23</v>
      </c>
      <c r="I66" s="46"/>
      <c r="J66" s="46">
        <v>25992.31</v>
      </c>
      <c r="K66" s="46">
        <f t="shared" si="2"/>
        <v>25992.31</v>
      </c>
      <c r="L66" s="46">
        <f t="shared" si="3"/>
        <v>0</v>
      </c>
      <c r="M66" s="46">
        <f t="shared" si="4"/>
        <v>0</v>
      </c>
      <c r="N66" s="46">
        <f t="shared" si="5"/>
        <v>2937131.0300000003</v>
      </c>
      <c r="O66" s="46">
        <f t="shared" si="6"/>
        <v>2937131.0300000003</v>
      </c>
      <c r="P66" s="46">
        <f t="shared" si="7"/>
        <v>2937131.0300000003</v>
      </c>
      <c r="Q66" s="46">
        <f t="shared" si="7"/>
        <v>2937131.0300000003</v>
      </c>
    </row>
    <row r="67" spans="1:17" ht="15" x14ac:dyDescent="0.25">
      <c r="A67" s="44" t="s">
        <v>61</v>
      </c>
      <c r="B67" s="52"/>
      <c r="C67" s="52"/>
      <c r="D67" s="52"/>
      <c r="E67" s="48"/>
      <c r="F67" s="48"/>
      <c r="G67" s="48"/>
      <c r="H67" s="46"/>
      <c r="I67" s="46"/>
      <c r="J67" s="46"/>
      <c r="K67" s="46">
        <f t="shared" si="2"/>
        <v>0</v>
      </c>
      <c r="L67" s="46">
        <f>L68+L74</f>
        <v>8424749.5500000007</v>
      </c>
      <c r="M67" s="46">
        <f t="shared" ref="M67:N67" si="31">M68+M74</f>
        <v>2764074.7</v>
      </c>
      <c r="N67" s="46">
        <f t="shared" si="31"/>
        <v>12479910</v>
      </c>
      <c r="O67" s="46">
        <f t="shared" si="6"/>
        <v>23668734.25</v>
      </c>
      <c r="P67" s="46">
        <f t="shared" si="7"/>
        <v>23668734.25</v>
      </c>
      <c r="Q67" s="46">
        <f t="shared" si="7"/>
        <v>23668734.25</v>
      </c>
    </row>
    <row r="68" spans="1:17" ht="85.5" x14ac:dyDescent="0.25">
      <c r="A68" s="42"/>
      <c r="B68" s="47" t="s">
        <v>76</v>
      </c>
      <c r="C68" s="47"/>
      <c r="D68" s="52"/>
      <c r="E68" s="48"/>
      <c r="F68" s="48"/>
      <c r="G68" s="48"/>
      <c r="H68" s="46"/>
      <c r="I68" s="46"/>
      <c r="J68" s="46"/>
      <c r="K68" s="46">
        <f t="shared" si="2"/>
        <v>0</v>
      </c>
      <c r="L68" s="46">
        <f>L69+L70+L71</f>
        <v>8424749.5500000007</v>
      </c>
      <c r="M68" s="46">
        <f t="shared" ref="M68:N68" si="32">M69+M70+M71</f>
        <v>2764074.7</v>
      </c>
      <c r="N68" s="46">
        <f t="shared" si="32"/>
        <v>6371717.1499999994</v>
      </c>
      <c r="O68" s="46">
        <f t="shared" si="6"/>
        <v>17560541.399999999</v>
      </c>
      <c r="P68" s="46">
        <f t="shared" si="7"/>
        <v>17560541.399999999</v>
      </c>
      <c r="Q68" s="46">
        <f t="shared" si="7"/>
        <v>17560541.399999999</v>
      </c>
    </row>
    <row r="69" spans="1:17" ht="105" x14ac:dyDescent="0.25">
      <c r="A69" s="42"/>
      <c r="B69" s="44" t="s">
        <v>19</v>
      </c>
      <c r="C69" s="42" t="s">
        <v>0</v>
      </c>
      <c r="D69" s="50" t="s">
        <v>20</v>
      </c>
      <c r="E69" s="44" t="s">
        <v>62</v>
      </c>
      <c r="F69" s="44" t="s">
        <v>62</v>
      </c>
      <c r="G69" s="44" t="s">
        <v>62</v>
      </c>
      <c r="H69" s="46">
        <v>41608.51</v>
      </c>
      <c r="I69" s="46">
        <v>11762.02</v>
      </c>
      <c r="J69" s="46">
        <v>27113.69</v>
      </c>
      <c r="K69" s="46">
        <f t="shared" si="2"/>
        <v>80484.22</v>
      </c>
      <c r="L69" s="46">
        <f>E69*H69</f>
        <v>1872382.9500000002</v>
      </c>
      <c r="M69" s="46">
        <f>E69*I69</f>
        <v>529290.9</v>
      </c>
      <c r="N69" s="46">
        <f>E69*J69</f>
        <v>1220116.05</v>
      </c>
      <c r="O69" s="46">
        <f t="shared" si="6"/>
        <v>3621789.9000000004</v>
      </c>
      <c r="P69" s="46">
        <f t="shared" si="7"/>
        <v>3621789.9000000004</v>
      </c>
      <c r="Q69" s="46">
        <f t="shared" si="7"/>
        <v>3621789.9000000004</v>
      </c>
    </row>
    <row r="70" spans="1:17" ht="15" x14ac:dyDescent="0.25">
      <c r="A70" s="49"/>
      <c r="B70" s="44" t="s">
        <v>24</v>
      </c>
      <c r="C70" s="44"/>
      <c r="D70" s="44" t="s">
        <v>20</v>
      </c>
      <c r="E70" s="44" t="s">
        <v>63</v>
      </c>
      <c r="F70" s="44" t="s">
        <v>63</v>
      </c>
      <c r="G70" s="44" t="s">
        <v>63</v>
      </c>
      <c r="H70" s="46">
        <v>32991.18</v>
      </c>
      <c r="I70" s="46">
        <v>11762.02</v>
      </c>
      <c r="J70" s="46">
        <v>27113.69</v>
      </c>
      <c r="K70" s="46">
        <f t="shared" si="2"/>
        <v>71866.89</v>
      </c>
      <c r="L70" s="46">
        <f t="shared" ref="L70:L71" si="33">E70*H70</f>
        <v>6268324.2000000002</v>
      </c>
      <c r="M70" s="46">
        <f t="shared" ref="M70:M71" si="34">E70*I70</f>
        <v>2234783.8000000003</v>
      </c>
      <c r="N70" s="46">
        <f t="shared" ref="N70:N71" si="35">E70*J70</f>
        <v>5151601.0999999996</v>
      </c>
      <c r="O70" s="46">
        <f t="shared" si="6"/>
        <v>13654709.1</v>
      </c>
      <c r="P70" s="46">
        <f t="shared" si="7"/>
        <v>13654709.1</v>
      </c>
      <c r="Q70" s="46">
        <f t="shared" si="7"/>
        <v>13654709.1</v>
      </c>
    </row>
    <row r="71" spans="1:17" ht="75" x14ac:dyDescent="0.25">
      <c r="A71" s="42"/>
      <c r="B71" s="52"/>
      <c r="C71" s="42" t="s">
        <v>78</v>
      </c>
      <c r="D71" s="50" t="s">
        <v>20</v>
      </c>
      <c r="E71" s="44" t="s">
        <v>63</v>
      </c>
      <c r="F71" s="44" t="s">
        <v>63</v>
      </c>
      <c r="G71" s="44" t="s">
        <v>63</v>
      </c>
      <c r="H71" s="46">
        <v>1494.96</v>
      </c>
      <c r="I71" s="46"/>
      <c r="J71" s="46"/>
      <c r="K71" s="46">
        <f t="shared" si="2"/>
        <v>1494.96</v>
      </c>
      <c r="L71" s="46">
        <f t="shared" si="33"/>
        <v>284042.40000000002</v>
      </c>
      <c r="M71" s="46">
        <f t="shared" si="34"/>
        <v>0</v>
      </c>
      <c r="N71" s="46">
        <f t="shared" si="35"/>
        <v>0</v>
      </c>
      <c r="O71" s="46">
        <f t="shared" si="6"/>
        <v>284042.40000000002</v>
      </c>
      <c r="P71" s="46">
        <f t="shared" si="7"/>
        <v>284042.40000000002</v>
      </c>
      <c r="Q71" s="46">
        <f t="shared" si="7"/>
        <v>284042.40000000002</v>
      </c>
    </row>
    <row r="72" spans="1:17" ht="15" hidden="1" x14ac:dyDescent="0.25">
      <c r="A72" s="44" t="s">
        <v>51</v>
      </c>
      <c r="B72" s="52"/>
      <c r="C72" s="52"/>
      <c r="D72" s="44" t="s">
        <v>20</v>
      </c>
      <c r="E72" s="44" t="s">
        <v>64</v>
      </c>
      <c r="F72" s="44" t="s">
        <v>64</v>
      </c>
      <c r="G72" s="44" t="s">
        <v>64</v>
      </c>
      <c r="H72" s="46"/>
      <c r="I72" s="46"/>
      <c r="J72" s="46"/>
      <c r="K72" s="46">
        <f t="shared" si="2"/>
        <v>0</v>
      </c>
      <c r="L72" s="46">
        <f t="shared" si="3"/>
        <v>0</v>
      </c>
      <c r="M72" s="46">
        <f t="shared" si="4"/>
        <v>0</v>
      </c>
      <c r="N72" s="46">
        <f t="shared" si="5"/>
        <v>0</v>
      </c>
      <c r="O72" s="46">
        <f t="shared" si="6"/>
        <v>0</v>
      </c>
      <c r="P72" s="46">
        <f t="shared" si="7"/>
        <v>0</v>
      </c>
      <c r="Q72" s="46">
        <f t="shared" si="7"/>
        <v>0</v>
      </c>
    </row>
    <row r="73" spans="1:17" ht="75" hidden="1" x14ac:dyDescent="0.25">
      <c r="A73" s="42" t="s">
        <v>77</v>
      </c>
      <c r="B73" s="52"/>
      <c r="C73" s="52"/>
      <c r="D73" s="50" t="s">
        <v>20</v>
      </c>
      <c r="E73" s="44" t="s">
        <v>64</v>
      </c>
      <c r="F73" s="44" t="s">
        <v>64</v>
      </c>
      <c r="G73" s="44" t="s">
        <v>64</v>
      </c>
      <c r="H73" s="46"/>
      <c r="I73" s="46"/>
      <c r="J73" s="46" t="s">
        <v>22</v>
      </c>
      <c r="K73" s="46">
        <f t="shared" si="2"/>
        <v>0</v>
      </c>
      <c r="L73" s="46">
        <f t="shared" si="3"/>
        <v>0</v>
      </c>
      <c r="M73" s="46">
        <f t="shared" si="4"/>
        <v>0</v>
      </c>
      <c r="N73" s="46">
        <f t="shared" si="5"/>
        <v>0</v>
      </c>
      <c r="O73" s="46">
        <f t="shared" si="6"/>
        <v>0</v>
      </c>
      <c r="P73" s="46">
        <f t="shared" si="7"/>
        <v>0</v>
      </c>
      <c r="Q73" s="46">
        <f t="shared" si="7"/>
        <v>0</v>
      </c>
    </row>
    <row r="74" spans="1:17" ht="15" x14ac:dyDescent="0.25">
      <c r="A74" s="44"/>
      <c r="B74" s="44" t="s">
        <v>28</v>
      </c>
      <c r="C74" s="44"/>
      <c r="D74" s="44" t="s">
        <v>20</v>
      </c>
      <c r="E74" s="44" t="s">
        <v>64</v>
      </c>
      <c r="F74" s="44" t="s">
        <v>64</v>
      </c>
      <c r="G74" s="44" t="s">
        <v>64</v>
      </c>
      <c r="H74" s="46" t="s">
        <v>23</v>
      </c>
      <c r="I74" s="46"/>
      <c r="J74" s="46">
        <v>25992.31</v>
      </c>
      <c r="K74" s="46">
        <f t="shared" si="2"/>
        <v>25992.31</v>
      </c>
      <c r="L74" s="46">
        <f t="shared" si="3"/>
        <v>0</v>
      </c>
      <c r="M74" s="46">
        <f t="shared" si="4"/>
        <v>0</v>
      </c>
      <c r="N74" s="46">
        <f t="shared" si="5"/>
        <v>6108192.8500000006</v>
      </c>
      <c r="O74" s="46">
        <f t="shared" si="6"/>
        <v>6108192.8500000006</v>
      </c>
      <c r="P74" s="46">
        <f t="shared" si="7"/>
        <v>6108192.8500000006</v>
      </c>
      <c r="Q74" s="46">
        <f t="shared" si="7"/>
        <v>6108192.8500000006</v>
      </c>
    </row>
    <row r="75" spans="1:17" ht="15" x14ac:dyDescent="0.25">
      <c r="A75" s="44" t="s">
        <v>65</v>
      </c>
      <c r="B75" s="52"/>
      <c r="C75" s="52"/>
      <c r="D75" s="52"/>
      <c r="E75" s="48"/>
      <c r="F75" s="48"/>
      <c r="G75" s="48"/>
      <c r="H75" s="46"/>
      <c r="I75" s="46"/>
      <c r="J75" s="46"/>
      <c r="K75" s="46">
        <f t="shared" si="2"/>
        <v>0</v>
      </c>
      <c r="L75" s="46">
        <f>L76+L81</f>
        <v>4885902.43</v>
      </c>
      <c r="M75" s="46">
        <f t="shared" ref="M75:N75" si="36">M76+M81</f>
        <v>1646682.7999999998</v>
      </c>
      <c r="N75" s="46">
        <f t="shared" si="36"/>
        <v>7434840</v>
      </c>
      <c r="O75" s="46">
        <f t="shared" si="6"/>
        <v>13967425.23</v>
      </c>
      <c r="P75" s="46">
        <f t="shared" si="7"/>
        <v>13967425.23</v>
      </c>
      <c r="Q75" s="46">
        <f t="shared" si="7"/>
        <v>13967425.23</v>
      </c>
    </row>
    <row r="76" spans="1:17" ht="85.5" x14ac:dyDescent="0.25">
      <c r="A76" s="42"/>
      <c r="B76" s="47" t="s">
        <v>76</v>
      </c>
      <c r="C76" s="47"/>
      <c r="D76" s="52"/>
      <c r="E76" s="48"/>
      <c r="F76" s="48"/>
      <c r="G76" s="48"/>
      <c r="H76" s="46"/>
      <c r="I76" s="46"/>
      <c r="J76" s="46"/>
      <c r="K76" s="46">
        <f t="shared" ref="K76:K95" si="37">H76+I76+J76</f>
        <v>0</v>
      </c>
      <c r="L76" s="46">
        <f>L77+L78</f>
        <v>4885902.43</v>
      </c>
      <c r="M76" s="46">
        <f t="shared" ref="M76:N76" si="38">M77+M78</f>
        <v>1646682.7999999998</v>
      </c>
      <c r="N76" s="46">
        <f t="shared" si="38"/>
        <v>3795916.6</v>
      </c>
      <c r="O76" s="46">
        <f t="shared" ref="O76:O95" si="39">L76+M76+N76</f>
        <v>10328501.83</v>
      </c>
      <c r="P76" s="46">
        <f t="shared" ref="P76:Q95" si="40">O76</f>
        <v>10328501.83</v>
      </c>
      <c r="Q76" s="46">
        <f t="shared" si="40"/>
        <v>10328501.83</v>
      </c>
    </row>
    <row r="77" spans="1:17" ht="105" x14ac:dyDescent="0.25">
      <c r="A77" s="42"/>
      <c r="B77" s="44" t="s">
        <v>19</v>
      </c>
      <c r="C77" s="42" t="s">
        <v>0</v>
      </c>
      <c r="D77" s="44" t="s">
        <v>20</v>
      </c>
      <c r="E77" s="44" t="s">
        <v>66</v>
      </c>
      <c r="F77" s="44" t="s">
        <v>66</v>
      </c>
      <c r="G77" s="44" t="s">
        <v>66</v>
      </c>
      <c r="H77" s="46">
        <v>41608.51</v>
      </c>
      <c r="I77" s="46">
        <v>11762.02</v>
      </c>
      <c r="J77" s="46">
        <v>27113.69</v>
      </c>
      <c r="K77" s="46">
        <f t="shared" si="37"/>
        <v>80484.22</v>
      </c>
      <c r="L77" s="46">
        <f>E77*H77</f>
        <v>1289863.81</v>
      </c>
      <c r="M77" s="46">
        <f>E77*I77</f>
        <v>364622.62</v>
      </c>
      <c r="N77" s="46">
        <f>E77*J77</f>
        <v>840524.39</v>
      </c>
      <c r="O77" s="46">
        <f t="shared" si="39"/>
        <v>2495010.8200000003</v>
      </c>
      <c r="P77" s="46">
        <f t="shared" si="40"/>
        <v>2495010.8200000003</v>
      </c>
      <c r="Q77" s="46">
        <f t="shared" si="40"/>
        <v>2495010.8200000003</v>
      </c>
    </row>
    <row r="78" spans="1:17" ht="15" x14ac:dyDescent="0.25">
      <c r="A78" s="49"/>
      <c r="B78" s="44" t="s">
        <v>24</v>
      </c>
      <c r="C78" s="44"/>
      <c r="D78" s="44" t="s">
        <v>20</v>
      </c>
      <c r="E78" s="44" t="s">
        <v>55</v>
      </c>
      <c r="F78" s="44" t="s">
        <v>55</v>
      </c>
      <c r="G78" s="44" t="s">
        <v>55</v>
      </c>
      <c r="H78" s="46">
        <v>32991.18</v>
      </c>
      <c r="I78" s="46">
        <v>11762.02</v>
      </c>
      <c r="J78" s="46">
        <v>27113.69</v>
      </c>
      <c r="K78" s="46">
        <f t="shared" si="37"/>
        <v>71866.89</v>
      </c>
      <c r="L78" s="46">
        <f t="shared" ref="L78:L81" si="41">E78*H78</f>
        <v>3596038.62</v>
      </c>
      <c r="M78" s="46">
        <f>E78*I78</f>
        <v>1282060.18</v>
      </c>
      <c r="N78" s="46">
        <f>E78*J78</f>
        <v>2955392.21</v>
      </c>
      <c r="O78" s="46">
        <f t="shared" si="39"/>
        <v>7833491.0099999998</v>
      </c>
      <c r="P78" s="46">
        <f t="shared" si="40"/>
        <v>7833491.0099999998</v>
      </c>
      <c r="Q78" s="46">
        <f t="shared" si="40"/>
        <v>7833491.0099999998</v>
      </c>
    </row>
    <row r="79" spans="1:17" ht="15" hidden="1" x14ac:dyDescent="0.25">
      <c r="A79" s="44" t="s">
        <v>51</v>
      </c>
      <c r="B79" s="52"/>
      <c r="C79" s="52"/>
      <c r="D79" s="44" t="s">
        <v>20</v>
      </c>
      <c r="E79" s="44" t="s">
        <v>67</v>
      </c>
      <c r="F79" s="44" t="s">
        <v>67</v>
      </c>
      <c r="G79" s="44" t="s">
        <v>67</v>
      </c>
      <c r="H79" s="46"/>
      <c r="I79" s="46">
        <v>11762.02</v>
      </c>
      <c r="J79" s="46"/>
      <c r="K79" s="46">
        <f t="shared" si="37"/>
        <v>11762.02</v>
      </c>
      <c r="L79" s="46">
        <f t="shared" si="41"/>
        <v>0</v>
      </c>
      <c r="M79" s="46">
        <f t="shared" ref="M79:M95" si="42">F79*I79</f>
        <v>1646682.8</v>
      </c>
      <c r="N79" s="46">
        <f t="shared" ref="N79:N95" si="43">G79*J79</f>
        <v>0</v>
      </c>
      <c r="O79" s="46">
        <f t="shared" si="39"/>
        <v>1646682.8</v>
      </c>
      <c r="P79" s="46">
        <f t="shared" si="40"/>
        <v>1646682.8</v>
      </c>
      <c r="Q79" s="46">
        <f t="shared" si="40"/>
        <v>1646682.8</v>
      </c>
    </row>
    <row r="80" spans="1:17" ht="75" hidden="1" x14ac:dyDescent="0.25">
      <c r="A80" s="42" t="s">
        <v>77</v>
      </c>
      <c r="B80" s="52"/>
      <c r="C80" s="52"/>
      <c r="D80" s="44" t="s">
        <v>20</v>
      </c>
      <c r="E80" s="44" t="s">
        <v>67</v>
      </c>
      <c r="F80" s="44" t="s">
        <v>67</v>
      </c>
      <c r="G80" s="44" t="s">
        <v>67</v>
      </c>
      <c r="H80" s="46"/>
      <c r="I80" s="46"/>
      <c r="J80" s="46" t="s">
        <v>22</v>
      </c>
      <c r="K80" s="46">
        <f t="shared" si="37"/>
        <v>0</v>
      </c>
      <c r="L80" s="46">
        <f t="shared" si="41"/>
        <v>0</v>
      </c>
      <c r="M80" s="46">
        <f t="shared" si="42"/>
        <v>0</v>
      </c>
      <c r="N80" s="46">
        <f t="shared" si="43"/>
        <v>0</v>
      </c>
      <c r="O80" s="46">
        <f t="shared" si="39"/>
        <v>0</v>
      </c>
      <c r="P80" s="46">
        <f t="shared" si="40"/>
        <v>0</v>
      </c>
      <c r="Q80" s="46">
        <f t="shared" si="40"/>
        <v>0</v>
      </c>
    </row>
    <row r="81" spans="1:17" ht="15" x14ac:dyDescent="0.25">
      <c r="A81" s="44"/>
      <c r="B81" s="44" t="s">
        <v>28</v>
      </c>
      <c r="C81" s="44"/>
      <c r="D81" s="44" t="s">
        <v>20</v>
      </c>
      <c r="E81" s="44" t="s">
        <v>67</v>
      </c>
      <c r="F81" s="44" t="s">
        <v>67</v>
      </c>
      <c r="G81" s="44" t="s">
        <v>67</v>
      </c>
      <c r="H81" s="46" t="s">
        <v>23</v>
      </c>
      <c r="I81" s="46"/>
      <c r="J81" s="46">
        <v>25992.31</v>
      </c>
      <c r="K81" s="46">
        <f t="shared" si="37"/>
        <v>25992.31</v>
      </c>
      <c r="L81" s="46">
        <f t="shared" si="41"/>
        <v>0</v>
      </c>
      <c r="M81" s="46">
        <f t="shared" si="42"/>
        <v>0</v>
      </c>
      <c r="N81" s="46">
        <f t="shared" si="43"/>
        <v>3638923.4000000004</v>
      </c>
      <c r="O81" s="46">
        <f t="shared" si="39"/>
        <v>3638923.4000000004</v>
      </c>
      <c r="P81" s="46">
        <f t="shared" si="40"/>
        <v>3638923.4000000004</v>
      </c>
      <c r="Q81" s="46">
        <f t="shared" si="40"/>
        <v>3638923.4000000004</v>
      </c>
    </row>
    <row r="82" spans="1:17" ht="15" x14ac:dyDescent="0.25">
      <c r="A82" s="44" t="s">
        <v>68</v>
      </c>
      <c r="B82" s="52"/>
      <c r="C82" s="52"/>
      <c r="D82" s="52"/>
      <c r="E82" s="48"/>
      <c r="F82" s="48"/>
      <c r="G82" s="48"/>
      <c r="H82" s="46"/>
      <c r="I82" s="46"/>
      <c r="J82" s="46"/>
      <c r="K82" s="46">
        <f t="shared" si="37"/>
        <v>0</v>
      </c>
      <c r="L82" s="46">
        <f>L83+L88</f>
        <v>4860050.4400000004</v>
      </c>
      <c r="M82" s="46">
        <f t="shared" ref="M82:N82" si="44">M83+M88</f>
        <v>1646682.8</v>
      </c>
      <c r="N82" s="46">
        <f t="shared" si="44"/>
        <v>7434840</v>
      </c>
      <c r="O82" s="46">
        <f t="shared" si="39"/>
        <v>13941573.24</v>
      </c>
      <c r="P82" s="46">
        <f t="shared" si="40"/>
        <v>13941573.24</v>
      </c>
      <c r="Q82" s="46">
        <f t="shared" si="40"/>
        <v>13941573.24</v>
      </c>
    </row>
    <row r="83" spans="1:17" ht="85.5" x14ac:dyDescent="0.25">
      <c r="A83" s="42"/>
      <c r="B83" s="47" t="s">
        <v>76</v>
      </c>
      <c r="C83" s="47"/>
      <c r="D83" s="52"/>
      <c r="E83" s="48"/>
      <c r="F83" s="48"/>
      <c r="G83" s="48"/>
      <c r="H83" s="46"/>
      <c r="I83" s="46"/>
      <c r="J83" s="46"/>
      <c r="K83" s="46">
        <f t="shared" si="37"/>
        <v>0</v>
      </c>
      <c r="L83" s="46">
        <f>L84+L85</f>
        <v>4860050.4400000004</v>
      </c>
      <c r="M83" s="46">
        <f t="shared" ref="M83:N83" si="45">M84+M85</f>
        <v>1646682.8</v>
      </c>
      <c r="N83" s="46">
        <f t="shared" si="45"/>
        <v>3795916.5999999996</v>
      </c>
      <c r="O83" s="46">
        <f t="shared" si="39"/>
        <v>10302649.84</v>
      </c>
      <c r="P83" s="46">
        <f t="shared" si="40"/>
        <v>10302649.84</v>
      </c>
      <c r="Q83" s="46">
        <f t="shared" si="40"/>
        <v>10302649.84</v>
      </c>
    </row>
    <row r="84" spans="1:17" ht="105" x14ac:dyDescent="0.25">
      <c r="A84" s="42"/>
      <c r="B84" s="44" t="s">
        <v>19</v>
      </c>
      <c r="C84" s="42" t="s">
        <v>0</v>
      </c>
      <c r="D84" s="50" t="s">
        <v>20</v>
      </c>
      <c r="E84" s="44" t="s">
        <v>69</v>
      </c>
      <c r="F84" s="44" t="s">
        <v>69</v>
      </c>
      <c r="G84" s="44" t="s">
        <v>69</v>
      </c>
      <c r="H84" s="46">
        <v>41608.51</v>
      </c>
      <c r="I84" s="46">
        <v>11762.02</v>
      </c>
      <c r="J84" s="46">
        <v>27113.69</v>
      </c>
      <c r="K84" s="46">
        <f t="shared" si="37"/>
        <v>80484.22</v>
      </c>
      <c r="L84" s="46">
        <f>E84*H84</f>
        <v>1165038.28</v>
      </c>
      <c r="M84" s="46">
        <f>E84*I84</f>
        <v>329336.56</v>
      </c>
      <c r="N84" s="46">
        <f>E84*J84</f>
        <v>759183.32</v>
      </c>
      <c r="O84" s="46">
        <f t="shared" si="39"/>
        <v>2253558.16</v>
      </c>
      <c r="P84" s="46">
        <f t="shared" si="40"/>
        <v>2253558.16</v>
      </c>
      <c r="Q84" s="46">
        <f t="shared" si="40"/>
        <v>2253558.16</v>
      </c>
    </row>
    <row r="85" spans="1:17" ht="15" x14ac:dyDescent="0.25">
      <c r="A85" s="49"/>
      <c r="B85" s="44" t="s">
        <v>24</v>
      </c>
      <c r="C85" s="44"/>
      <c r="D85" s="44" t="s">
        <v>20</v>
      </c>
      <c r="E85" s="44" t="s">
        <v>70</v>
      </c>
      <c r="F85" s="44" t="s">
        <v>70</v>
      </c>
      <c r="G85" s="44" t="s">
        <v>70</v>
      </c>
      <c r="H85" s="46">
        <v>32991.18</v>
      </c>
      <c r="I85" s="46">
        <v>11762.02</v>
      </c>
      <c r="J85" s="46">
        <v>27113.69</v>
      </c>
      <c r="K85" s="46">
        <f t="shared" si="37"/>
        <v>71866.89</v>
      </c>
      <c r="L85" s="46">
        <f>E85*H85</f>
        <v>3695012.16</v>
      </c>
      <c r="M85" s="46">
        <f>E85*I85</f>
        <v>1317346.24</v>
      </c>
      <c r="N85" s="46">
        <f t="shared" ref="N85:N87" si="46">E85*J85</f>
        <v>3036733.28</v>
      </c>
      <c r="O85" s="46">
        <f t="shared" si="39"/>
        <v>8049091.6799999997</v>
      </c>
      <c r="P85" s="46">
        <f t="shared" si="40"/>
        <v>8049091.6799999997</v>
      </c>
      <c r="Q85" s="46">
        <f t="shared" si="40"/>
        <v>8049091.6799999997</v>
      </c>
    </row>
    <row r="86" spans="1:17" ht="15" hidden="1" x14ac:dyDescent="0.25">
      <c r="A86" s="44" t="s">
        <v>51</v>
      </c>
      <c r="B86" s="52"/>
      <c r="C86" s="52"/>
      <c r="D86" s="52"/>
      <c r="E86" s="44" t="s">
        <v>67</v>
      </c>
      <c r="F86" s="44" t="s">
        <v>67</v>
      </c>
      <c r="G86" s="44" t="s">
        <v>67</v>
      </c>
      <c r="H86" s="46"/>
      <c r="I86" s="46"/>
      <c r="J86" s="46"/>
      <c r="K86" s="46">
        <f t="shared" si="37"/>
        <v>0</v>
      </c>
      <c r="L86" s="46">
        <f t="shared" ref="L86:L95" si="47">E86*H86</f>
        <v>0</v>
      </c>
      <c r="M86" s="46">
        <f t="shared" si="42"/>
        <v>0</v>
      </c>
      <c r="N86" s="46">
        <f t="shared" si="46"/>
        <v>0</v>
      </c>
      <c r="O86" s="46">
        <f t="shared" si="39"/>
        <v>0</v>
      </c>
      <c r="P86" s="46">
        <f t="shared" si="40"/>
        <v>0</v>
      </c>
      <c r="Q86" s="46">
        <f t="shared" si="40"/>
        <v>0</v>
      </c>
    </row>
    <row r="87" spans="1:17" ht="75" hidden="1" x14ac:dyDescent="0.25">
      <c r="A87" s="42" t="s">
        <v>77</v>
      </c>
      <c r="B87" s="52"/>
      <c r="C87" s="52"/>
      <c r="D87" s="52"/>
      <c r="E87" s="44" t="s">
        <v>67</v>
      </c>
      <c r="F87" s="44" t="s">
        <v>67</v>
      </c>
      <c r="G87" s="44" t="s">
        <v>67</v>
      </c>
      <c r="H87" s="46"/>
      <c r="I87" s="46"/>
      <c r="J87" s="46" t="s">
        <v>22</v>
      </c>
      <c r="K87" s="46">
        <f t="shared" si="37"/>
        <v>0</v>
      </c>
      <c r="L87" s="46">
        <f t="shared" si="47"/>
        <v>0</v>
      </c>
      <c r="M87" s="46">
        <f t="shared" si="42"/>
        <v>0</v>
      </c>
      <c r="N87" s="46">
        <f t="shared" si="46"/>
        <v>0</v>
      </c>
      <c r="O87" s="46">
        <f t="shared" si="39"/>
        <v>0</v>
      </c>
      <c r="P87" s="46">
        <f t="shared" si="40"/>
        <v>0</v>
      </c>
      <c r="Q87" s="46">
        <f t="shared" si="40"/>
        <v>0</v>
      </c>
    </row>
    <row r="88" spans="1:17" ht="15" x14ac:dyDescent="0.25">
      <c r="A88" s="44"/>
      <c r="B88" s="44" t="s">
        <v>28</v>
      </c>
      <c r="C88" s="44"/>
      <c r="D88" s="44" t="s">
        <v>20</v>
      </c>
      <c r="E88" s="44" t="s">
        <v>67</v>
      </c>
      <c r="F88" s="44" t="s">
        <v>67</v>
      </c>
      <c r="G88" s="44" t="s">
        <v>67</v>
      </c>
      <c r="H88" s="46" t="s">
        <v>23</v>
      </c>
      <c r="I88" s="46"/>
      <c r="J88" s="46">
        <v>25992.31</v>
      </c>
      <c r="K88" s="46">
        <f t="shared" si="37"/>
        <v>25992.31</v>
      </c>
      <c r="L88" s="46">
        <f t="shared" si="47"/>
        <v>0</v>
      </c>
      <c r="M88" s="46">
        <f t="shared" si="42"/>
        <v>0</v>
      </c>
      <c r="N88" s="46">
        <f t="shared" si="43"/>
        <v>3638923.4000000004</v>
      </c>
      <c r="O88" s="46">
        <f t="shared" si="39"/>
        <v>3638923.4000000004</v>
      </c>
      <c r="P88" s="46">
        <f t="shared" si="40"/>
        <v>3638923.4000000004</v>
      </c>
      <c r="Q88" s="46">
        <f t="shared" si="40"/>
        <v>3638923.4000000004</v>
      </c>
    </row>
    <row r="89" spans="1:17" ht="15" x14ac:dyDescent="0.25">
      <c r="A89" s="44" t="s">
        <v>71</v>
      </c>
      <c r="B89" s="52"/>
      <c r="C89" s="52"/>
      <c r="D89" s="52"/>
      <c r="E89" s="48"/>
      <c r="F89" s="48"/>
      <c r="G89" s="48"/>
      <c r="H89" s="46"/>
      <c r="I89" s="46"/>
      <c r="J89" s="46"/>
      <c r="K89" s="46">
        <f t="shared" si="37"/>
        <v>0</v>
      </c>
      <c r="L89" s="46">
        <f>L90+L95</f>
        <v>8487853.6099999994</v>
      </c>
      <c r="M89" s="46">
        <f t="shared" ref="M89:N89" si="48">M90+M95</f>
        <v>2881694.9</v>
      </c>
      <c r="N89" s="46">
        <f t="shared" si="48"/>
        <v>13010970</v>
      </c>
      <c r="O89" s="46">
        <f t="shared" si="39"/>
        <v>24380518.509999998</v>
      </c>
      <c r="P89" s="46">
        <f t="shared" si="40"/>
        <v>24380518.509999998</v>
      </c>
      <c r="Q89" s="46">
        <f t="shared" si="40"/>
        <v>24380518.509999998</v>
      </c>
    </row>
    <row r="90" spans="1:17" ht="85.5" x14ac:dyDescent="0.25">
      <c r="A90" s="42"/>
      <c r="B90" s="47" t="s">
        <v>76</v>
      </c>
      <c r="C90" s="47"/>
      <c r="D90" s="52"/>
      <c r="E90" s="48"/>
      <c r="F90" s="48"/>
      <c r="G90" s="48"/>
      <c r="H90" s="46"/>
      <c r="I90" s="46"/>
      <c r="J90" s="46"/>
      <c r="K90" s="46">
        <f t="shared" si="37"/>
        <v>0</v>
      </c>
      <c r="L90" s="46">
        <f>L91+L92</f>
        <v>8487853.6099999994</v>
      </c>
      <c r="M90" s="46">
        <f t="shared" ref="M90:N90" si="49">M91+M92</f>
        <v>2881694.9</v>
      </c>
      <c r="N90" s="46">
        <f t="shared" si="49"/>
        <v>6642854.0499999998</v>
      </c>
      <c r="O90" s="46">
        <f t="shared" si="39"/>
        <v>18012402.559999999</v>
      </c>
      <c r="P90" s="46">
        <f t="shared" si="40"/>
        <v>18012402.559999999</v>
      </c>
      <c r="Q90" s="46">
        <f t="shared" si="40"/>
        <v>18012402.559999999</v>
      </c>
    </row>
    <row r="91" spans="1:17" ht="105" x14ac:dyDescent="0.25">
      <c r="A91" s="42"/>
      <c r="B91" s="44" t="s">
        <v>19</v>
      </c>
      <c r="C91" s="42" t="s">
        <v>0</v>
      </c>
      <c r="D91" s="50" t="s">
        <v>20</v>
      </c>
      <c r="E91" s="44" t="s">
        <v>72</v>
      </c>
      <c r="F91" s="44" t="s">
        <v>72</v>
      </c>
      <c r="G91" s="44" t="s">
        <v>72</v>
      </c>
      <c r="H91" s="46">
        <v>41608.51</v>
      </c>
      <c r="I91" s="46">
        <v>11762.02</v>
      </c>
      <c r="J91" s="46">
        <v>27113.69</v>
      </c>
      <c r="K91" s="46">
        <f t="shared" si="37"/>
        <v>80484.22</v>
      </c>
      <c r="L91" s="46">
        <f>E91*H91</f>
        <v>1955599.9700000002</v>
      </c>
      <c r="M91" s="46">
        <f>E91*I91</f>
        <v>552814.94000000006</v>
      </c>
      <c r="N91" s="46">
        <f>E91*J91</f>
        <v>1274343.43</v>
      </c>
      <c r="O91" s="46">
        <f t="shared" si="39"/>
        <v>3782758.34</v>
      </c>
      <c r="P91" s="46">
        <f t="shared" si="40"/>
        <v>3782758.34</v>
      </c>
      <c r="Q91" s="46">
        <f t="shared" si="40"/>
        <v>3782758.34</v>
      </c>
    </row>
    <row r="92" spans="1:17" ht="15" x14ac:dyDescent="0.25">
      <c r="A92" s="49"/>
      <c r="B92" s="44" t="s">
        <v>24</v>
      </c>
      <c r="C92" s="44"/>
      <c r="D92" s="44" t="s">
        <v>20</v>
      </c>
      <c r="E92" s="44" t="s">
        <v>73</v>
      </c>
      <c r="F92" s="44" t="s">
        <v>73</v>
      </c>
      <c r="G92" s="44" t="s">
        <v>73</v>
      </c>
      <c r="H92" s="46">
        <v>32991.18</v>
      </c>
      <c r="I92" s="46">
        <v>11762.02</v>
      </c>
      <c r="J92" s="46">
        <v>27113.69</v>
      </c>
      <c r="K92" s="46">
        <f t="shared" si="37"/>
        <v>71866.89</v>
      </c>
      <c r="L92" s="46">
        <f>E92*H92</f>
        <v>6532253.6399999997</v>
      </c>
      <c r="M92" s="46">
        <f>E92*I92</f>
        <v>2328879.96</v>
      </c>
      <c r="N92" s="46">
        <f>E92*J92</f>
        <v>5368510.62</v>
      </c>
      <c r="O92" s="46">
        <f t="shared" si="39"/>
        <v>14229644.219999999</v>
      </c>
      <c r="P92" s="46">
        <f t="shared" si="40"/>
        <v>14229644.219999999</v>
      </c>
      <c r="Q92" s="46">
        <f t="shared" si="40"/>
        <v>14229644.219999999</v>
      </c>
    </row>
    <row r="93" spans="1:17" ht="15" hidden="1" x14ac:dyDescent="0.25">
      <c r="A93" s="44" t="s">
        <v>26</v>
      </c>
      <c r="B93" s="52"/>
      <c r="C93" s="52"/>
      <c r="D93" s="44" t="s">
        <v>20</v>
      </c>
      <c r="E93" s="44" t="s">
        <v>74</v>
      </c>
      <c r="F93" s="44" t="s">
        <v>74</v>
      </c>
      <c r="G93" s="44" t="s">
        <v>74</v>
      </c>
      <c r="H93" s="46"/>
      <c r="I93" s="46"/>
      <c r="J93" s="46"/>
      <c r="K93" s="46">
        <f t="shared" si="37"/>
        <v>0</v>
      </c>
      <c r="L93" s="46">
        <f t="shared" si="47"/>
        <v>0</v>
      </c>
      <c r="M93" s="46">
        <f t="shared" si="42"/>
        <v>0</v>
      </c>
      <c r="N93" s="46">
        <f t="shared" si="43"/>
        <v>0</v>
      </c>
      <c r="O93" s="46">
        <f t="shared" si="39"/>
        <v>0</v>
      </c>
      <c r="P93" s="46">
        <f t="shared" si="40"/>
        <v>0</v>
      </c>
      <c r="Q93" s="46">
        <f t="shared" si="40"/>
        <v>0</v>
      </c>
    </row>
    <row r="94" spans="1:17" ht="75" hidden="1" x14ac:dyDescent="0.25">
      <c r="A94" s="42" t="s">
        <v>77</v>
      </c>
      <c r="B94" s="52"/>
      <c r="C94" s="52"/>
      <c r="D94" s="50" t="s">
        <v>20</v>
      </c>
      <c r="E94" s="44" t="s">
        <v>74</v>
      </c>
      <c r="F94" s="44" t="s">
        <v>74</v>
      </c>
      <c r="G94" s="44" t="s">
        <v>74</v>
      </c>
      <c r="H94" s="46"/>
      <c r="I94" s="46"/>
      <c r="J94" s="46" t="s">
        <v>22</v>
      </c>
      <c r="K94" s="46">
        <f t="shared" si="37"/>
        <v>0</v>
      </c>
      <c r="L94" s="46">
        <f t="shared" si="47"/>
        <v>0</v>
      </c>
      <c r="M94" s="46">
        <f t="shared" si="42"/>
        <v>0</v>
      </c>
      <c r="N94" s="46">
        <f t="shared" si="43"/>
        <v>0</v>
      </c>
      <c r="O94" s="46">
        <f t="shared" si="39"/>
        <v>0</v>
      </c>
      <c r="P94" s="46">
        <f t="shared" si="40"/>
        <v>0</v>
      </c>
      <c r="Q94" s="46">
        <f t="shared" si="40"/>
        <v>0</v>
      </c>
    </row>
    <row r="95" spans="1:17" ht="15" x14ac:dyDescent="0.25">
      <c r="A95" s="44"/>
      <c r="B95" s="48" t="s">
        <v>75</v>
      </c>
      <c r="C95" s="48"/>
      <c r="D95" s="44" t="s">
        <v>20</v>
      </c>
      <c r="E95" s="44" t="s">
        <v>74</v>
      </c>
      <c r="F95" s="44" t="s">
        <v>74</v>
      </c>
      <c r="G95" s="44" t="s">
        <v>74</v>
      </c>
      <c r="H95" s="46" t="s">
        <v>23</v>
      </c>
      <c r="I95" s="46"/>
      <c r="J95" s="46">
        <v>25992.31</v>
      </c>
      <c r="K95" s="46">
        <f t="shared" si="37"/>
        <v>25992.31</v>
      </c>
      <c r="L95" s="46">
        <f t="shared" si="47"/>
        <v>0</v>
      </c>
      <c r="M95" s="46">
        <f t="shared" si="42"/>
        <v>0</v>
      </c>
      <c r="N95" s="46">
        <f t="shared" si="43"/>
        <v>6368115.9500000002</v>
      </c>
      <c r="O95" s="46">
        <f t="shared" si="39"/>
        <v>6368115.9500000002</v>
      </c>
      <c r="P95" s="46">
        <f t="shared" si="40"/>
        <v>6368115.9500000002</v>
      </c>
      <c r="Q95" s="46">
        <f t="shared" si="40"/>
        <v>6368115.9500000002</v>
      </c>
    </row>
    <row r="96" spans="1:17" ht="36.75" customHeight="1" x14ac:dyDescent="0.3">
      <c r="A96" s="221" t="s">
        <v>154</v>
      </c>
      <c r="B96" s="221"/>
      <c r="C96" s="221"/>
      <c r="D96" s="44"/>
      <c r="E96" s="44"/>
      <c r="F96" s="44"/>
      <c r="G96" s="44"/>
      <c r="H96" s="46"/>
      <c r="I96" s="46"/>
      <c r="J96" s="46"/>
      <c r="K96" s="46"/>
      <c r="L96" s="46"/>
      <c r="M96" s="46"/>
      <c r="N96" s="46"/>
      <c r="O96" s="46"/>
      <c r="P96" s="46"/>
      <c r="Q96" s="46"/>
    </row>
    <row r="97" spans="1:17" ht="30" x14ac:dyDescent="0.2">
      <c r="A97" s="227" t="s">
        <v>3</v>
      </c>
      <c r="B97" s="227" t="s">
        <v>86</v>
      </c>
      <c r="C97" s="7" t="s">
        <v>87</v>
      </c>
      <c r="D97" s="227" t="s">
        <v>4</v>
      </c>
      <c r="E97" s="227" t="s">
        <v>5</v>
      </c>
      <c r="F97" s="227"/>
      <c r="G97" s="227"/>
      <c r="H97" s="227" t="s">
        <v>6</v>
      </c>
      <c r="I97" s="227"/>
      <c r="J97" s="227"/>
      <c r="K97" s="227"/>
      <c r="L97" s="227" t="s">
        <v>7</v>
      </c>
      <c r="M97" s="227"/>
      <c r="N97" s="227"/>
      <c r="O97" s="227"/>
      <c r="P97" s="227"/>
      <c r="Q97" s="227"/>
    </row>
    <row r="98" spans="1:17" ht="120" x14ac:dyDescent="0.2">
      <c r="A98" s="227"/>
      <c r="B98" s="227"/>
      <c r="C98" s="7"/>
      <c r="D98" s="227"/>
      <c r="E98" s="7" t="s">
        <v>8</v>
      </c>
      <c r="F98" s="7" t="s">
        <v>9</v>
      </c>
      <c r="G98" s="7" t="s">
        <v>10</v>
      </c>
      <c r="H98" s="7" t="s">
        <v>88</v>
      </c>
      <c r="I98" s="7" t="s">
        <v>89</v>
      </c>
      <c r="J98" s="7" t="s">
        <v>90</v>
      </c>
      <c r="K98" s="7" t="s">
        <v>91</v>
      </c>
      <c r="L98" s="7" t="s">
        <v>92</v>
      </c>
      <c r="M98" s="7" t="s">
        <v>93</v>
      </c>
      <c r="N98" s="7" t="s">
        <v>94</v>
      </c>
      <c r="O98" s="7" t="s">
        <v>95</v>
      </c>
      <c r="P98" s="7" t="s">
        <v>96</v>
      </c>
      <c r="Q98" s="7" t="s">
        <v>97</v>
      </c>
    </row>
    <row r="99" spans="1:17" ht="45" x14ac:dyDescent="0.2">
      <c r="A99" s="8" t="s">
        <v>13</v>
      </c>
      <c r="B99" s="8" t="s">
        <v>13</v>
      </c>
      <c r="C99" s="8"/>
      <c r="D99" s="8" t="s">
        <v>15</v>
      </c>
      <c r="E99" s="8" t="s">
        <v>16</v>
      </c>
      <c r="F99" s="8" t="s">
        <v>16</v>
      </c>
      <c r="G99" s="8" t="s">
        <v>16</v>
      </c>
      <c r="H99" s="7" t="s">
        <v>17</v>
      </c>
      <c r="I99" s="7" t="s">
        <v>17</v>
      </c>
      <c r="J99" s="7" t="s">
        <v>17</v>
      </c>
      <c r="K99" s="7" t="s">
        <v>17</v>
      </c>
      <c r="L99" s="7" t="s">
        <v>17</v>
      </c>
      <c r="M99" s="7" t="s">
        <v>17</v>
      </c>
      <c r="N99" s="7" t="s">
        <v>17</v>
      </c>
      <c r="O99" s="7" t="s">
        <v>17</v>
      </c>
      <c r="P99" s="7" t="s">
        <v>17</v>
      </c>
      <c r="Q99" s="7" t="s">
        <v>17</v>
      </c>
    </row>
    <row r="100" spans="1:17" ht="90" x14ac:dyDescent="0.25">
      <c r="A100" s="222" t="s">
        <v>98</v>
      </c>
      <c r="B100" s="219" t="s">
        <v>99</v>
      </c>
      <c r="C100" s="9" t="s">
        <v>100</v>
      </c>
      <c r="D100" s="10" t="s">
        <v>101</v>
      </c>
      <c r="E100" s="11">
        <v>227</v>
      </c>
      <c r="F100" s="11">
        <v>227</v>
      </c>
      <c r="G100" s="11">
        <v>227</v>
      </c>
      <c r="H100" s="12">
        <f>SUM(I100:K100)</f>
        <v>43059.57</v>
      </c>
      <c r="I100" s="12">
        <f>22328.93+952.08</f>
        <v>23281.010000000002</v>
      </c>
      <c r="J100" s="12">
        <v>3857.41</v>
      </c>
      <c r="K100" s="12">
        <v>15921.15</v>
      </c>
      <c r="L100" s="13">
        <f>SUM(M100:O100)</f>
        <v>9774522.3900000006</v>
      </c>
      <c r="M100" s="13">
        <f>E100*I100</f>
        <v>5284789.2700000005</v>
      </c>
      <c r="N100" s="13">
        <f>E100*J100</f>
        <v>875632.07</v>
      </c>
      <c r="O100" s="14">
        <f>E100*K100</f>
        <v>3614101.05</v>
      </c>
      <c r="P100" s="14">
        <f>F100*H100</f>
        <v>9774522.3900000006</v>
      </c>
      <c r="Q100" s="14">
        <f>G100*H100</f>
        <v>9774522.3900000006</v>
      </c>
    </row>
    <row r="101" spans="1:17" ht="120" x14ac:dyDescent="0.2">
      <c r="A101" s="222"/>
      <c r="B101" s="219"/>
      <c r="C101" s="15" t="s">
        <v>102</v>
      </c>
      <c r="D101" s="16" t="s">
        <v>101</v>
      </c>
      <c r="E101" s="17">
        <v>3</v>
      </c>
      <c r="F101" s="17">
        <v>3</v>
      </c>
      <c r="G101" s="17">
        <v>3</v>
      </c>
      <c r="H101" s="18">
        <v>22724.03</v>
      </c>
      <c r="I101" s="18">
        <v>22724.03</v>
      </c>
      <c r="J101" s="18" t="s">
        <v>103</v>
      </c>
      <c r="K101" s="18" t="s">
        <v>103</v>
      </c>
      <c r="L101" s="13">
        <f>SUM(M101:O101)</f>
        <v>68172.09</v>
      </c>
      <c r="M101" s="13">
        <f>E101*I101</f>
        <v>68172.09</v>
      </c>
      <c r="N101" s="13" t="s">
        <v>104</v>
      </c>
      <c r="O101" s="19" t="s">
        <v>104</v>
      </c>
      <c r="P101" s="14">
        <f t="shared" ref="P101:P164" si="50">F101*H101</f>
        <v>68172.09</v>
      </c>
      <c r="Q101" s="14">
        <f t="shared" ref="Q101:Q164" si="51">G101*H101</f>
        <v>68172.09</v>
      </c>
    </row>
    <row r="102" spans="1:17" ht="120" x14ac:dyDescent="0.25">
      <c r="A102" s="222"/>
      <c r="B102" s="219"/>
      <c r="C102" s="9" t="s">
        <v>105</v>
      </c>
      <c r="D102" s="16" t="s">
        <v>101</v>
      </c>
      <c r="E102" s="11">
        <v>3</v>
      </c>
      <c r="F102" s="11">
        <v>3</v>
      </c>
      <c r="G102" s="11">
        <v>3</v>
      </c>
      <c r="H102" s="18">
        <f>SUM(I102:K102)</f>
        <v>137159.02000000002</v>
      </c>
      <c r="I102" s="18">
        <f>116428.38+952.08</f>
        <v>117380.46</v>
      </c>
      <c r="J102" s="18">
        <v>3857.41</v>
      </c>
      <c r="K102" s="18">
        <v>15921.15</v>
      </c>
      <c r="L102" s="13">
        <f>SUM(M102:O102)</f>
        <v>411477.06</v>
      </c>
      <c r="M102" s="13">
        <f>E102*I102</f>
        <v>352141.38</v>
      </c>
      <c r="N102" s="13">
        <f>E102*J102</f>
        <v>11572.23</v>
      </c>
      <c r="O102" s="20">
        <f>E102*K102</f>
        <v>47763.45</v>
      </c>
      <c r="P102" s="14">
        <f t="shared" si="50"/>
        <v>411477.06000000006</v>
      </c>
      <c r="Q102" s="14">
        <f t="shared" si="51"/>
        <v>411477.06000000006</v>
      </c>
    </row>
    <row r="103" spans="1:17" ht="15" x14ac:dyDescent="0.2">
      <c r="A103" s="222"/>
      <c r="B103" s="219"/>
      <c r="C103" s="21" t="s">
        <v>106</v>
      </c>
      <c r="D103" s="22"/>
      <c r="E103" s="11">
        <f>E100+E102</f>
        <v>230</v>
      </c>
      <c r="F103" s="11">
        <f t="shared" ref="F103:G103" si="52">F100+F102</f>
        <v>230</v>
      </c>
      <c r="G103" s="11">
        <f t="shared" si="52"/>
        <v>230</v>
      </c>
      <c r="H103" s="11" t="s">
        <v>104</v>
      </c>
      <c r="I103" s="11" t="s">
        <v>104</v>
      </c>
      <c r="J103" s="11" t="s">
        <v>104</v>
      </c>
      <c r="K103" s="11" t="s">
        <v>104</v>
      </c>
      <c r="L103" s="11">
        <f t="shared" ref="L103:O103" si="53">SUM(L100:L102)</f>
        <v>10254171.540000001</v>
      </c>
      <c r="M103" s="11">
        <f t="shared" si="53"/>
        <v>5705102.7400000002</v>
      </c>
      <c r="N103" s="11">
        <f t="shared" si="53"/>
        <v>887204.29999999993</v>
      </c>
      <c r="O103" s="11">
        <f t="shared" si="53"/>
        <v>3661864.5</v>
      </c>
      <c r="P103" s="14">
        <f>SUM(P100:P102)</f>
        <v>10254171.540000001</v>
      </c>
      <c r="Q103" s="14">
        <f>SUM(Q100:Q102)</f>
        <v>10254171.540000001</v>
      </c>
    </row>
    <row r="104" spans="1:17" ht="90" x14ac:dyDescent="0.25">
      <c r="A104" s="222"/>
      <c r="B104" s="219" t="s">
        <v>107</v>
      </c>
      <c r="C104" s="9" t="s">
        <v>100</v>
      </c>
      <c r="D104" s="10" t="s">
        <v>101</v>
      </c>
      <c r="E104" s="23">
        <v>227</v>
      </c>
      <c r="F104" s="23">
        <v>227</v>
      </c>
      <c r="G104" s="23">
        <v>227</v>
      </c>
      <c r="H104" s="12">
        <f>SUM(I104:K104)</f>
        <v>54095.340000000004</v>
      </c>
      <c r="I104" s="12">
        <f>33147.58+1169.2</f>
        <v>34316.78</v>
      </c>
      <c r="J104" s="12">
        <v>3857.41</v>
      </c>
      <c r="K104" s="18">
        <v>15921.15</v>
      </c>
      <c r="L104" s="11">
        <f>SUM(M104:O104)</f>
        <v>12279642.18</v>
      </c>
      <c r="M104" s="11">
        <f>E104*I104</f>
        <v>7789909.0599999996</v>
      </c>
      <c r="N104" s="11">
        <f>E104*J104</f>
        <v>875632.07</v>
      </c>
      <c r="O104" s="24">
        <f>E104*K104</f>
        <v>3614101.05</v>
      </c>
      <c r="P104" s="14">
        <f t="shared" si="50"/>
        <v>12279642.180000002</v>
      </c>
      <c r="Q104" s="14">
        <f t="shared" si="51"/>
        <v>12279642.180000002</v>
      </c>
    </row>
    <row r="105" spans="1:17" ht="120" x14ac:dyDescent="0.25">
      <c r="A105" s="222"/>
      <c r="B105" s="219"/>
      <c r="C105" s="15" t="s">
        <v>102</v>
      </c>
      <c r="D105" s="16" t="s">
        <v>101</v>
      </c>
      <c r="E105" s="25">
        <v>1</v>
      </c>
      <c r="F105" s="25">
        <v>1</v>
      </c>
      <c r="G105" s="25">
        <v>1</v>
      </c>
      <c r="H105" s="18">
        <v>22724.03</v>
      </c>
      <c r="I105" s="18">
        <v>22724.03</v>
      </c>
      <c r="J105" s="18" t="s">
        <v>103</v>
      </c>
      <c r="K105" s="18" t="s">
        <v>103</v>
      </c>
      <c r="L105" s="13">
        <f>SUM(M105:O105)</f>
        <v>22724.03</v>
      </c>
      <c r="M105" s="13">
        <f>E105*I105</f>
        <v>22724.03</v>
      </c>
      <c r="N105" s="13" t="s">
        <v>104</v>
      </c>
      <c r="O105" s="19" t="s">
        <v>104</v>
      </c>
      <c r="P105" s="14">
        <f t="shared" si="50"/>
        <v>22724.03</v>
      </c>
      <c r="Q105" s="14">
        <f t="shared" si="51"/>
        <v>22724.03</v>
      </c>
    </row>
    <row r="106" spans="1:17" ht="120" x14ac:dyDescent="0.25">
      <c r="A106" s="222"/>
      <c r="B106" s="219"/>
      <c r="C106" s="9" t="s">
        <v>105</v>
      </c>
      <c r="D106" s="16" t="s">
        <v>101</v>
      </c>
      <c r="E106" s="25"/>
      <c r="F106" s="25"/>
      <c r="G106" s="25"/>
      <c r="H106" s="25"/>
      <c r="I106" s="25"/>
      <c r="J106" s="25"/>
      <c r="K106" s="26"/>
      <c r="L106" s="26"/>
      <c r="M106" s="26"/>
      <c r="N106" s="26"/>
      <c r="O106" s="26"/>
      <c r="P106" s="14">
        <f t="shared" si="50"/>
        <v>0</v>
      </c>
      <c r="Q106" s="14">
        <f t="shared" si="51"/>
        <v>0</v>
      </c>
    </row>
    <row r="107" spans="1:17" ht="15" x14ac:dyDescent="0.25">
      <c r="A107" s="222"/>
      <c r="B107" s="53"/>
      <c r="C107" s="21" t="s">
        <v>106</v>
      </c>
      <c r="D107" s="16"/>
      <c r="E107" s="25">
        <f>E104+E106</f>
        <v>227</v>
      </c>
      <c r="F107" s="25">
        <f t="shared" ref="F107:G107" si="54">F104+F106</f>
        <v>227</v>
      </c>
      <c r="G107" s="25">
        <f t="shared" si="54"/>
        <v>227</v>
      </c>
      <c r="H107" s="25" t="s">
        <v>104</v>
      </c>
      <c r="I107" s="25" t="s">
        <v>104</v>
      </c>
      <c r="J107" s="25" t="s">
        <v>104</v>
      </c>
      <c r="K107" s="25" t="s">
        <v>104</v>
      </c>
      <c r="L107" s="25">
        <f t="shared" ref="L107:Q107" si="55">SUM(L104:L106)</f>
        <v>12302366.209999999</v>
      </c>
      <c r="M107" s="25">
        <f t="shared" si="55"/>
        <v>7812633.0899999999</v>
      </c>
      <c r="N107" s="25">
        <f t="shared" si="55"/>
        <v>875632.07</v>
      </c>
      <c r="O107" s="25">
        <f t="shared" si="55"/>
        <v>3614101.05</v>
      </c>
      <c r="P107" s="25">
        <f t="shared" si="55"/>
        <v>12302366.210000001</v>
      </c>
      <c r="Q107" s="25">
        <f t="shared" si="55"/>
        <v>12302366.210000001</v>
      </c>
    </row>
    <row r="108" spans="1:17" ht="90" x14ac:dyDescent="0.25">
      <c r="A108" s="222"/>
      <c r="B108" s="219" t="s">
        <v>108</v>
      </c>
      <c r="C108" s="9" t="s">
        <v>100</v>
      </c>
      <c r="D108" s="10" t="s">
        <v>101</v>
      </c>
      <c r="E108" s="25">
        <v>43</v>
      </c>
      <c r="F108" s="25">
        <v>43</v>
      </c>
      <c r="G108" s="25">
        <v>43</v>
      </c>
      <c r="H108" s="12">
        <f>SUM(I108:K108)</f>
        <v>60807.1</v>
      </c>
      <c r="I108" s="12">
        <f>39660.87+1367.67</f>
        <v>41028.54</v>
      </c>
      <c r="J108" s="12">
        <v>3857.41</v>
      </c>
      <c r="K108" s="18">
        <v>15921.15</v>
      </c>
      <c r="L108" s="26">
        <f>SUM(M108:O108)</f>
        <v>2614705.2999999998</v>
      </c>
      <c r="M108" s="26">
        <f>E108*I108</f>
        <v>1764227.22</v>
      </c>
      <c r="N108" s="26">
        <f>E108*J108</f>
        <v>165868.63</v>
      </c>
      <c r="O108" s="26">
        <f>E108*K108</f>
        <v>684609.45</v>
      </c>
      <c r="P108" s="14">
        <f t="shared" si="50"/>
        <v>2614705.2999999998</v>
      </c>
      <c r="Q108" s="14">
        <f t="shared" si="51"/>
        <v>2614705.2999999998</v>
      </c>
    </row>
    <row r="109" spans="1:17" ht="120" x14ac:dyDescent="0.25">
      <c r="A109" s="222"/>
      <c r="B109" s="219"/>
      <c r="C109" s="15" t="s">
        <v>102</v>
      </c>
      <c r="D109" s="16" t="s">
        <v>101</v>
      </c>
      <c r="E109" s="25"/>
      <c r="F109" s="25"/>
      <c r="G109" s="25"/>
      <c r="H109" s="18">
        <v>22724.03</v>
      </c>
      <c r="I109" s="18">
        <v>22724.03</v>
      </c>
      <c r="J109" s="18" t="s">
        <v>103</v>
      </c>
      <c r="K109" s="18" t="s">
        <v>103</v>
      </c>
      <c r="L109" s="13">
        <f>SUM(M109:O109)</f>
        <v>0</v>
      </c>
      <c r="M109" s="13">
        <f>E109*I109</f>
        <v>0</v>
      </c>
      <c r="N109" s="13" t="s">
        <v>104</v>
      </c>
      <c r="O109" s="19" t="s">
        <v>104</v>
      </c>
      <c r="P109" s="14">
        <f t="shared" si="50"/>
        <v>0</v>
      </c>
      <c r="Q109" s="14">
        <f t="shared" si="51"/>
        <v>0</v>
      </c>
    </row>
    <row r="110" spans="1:17" ht="120" x14ac:dyDescent="0.25">
      <c r="A110" s="222"/>
      <c r="B110" s="219"/>
      <c r="C110" s="9" t="s">
        <v>105</v>
      </c>
      <c r="D110" s="16" t="s">
        <v>101</v>
      </c>
      <c r="E110" s="25"/>
      <c r="F110" s="25"/>
      <c r="G110" s="25"/>
      <c r="H110" s="25"/>
      <c r="I110" s="25"/>
      <c r="J110" s="25"/>
      <c r="K110" s="26"/>
      <c r="L110" s="26"/>
      <c r="M110" s="26"/>
      <c r="N110" s="26"/>
      <c r="O110" s="26"/>
      <c r="P110" s="14">
        <f t="shared" si="50"/>
        <v>0</v>
      </c>
      <c r="Q110" s="14">
        <f t="shared" si="51"/>
        <v>0</v>
      </c>
    </row>
    <row r="111" spans="1:17" ht="15" x14ac:dyDescent="0.25">
      <c r="A111" s="222"/>
      <c r="B111" s="53"/>
      <c r="C111" s="21" t="s">
        <v>106</v>
      </c>
      <c r="D111" s="16"/>
      <c r="E111" s="25">
        <f>SUM(E108:E110)</f>
        <v>43</v>
      </c>
      <c r="F111" s="25">
        <f t="shared" ref="F111:Q111" si="56">SUM(F108:F110)</f>
        <v>43</v>
      </c>
      <c r="G111" s="25">
        <f t="shared" si="56"/>
        <v>43</v>
      </c>
      <c r="H111" s="25" t="s">
        <v>104</v>
      </c>
      <c r="I111" s="25" t="s">
        <v>104</v>
      </c>
      <c r="J111" s="25" t="s">
        <v>104</v>
      </c>
      <c r="K111" s="25" t="s">
        <v>104</v>
      </c>
      <c r="L111" s="25">
        <f t="shared" si="56"/>
        <v>2614705.2999999998</v>
      </c>
      <c r="M111" s="25">
        <f t="shared" si="56"/>
        <v>1764227.22</v>
      </c>
      <c r="N111" s="25">
        <f t="shared" si="56"/>
        <v>165868.63</v>
      </c>
      <c r="O111" s="25">
        <f t="shared" si="56"/>
        <v>684609.45</v>
      </c>
      <c r="P111" s="25">
        <f t="shared" si="56"/>
        <v>2614705.2999999998</v>
      </c>
      <c r="Q111" s="25">
        <f t="shared" si="56"/>
        <v>2614705.2999999998</v>
      </c>
    </row>
    <row r="112" spans="1:17" ht="168" customHeight="1" x14ac:dyDescent="0.25">
      <c r="A112" s="222"/>
      <c r="B112" s="220" t="s">
        <v>109</v>
      </c>
      <c r="C112" s="9" t="s">
        <v>110</v>
      </c>
      <c r="D112" s="16" t="s">
        <v>101</v>
      </c>
      <c r="E112" s="25">
        <v>300</v>
      </c>
      <c r="F112" s="25">
        <v>300</v>
      </c>
      <c r="G112" s="25">
        <v>300</v>
      </c>
      <c r="H112" s="18">
        <f>I112</f>
        <v>2770.76</v>
      </c>
      <c r="I112" s="18">
        <v>2770.76</v>
      </c>
      <c r="J112" s="18" t="s">
        <v>104</v>
      </c>
      <c r="K112" s="18" t="s">
        <v>104</v>
      </c>
      <c r="L112" s="26">
        <f>SUM(M112:O112)</f>
        <v>831228.00000000012</v>
      </c>
      <c r="M112" s="26">
        <f>I112*E112</f>
        <v>831228.00000000012</v>
      </c>
      <c r="N112" s="26" t="s">
        <v>104</v>
      </c>
      <c r="O112" s="26" t="s">
        <v>104</v>
      </c>
      <c r="P112" s="14">
        <f t="shared" si="50"/>
        <v>831228.00000000012</v>
      </c>
      <c r="Q112" s="14">
        <f t="shared" si="51"/>
        <v>831228.00000000012</v>
      </c>
    </row>
    <row r="113" spans="1:17" ht="180.75" customHeight="1" x14ac:dyDescent="0.25">
      <c r="A113" s="222"/>
      <c r="B113" s="220"/>
      <c r="C113" s="9" t="s">
        <v>111</v>
      </c>
      <c r="D113" s="16" t="s">
        <v>101</v>
      </c>
      <c r="E113" s="25">
        <v>286</v>
      </c>
      <c r="F113" s="25">
        <v>286</v>
      </c>
      <c r="G113" s="25">
        <v>286</v>
      </c>
      <c r="H113" s="18">
        <v>3829.24</v>
      </c>
      <c r="I113" s="18">
        <f>H113</f>
        <v>3829.24</v>
      </c>
      <c r="J113" s="18" t="s">
        <v>104</v>
      </c>
      <c r="K113" s="18" t="s">
        <v>104</v>
      </c>
      <c r="L113" s="26">
        <f>SUM(M113:O113)</f>
        <v>1095162.6399999999</v>
      </c>
      <c r="M113" s="26">
        <f>I113*E113</f>
        <v>1095162.6399999999</v>
      </c>
      <c r="N113" s="27" t="s">
        <v>104</v>
      </c>
      <c r="O113" s="28" t="s">
        <v>104</v>
      </c>
      <c r="P113" s="14">
        <f t="shared" si="50"/>
        <v>1095162.6399999999</v>
      </c>
      <c r="Q113" s="14">
        <f t="shared" si="51"/>
        <v>1095162.6399999999</v>
      </c>
    </row>
    <row r="114" spans="1:17" ht="15" x14ac:dyDescent="0.25">
      <c r="A114" s="222"/>
      <c r="B114" s="29"/>
      <c r="C114" s="21" t="s">
        <v>106</v>
      </c>
      <c r="D114" s="29"/>
      <c r="E114" s="25">
        <f>SUM(E112:E113)</f>
        <v>586</v>
      </c>
      <c r="F114" s="25">
        <f t="shared" ref="F114:O114" si="57">SUM(F112:F113)</f>
        <v>586</v>
      </c>
      <c r="G114" s="25">
        <f t="shared" si="57"/>
        <v>586</v>
      </c>
      <c r="H114" s="25" t="s">
        <v>104</v>
      </c>
      <c r="I114" s="25" t="s">
        <v>104</v>
      </c>
      <c r="J114" s="25" t="s">
        <v>104</v>
      </c>
      <c r="K114" s="25">
        <f t="shared" si="57"/>
        <v>0</v>
      </c>
      <c r="L114" s="25">
        <f t="shared" si="57"/>
        <v>1926390.6400000001</v>
      </c>
      <c r="M114" s="25">
        <f t="shared" si="57"/>
        <v>1926390.6400000001</v>
      </c>
      <c r="N114" s="25">
        <f t="shared" si="57"/>
        <v>0</v>
      </c>
      <c r="O114" s="29">
        <f t="shared" si="57"/>
        <v>0</v>
      </c>
      <c r="P114" s="14">
        <f>SUM(P112:P113)</f>
        <v>1926390.6400000001</v>
      </c>
      <c r="Q114" s="14">
        <f>SUM(Q112:Q113)</f>
        <v>1926390.6400000001</v>
      </c>
    </row>
    <row r="115" spans="1:17" ht="14.25" x14ac:dyDescent="0.2">
      <c r="A115" s="222"/>
      <c r="B115" s="30" t="s">
        <v>112</v>
      </c>
      <c r="C115" s="30"/>
      <c r="D115" s="29"/>
      <c r="E115" s="29"/>
      <c r="F115" s="29"/>
      <c r="G115" s="29"/>
      <c r="H115" s="29"/>
      <c r="I115" s="29"/>
      <c r="J115" s="29"/>
      <c r="K115" s="29"/>
      <c r="L115" s="29">
        <f>SUM(M115:O115)</f>
        <v>27097633.690000001</v>
      </c>
      <c r="M115" s="29">
        <f t="shared" ref="M115:Q115" si="58">M103+M107+M111+M114</f>
        <v>17208353.690000001</v>
      </c>
      <c r="N115" s="29">
        <f t="shared" si="58"/>
        <v>1928705</v>
      </c>
      <c r="O115" s="29">
        <f t="shared" si="58"/>
        <v>7960575</v>
      </c>
      <c r="P115" s="29">
        <f t="shared" si="58"/>
        <v>27097633.690000001</v>
      </c>
      <c r="Q115" s="29">
        <f t="shared" si="58"/>
        <v>27097633.690000001</v>
      </c>
    </row>
    <row r="116" spans="1:17" ht="90" x14ac:dyDescent="0.25">
      <c r="A116" s="222" t="s">
        <v>113</v>
      </c>
      <c r="B116" s="219" t="s">
        <v>99</v>
      </c>
      <c r="C116" s="9" t="s">
        <v>100</v>
      </c>
      <c r="D116" s="10" t="s">
        <v>101</v>
      </c>
      <c r="E116" s="11">
        <v>204</v>
      </c>
      <c r="F116" s="11">
        <v>205</v>
      </c>
      <c r="G116" s="11">
        <v>203</v>
      </c>
      <c r="H116" s="12">
        <f>SUM(I116:K116)</f>
        <v>43059.57</v>
      </c>
      <c r="I116" s="12">
        <f>22328.93+952.08</f>
        <v>23281.010000000002</v>
      </c>
      <c r="J116" s="12">
        <v>3857.41</v>
      </c>
      <c r="K116" s="12">
        <v>15921.15</v>
      </c>
      <c r="L116" s="13">
        <f>SUM(M116:O116)</f>
        <v>8784152.2799999993</v>
      </c>
      <c r="M116" s="13">
        <f>E116*I116</f>
        <v>4749326.04</v>
      </c>
      <c r="N116" s="13">
        <f>E116*J116</f>
        <v>786911.64</v>
      </c>
      <c r="O116" s="14">
        <f>E116*K116</f>
        <v>3247914.6</v>
      </c>
      <c r="P116" s="14">
        <f t="shared" si="50"/>
        <v>8827211.8499999996</v>
      </c>
      <c r="Q116" s="14">
        <f t="shared" si="51"/>
        <v>8741092.709999999</v>
      </c>
    </row>
    <row r="117" spans="1:17" ht="102.75" customHeight="1" x14ac:dyDescent="0.2">
      <c r="A117" s="222"/>
      <c r="B117" s="219"/>
      <c r="C117" s="15" t="s">
        <v>102</v>
      </c>
      <c r="D117" s="16" t="s">
        <v>101</v>
      </c>
      <c r="E117" s="17">
        <v>3</v>
      </c>
      <c r="F117" s="17">
        <v>1</v>
      </c>
      <c r="G117" s="17">
        <v>1</v>
      </c>
      <c r="H117" s="18">
        <v>22724.03</v>
      </c>
      <c r="I117" s="18">
        <v>22724.03</v>
      </c>
      <c r="J117" s="18" t="s">
        <v>103</v>
      </c>
      <c r="K117" s="18" t="s">
        <v>103</v>
      </c>
      <c r="L117" s="13">
        <f>SUM(M117:O117)</f>
        <v>68172.09</v>
      </c>
      <c r="M117" s="13">
        <f>E117*I117</f>
        <v>68172.09</v>
      </c>
      <c r="N117" s="13" t="s">
        <v>104</v>
      </c>
      <c r="O117" s="19" t="s">
        <v>104</v>
      </c>
      <c r="P117" s="14">
        <f t="shared" si="50"/>
        <v>22724.03</v>
      </c>
      <c r="Q117" s="14">
        <f t="shared" si="51"/>
        <v>22724.03</v>
      </c>
    </row>
    <row r="118" spans="1:17" ht="120" x14ac:dyDescent="0.25">
      <c r="A118" s="222"/>
      <c r="B118" s="219"/>
      <c r="C118" s="9" t="s">
        <v>105</v>
      </c>
      <c r="D118" s="16" t="s">
        <v>101</v>
      </c>
      <c r="E118" s="11"/>
      <c r="F118" s="11">
        <v>1</v>
      </c>
      <c r="G118" s="11">
        <v>1</v>
      </c>
      <c r="H118" s="18">
        <f>SUM(I118:K118)</f>
        <v>137159.02000000002</v>
      </c>
      <c r="I118" s="18">
        <f>116428.38+952.08</f>
        <v>117380.46</v>
      </c>
      <c r="J118" s="18">
        <v>3857.41</v>
      </c>
      <c r="K118" s="18">
        <v>15921.15</v>
      </c>
      <c r="L118" s="13">
        <f>SUM(M118:O118)</f>
        <v>0</v>
      </c>
      <c r="M118" s="13">
        <f>E118*I118</f>
        <v>0</v>
      </c>
      <c r="N118" s="13">
        <f>E118*J118</f>
        <v>0</v>
      </c>
      <c r="O118" s="20">
        <f>E118*K118</f>
        <v>0</v>
      </c>
      <c r="P118" s="14">
        <f t="shared" si="50"/>
        <v>137159.02000000002</v>
      </c>
      <c r="Q118" s="14">
        <f t="shared" si="51"/>
        <v>137159.02000000002</v>
      </c>
    </row>
    <row r="119" spans="1:17" ht="15" x14ac:dyDescent="0.2">
      <c r="A119" s="222"/>
      <c r="B119" s="219"/>
      <c r="C119" s="21" t="s">
        <v>106</v>
      </c>
      <c r="D119" s="22"/>
      <c r="E119" s="11">
        <f>E116+E118</f>
        <v>204</v>
      </c>
      <c r="F119" s="11">
        <f>F116+F118</f>
        <v>206</v>
      </c>
      <c r="G119" s="11">
        <f t="shared" ref="G119" si="59">G116+G118</f>
        <v>204</v>
      </c>
      <c r="H119" s="11" t="s">
        <v>104</v>
      </c>
      <c r="I119" s="11" t="s">
        <v>104</v>
      </c>
      <c r="J119" s="11" t="s">
        <v>104</v>
      </c>
      <c r="K119" s="11" t="s">
        <v>104</v>
      </c>
      <c r="L119" s="11">
        <f t="shared" ref="L119:O119" si="60">SUM(L116:L118)</f>
        <v>8852324.3699999992</v>
      </c>
      <c r="M119" s="11">
        <f t="shared" si="60"/>
        <v>4817498.13</v>
      </c>
      <c r="N119" s="11">
        <f t="shared" si="60"/>
        <v>786911.64</v>
      </c>
      <c r="O119" s="11">
        <f t="shared" si="60"/>
        <v>3247914.6</v>
      </c>
      <c r="P119" s="20">
        <f>SUM(P116:P118)</f>
        <v>8987094.8999999985</v>
      </c>
      <c r="Q119" s="14">
        <f>SUM(Q116:Q118)</f>
        <v>8900975.7599999979</v>
      </c>
    </row>
    <row r="120" spans="1:17" ht="90" x14ac:dyDescent="0.25">
      <c r="A120" s="222"/>
      <c r="B120" s="219" t="s">
        <v>107</v>
      </c>
      <c r="C120" s="9" t="s">
        <v>100</v>
      </c>
      <c r="D120" s="10" t="s">
        <v>101</v>
      </c>
      <c r="E120" s="23">
        <v>240</v>
      </c>
      <c r="F120" s="23">
        <v>233</v>
      </c>
      <c r="G120" s="23">
        <v>244</v>
      </c>
      <c r="H120" s="12">
        <f>SUM(I120:K120)</f>
        <v>54095.340000000004</v>
      </c>
      <c r="I120" s="12">
        <f>33147.58+1169.2</f>
        <v>34316.78</v>
      </c>
      <c r="J120" s="12">
        <v>3857.41</v>
      </c>
      <c r="K120" s="18">
        <v>15921.15</v>
      </c>
      <c r="L120" s="11">
        <f>SUM(M120:O120)</f>
        <v>12982881.6</v>
      </c>
      <c r="M120" s="11">
        <f>E120*I120</f>
        <v>8236027.1999999993</v>
      </c>
      <c r="N120" s="11">
        <f>E120*J120</f>
        <v>925778.39999999991</v>
      </c>
      <c r="O120" s="24">
        <f>E120*K120</f>
        <v>3821076</v>
      </c>
      <c r="P120" s="14">
        <f t="shared" si="50"/>
        <v>12604214.220000001</v>
      </c>
      <c r="Q120" s="14">
        <f t="shared" si="51"/>
        <v>13199262.960000001</v>
      </c>
    </row>
    <row r="121" spans="1:17" ht="117.75" customHeight="1" x14ac:dyDescent="0.25">
      <c r="A121" s="222"/>
      <c r="B121" s="219"/>
      <c r="C121" s="15" t="s">
        <v>102</v>
      </c>
      <c r="D121" s="16" t="s">
        <v>101</v>
      </c>
      <c r="E121" s="25">
        <v>3</v>
      </c>
      <c r="F121" s="25">
        <v>4</v>
      </c>
      <c r="G121" s="25">
        <v>4</v>
      </c>
      <c r="H121" s="18">
        <v>22724.03</v>
      </c>
      <c r="I121" s="18">
        <v>22724.03</v>
      </c>
      <c r="J121" s="18" t="s">
        <v>103</v>
      </c>
      <c r="K121" s="18" t="s">
        <v>103</v>
      </c>
      <c r="L121" s="13">
        <f>SUM(M121:O121)</f>
        <v>68172.09</v>
      </c>
      <c r="M121" s="13">
        <f>E121*I121</f>
        <v>68172.09</v>
      </c>
      <c r="N121" s="13" t="s">
        <v>104</v>
      </c>
      <c r="O121" s="19" t="s">
        <v>104</v>
      </c>
      <c r="P121" s="14">
        <f t="shared" si="50"/>
        <v>90896.12</v>
      </c>
      <c r="Q121" s="14">
        <f t="shared" si="51"/>
        <v>90896.12</v>
      </c>
    </row>
    <row r="122" spans="1:17" ht="120" x14ac:dyDescent="0.25">
      <c r="A122" s="222"/>
      <c r="B122" s="219"/>
      <c r="C122" s="9" t="s">
        <v>105</v>
      </c>
      <c r="D122" s="16" t="s">
        <v>101</v>
      </c>
      <c r="E122" s="25">
        <v>5</v>
      </c>
      <c r="F122" s="25">
        <v>4</v>
      </c>
      <c r="G122" s="25">
        <v>4</v>
      </c>
      <c r="H122" s="18">
        <f>SUM(I122:K122)</f>
        <v>166124.72</v>
      </c>
      <c r="I122" s="18">
        <f>145176.96+1169.2</f>
        <v>146346.16</v>
      </c>
      <c r="J122" s="18">
        <v>3857.41</v>
      </c>
      <c r="K122" s="18">
        <v>15921.15</v>
      </c>
      <c r="L122" s="13">
        <f>SUM(M122:O122)</f>
        <v>830623.60000000009</v>
      </c>
      <c r="M122" s="13">
        <f>E122*I122</f>
        <v>731730.8</v>
      </c>
      <c r="N122" s="26">
        <f>E122*J122</f>
        <v>19287.05</v>
      </c>
      <c r="O122" s="26">
        <f>E122*K122</f>
        <v>79605.75</v>
      </c>
      <c r="P122" s="14">
        <f t="shared" si="50"/>
        <v>664498.88</v>
      </c>
      <c r="Q122" s="14">
        <f t="shared" si="51"/>
        <v>664498.88</v>
      </c>
    </row>
    <row r="123" spans="1:17" ht="15" x14ac:dyDescent="0.25">
      <c r="A123" s="222"/>
      <c r="B123" s="53"/>
      <c r="C123" s="21" t="s">
        <v>106</v>
      </c>
      <c r="D123" s="16"/>
      <c r="E123" s="25">
        <f>E120+E122</f>
        <v>245</v>
      </c>
      <c r="F123" s="25">
        <f t="shared" ref="F123:G123" si="61">F120+F122</f>
        <v>237</v>
      </c>
      <c r="G123" s="25">
        <f t="shared" si="61"/>
        <v>248</v>
      </c>
      <c r="H123" s="25" t="s">
        <v>104</v>
      </c>
      <c r="I123" s="25" t="s">
        <v>104</v>
      </c>
      <c r="J123" s="25" t="s">
        <v>104</v>
      </c>
      <c r="K123" s="25" t="s">
        <v>104</v>
      </c>
      <c r="L123" s="25">
        <f t="shared" ref="L123:O123" si="62">SUM(L120:L122)</f>
        <v>13881677.289999999</v>
      </c>
      <c r="M123" s="25">
        <f t="shared" si="62"/>
        <v>9035930.0899999999</v>
      </c>
      <c r="N123" s="25">
        <f t="shared" si="62"/>
        <v>945065.45</v>
      </c>
      <c r="O123" s="25">
        <f t="shared" si="62"/>
        <v>3900681.75</v>
      </c>
      <c r="P123" s="14">
        <f>SUM(P120:P122)</f>
        <v>13359609.220000001</v>
      </c>
      <c r="Q123" s="14">
        <f>SUM(Q120:Q122)</f>
        <v>13954657.960000001</v>
      </c>
    </row>
    <row r="124" spans="1:17" ht="90" x14ac:dyDescent="0.25">
      <c r="A124" s="222"/>
      <c r="B124" s="219" t="s">
        <v>108</v>
      </c>
      <c r="C124" s="9" t="s">
        <v>100</v>
      </c>
      <c r="D124" s="10" t="s">
        <v>101</v>
      </c>
      <c r="E124" s="25">
        <v>36</v>
      </c>
      <c r="F124" s="25">
        <v>46</v>
      </c>
      <c r="G124" s="25">
        <v>50</v>
      </c>
      <c r="H124" s="12">
        <f>SUM(I124:K124)</f>
        <v>60807.1</v>
      </c>
      <c r="I124" s="12">
        <f>39660.87+1367.67</f>
        <v>41028.54</v>
      </c>
      <c r="J124" s="12">
        <v>3857.41</v>
      </c>
      <c r="K124" s="18">
        <v>15921.15</v>
      </c>
      <c r="L124" s="26">
        <f>SUM(M124:O124)</f>
        <v>2189055.6</v>
      </c>
      <c r="M124" s="26">
        <f>E124*I124</f>
        <v>1477027.44</v>
      </c>
      <c r="N124" s="26">
        <f>E124*J124</f>
        <v>138866.76</v>
      </c>
      <c r="O124" s="26">
        <f>E124*K124</f>
        <v>573161.4</v>
      </c>
      <c r="P124" s="14">
        <f t="shared" si="50"/>
        <v>2797126.6</v>
      </c>
      <c r="Q124" s="14">
        <f t="shared" si="51"/>
        <v>3040355</v>
      </c>
    </row>
    <row r="125" spans="1:17" ht="120.75" customHeight="1" x14ac:dyDescent="0.25">
      <c r="A125" s="222"/>
      <c r="B125" s="219"/>
      <c r="C125" s="15" t="s">
        <v>102</v>
      </c>
      <c r="D125" s="16" t="s">
        <v>101</v>
      </c>
      <c r="E125" s="25">
        <v>2</v>
      </c>
      <c r="F125" s="25"/>
      <c r="G125" s="25"/>
      <c r="H125" s="18">
        <v>22724.03</v>
      </c>
      <c r="I125" s="18">
        <v>22724.03</v>
      </c>
      <c r="J125" s="18" t="s">
        <v>103</v>
      </c>
      <c r="K125" s="18" t="s">
        <v>103</v>
      </c>
      <c r="L125" s="13">
        <f>SUM(M125:O125)</f>
        <v>45448.06</v>
      </c>
      <c r="M125" s="13">
        <f>E125*I125</f>
        <v>45448.06</v>
      </c>
      <c r="N125" s="13" t="s">
        <v>104</v>
      </c>
      <c r="O125" s="19" t="s">
        <v>104</v>
      </c>
      <c r="P125" s="14">
        <f t="shared" si="50"/>
        <v>0</v>
      </c>
      <c r="Q125" s="14">
        <f t="shared" si="51"/>
        <v>0</v>
      </c>
    </row>
    <row r="126" spans="1:17" ht="120" x14ac:dyDescent="0.25">
      <c r="A126" s="222"/>
      <c r="B126" s="219"/>
      <c r="C126" s="9" t="s">
        <v>105</v>
      </c>
      <c r="D126" s="16" t="s">
        <v>101</v>
      </c>
      <c r="E126" s="25"/>
      <c r="F126" s="25"/>
      <c r="G126" s="25"/>
      <c r="H126" s="25"/>
      <c r="I126" s="25"/>
      <c r="J126" s="25"/>
      <c r="K126" s="26"/>
      <c r="L126" s="26"/>
      <c r="M126" s="26"/>
      <c r="N126" s="26"/>
      <c r="O126" s="26"/>
      <c r="P126" s="14">
        <f t="shared" si="50"/>
        <v>0</v>
      </c>
      <c r="Q126" s="14">
        <f t="shared" si="51"/>
        <v>0</v>
      </c>
    </row>
    <row r="127" spans="1:17" ht="15" x14ac:dyDescent="0.25">
      <c r="A127" s="222"/>
      <c r="B127" s="53"/>
      <c r="C127" s="21" t="s">
        <v>106</v>
      </c>
      <c r="D127" s="16"/>
      <c r="E127" s="25">
        <f>E124+E126</f>
        <v>36</v>
      </c>
      <c r="F127" s="25">
        <f t="shared" ref="F127:G127" si="63">F124+F126</f>
        <v>46</v>
      </c>
      <c r="G127" s="25">
        <f t="shared" si="63"/>
        <v>50</v>
      </c>
      <c r="H127" s="25" t="s">
        <v>104</v>
      </c>
      <c r="I127" s="25" t="s">
        <v>104</v>
      </c>
      <c r="J127" s="25" t="s">
        <v>104</v>
      </c>
      <c r="K127" s="25" t="s">
        <v>104</v>
      </c>
      <c r="L127" s="25">
        <f t="shared" ref="L127:O127" si="64">SUM(L124:L126)</f>
        <v>2234503.66</v>
      </c>
      <c r="M127" s="25">
        <f t="shared" si="64"/>
        <v>1522475.5</v>
      </c>
      <c r="N127" s="25">
        <f t="shared" si="64"/>
        <v>138866.76</v>
      </c>
      <c r="O127" s="25">
        <f t="shared" si="64"/>
        <v>573161.4</v>
      </c>
      <c r="P127" s="14">
        <f>SUM(P124:P126)</f>
        <v>2797126.6</v>
      </c>
      <c r="Q127" s="14">
        <f>SUM(Q124:Q126)</f>
        <v>3040355</v>
      </c>
    </row>
    <row r="128" spans="1:17" ht="168" customHeight="1" x14ac:dyDescent="0.25">
      <c r="A128" s="222"/>
      <c r="B128" s="220" t="s">
        <v>109</v>
      </c>
      <c r="C128" s="9" t="s">
        <v>110</v>
      </c>
      <c r="D128" s="16" t="s">
        <v>101</v>
      </c>
      <c r="E128" s="25">
        <v>218</v>
      </c>
      <c r="F128" s="25">
        <v>220</v>
      </c>
      <c r="G128" s="25">
        <v>227</v>
      </c>
      <c r="H128" s="18">
        <f>I128</f>
        <v>2770.76</v>
      </c>
      <c r="I128" s="18">
        <v>2770.76</v>
      </c>
      <c r="J128" s="18" t="s">
        <v>104</v>
      </c>
      <c r="K128" s="18" t="s">
        <v>104</v>
      </c>
      <c r="L128" s="26">
        <f>SUM(M128:O128)</f>
        <v>604025.68000000005</v>
      </c>
      <c r="M128" s="26">
        <f>I128*E128</f>
        <v>604025.68000000005</v>
      </c>
      <c r="N128" s="26" t="s">
        <v>104</v>
      </c>
      <c r="O128" s="26" t="s">
        <v>104</v>
      </c>
      <c r="P128" s="14">
        <f t="shared" si="50"/>
        <v>609567.20000000007</v>
      </c>
      <c r="Q128" s="14">
        <f t="shared" si="51"/>
        <v>628962.52</v>
      </c>
    </row>
    <row r="129" spans="1:17" ht="181.5" customHeight="1" x14ac:dyDescent="0.25">
      <c r="A129" s="222"/>
      <c r="B129" s="220"/>
      <c r="C129" s="9" t="s">
        <v>111</v>
      </c>
      <c r="D129" s="16" t="s">
        <v>101</v>
      </c>
      <c r="E129" s="29">
        <v>298</v>
      </c>
      <c r="F129" s="29">
        <v>301</v>
      </c>
      <c r="G129" s="29">
        <v>310</v>
      </c>
      <c r="H129" s="18">
        <v>3829.24</v>
      </c>
      <c r="I129" s="18">
        <f>H129</f>
        <v>3829.24</v>
      </c>
      <c r="J129" s="18" t="s">
        <v>104</v>
      </c>
      <c r="K129" s="18" t="s">
        <v>104</v>
      </c>
      <c r="L129" s="26">
        <f>SUM(M129:O129)</f>
        <v>1141113.52</v>
      </c>
      <c r="M129" s="26">
        <f>I129*E129</f>
        <v>1141113.52</v>
      </c>
      <c r="N129" s="27" t="s">
        <v>104</v>
      </c>
      <c r="O129" s="28" t="s">
        <v>104</v>
      </c>
      <c r="P129" s="14">
        <f t="shared" si="50"/>
        <v>1152601.24</v>
      </c>
      <c r="Q129" s="14">
        <f t="shared" si="51"/>
        <v>1187064.3999999999</v>
      </c>
    </row>
    <row r="130" spans="1:17" ht="15" x14ac:dyDescent="0.25">
      <c r="A130" s="222"/>
      <c r="B130" s="29"/>
      <c r="C130" s="21" t="s">
        <v>106</v>
      </c>
      <c r="D130" s="29"/>
      <c r="E130" s="29">
        <f>SUM(E128:E129)</f>
        <v>516</v>
      </c>
      <c r="F130" s="29">
        <f t="shared" ref="F130:G130" si="65">SUM(F128:F129)</f>
        <v>521</v>
      </c>
      <c r="G130" s="29">
        <f t="shared" si="65"/>
        <v>537</v>
      </c>
      <c r="H130" s="29" t="s">
        <v>104</v>
      </c>
      <c r="I130" s="29" t="s">
        <v>104</v>
      </c>
      <c r="J130" s="29" t="s">
        <v>104</v>
      </c>
      <c r="K130" s="29">
        <f t="shared" ref="K130:O130" si="66">SUM(K128:K129)</f>
        <v>0</v>
      </c>
      <c r="L130" s="25">
        <f t="shared" si="66"/>
        <v>1745139.2000000002</v>
      </c>
      <c r="M130" s="25">
        <f t="shared" si="66"/>
        <v>1745139.2000000002</v>
      </c>
      <c r="N130" s="25">
        <f t="shared" si="66"/>
        <v>0</v>
      </c>
      <c r="O130" s="25">
        <f t="shared" si="66"/>
        <v>0</v>
      </c>
      <c r="P130" s="14">
        <f>SUM(P128:P129)</f>
        <v>1762168.44</v>
      </c>
      <c r="Q130" s="14">
        <f>SUM(Q128:Q129)</f>
        <v>1816026.92</v>
      </c>
    </row>
    <row r="131" spans="1:17" ht="14.25" x14ac:dyDescent="0.2">
      <c r="A131" s="222"/>
      <c r="B131" s="30" t="s">
        <v>112</v>
      </c>
      <c r="C131" s="30"/>
      <c r="D131" s="29"/>
      <c r="E131" s="29"/>
      <c r="F131" s="29"/>
      <c r="G131" s="29"/>
      <c r="H131" s="29"/>
      <c r="I131" s="29"/>
      <c r="J131" s="29"/>
      <c r="K131" s="29"/>
      <c r="L131" s="29">
        <f>SUM(M131:O131)</f>
        <v>26713644.52</v>
      </c>
      <c r="M131" s="29">
        <f t="shared" ref="M131:Q131" si="67">M119+M123+M127+M130</f>
        <v>17121042.919999998</v>
      </c>
      <c r="N131" s="29">
        <f t="shared" si="67"/>
        <v>1870843.8499999999</v>
      </c>
      <c r="O131" s="29">
        <f t="shared" si="67"/>
        <v>7721757.75</v>
      </c>
      <c r="P131" s="29">
        <f t="shared" si="67"/>
        <v>26905999.16</v>
      </c>
      <c r="Q131" s="29">
        <f t="shared" si="67"/>
        <v>27712015.640000001</v>
      </c>
    </row>
    <row r="132" spans="1:17" ht="90" x14ac:dyDescent="0.25">
      <c r="A132" s="222" t="s">
        <v>114</v>
      </c>
      <c r="B132" s="219" t="s">
        <v>99</v>
      </c>
      <c r="C132" s="9" t="s">
        <v>100</v>
      </c>
      <c r="D132" s="10" t="s">
        <v>101</v>
      </c>
      <c r="E132" s="11">
        <v>157</v>
      </c>
      <c r="F132" s="11">
        <v>180</v>
      </c>
      <c r="G132" s="11">
        <v>210</v>
      </c>
      <c r="H132" s="12">
        <f>SUM(I132:K132)</f>
        <v>43059.57</v>
      </c>
      <c r="I132" s="12">
        <f>22328.93+952.08</f>
        <v>23281.010000000002</v>
      </c>
      <c r="J132" s="12">
        <v>3857.41</v>
      </c>
      <c r="K132" s="12">
        <v>15921.15</v>
      </c>
      <c r="L132" s="13">
        <f>SUM(M132:O132)</f>
        <v>6760352.4900000002</v>
      </c>
      <c r="M132" s="13">
        <f>E132*I132</f>
        <v>3655118.5700000003</v>
      </c>
      <c r="N132" s="13">
        <f>E132*J132</f>
        <v>605613.37</v>
      </c>
      <c r="O132" s="14">
        <f>E132*K132</f>
        <v>2499620.5499999998</v>
      </c>
      <c r="P132" s="14">
        <f t="shared" si="50"/>
        <v>7750722.5999999996</v>
      </c>
      <c r="Q132" s="14">
        <f t="shared" si="51"/>
        <v>9042509.6999999993</v>
      </c>
    </row>
    <row r="133" spans="1:17" ht="120" x14ac:dyDescent="0.2">
      <c r="A133" s="222"/>
      <c r="B133" s="219"/>
      <c r="C133" s="15" t="s">
        <v>102</v>
      </c>
      <c r="D133" s="16" t="s">
        <v>101</v>
      </c>
      <c r="E133" s="17">
        <v>2</v>
      </c>
      <c r="F133" s="17">
        <v>1</v>
      </c>
      <c r="G133" s="17">
        <v>1</v>
      </c>
      <c r="H133" s="18">
        <v>22724.03</v>
      </c>
      <c r="I133" s="18">
        <v>22724.03</v>
      </c>
      <c r="J133" s="18" t="s">
        <v>103</v>
      </c>
      <c r="K133" s="18" t="s">
        <v>103</v>
      </c>
      <c r="L133" s="13">
        <f>SUM(M133:O133)</f>
        <v>45448.06</v>
      </c>
      <c r="M133" s="13">
        <f>E133*I133</f>
        <v>45448.06</v>
      </c>
      <c r="N133" s="13" t="s">
        <v>104</v>
      </c>
      <c r="O133" s="19" t="s">
        <v>104</v>
      </c>
      <c r="P133" s="14">
        <f t="shared" si="50"/>
        <v>22724.03</v>
      </c>
      <c r="Q133" s="14">
        <f t="shared" si="51"/>
        <v>22724.03</v>
      </c>
    </row>
    <row r="134" spans="1:17" ht="120" x14ac:dyDescent="0.25">
      <c r="A134" s="222"/>
      <c r="B134" s="219"/>
      <c r="C134" s="9" t="s">
        <v>105</v>
      </c>
      <c r="D134" s="16" t="s">
        <v>101</v>
      </c>
      <c r="E134" s="11"/>
      <c r="F134" s="11">
        <v>1</v>
      </c>
      <c r="G134" s="11">
        <v>1</v>
      </c>
      <c r="H134" s="18">
        <f>SUM(I134:K134)</f>
        <v>137159.02000000002</v>
      </c>
      <c r="I134" s="18">
        <f>116428.38+952.08</f>
        <v>117380.46</v>
      </c>
      <c r="J134" s="18">
        <v>3857.41</v>
      </c>
      <c r="K134" s="18">
        <v>15921.15</v>
      </c>
      <c r="L134" s="13">
        <f>SUM(M134:O134)</f>
        <v>0</v>
      </c>
      <c r="M134" s="13">
        <f>E134*I134</f>
        <v>0</v>
      </c>
      <c r="N134" s="13">
        <f>E134*J134</f>
        <v>0</v>
      </c>
      <c r="O134" s="20">
        <f>E134*K134</f>
        <v>0</v>
      </c>
      <c r="P134" s="14">
        <f t="shared" si="50"/>
        <v>137159.02000000002</v>
      </c>
      <c r="Q134" s="14">
        <f t="shared" si="51"/>
        <v>137159.02000000002</v>
      </c>
    </row>
    <row r="135" spans="1:17" ht="15" x14ac:dyDescent="0.2">
      <c r="A135" s="222"/>
      <c r="B135" s="219"/>
      <c r="C135" s="21" t="s">
        <v>106</v>
      </c>
      <c r="D135" s="22"/>
      <c r="E135" s="11">
        <f>E132+E134</f>
        <v>157</v>
      </c>
      <c r="F135" s="11">
        <f t="shared" ref="F135:G135" si="68">F132+F134</f>
        <v>181</v>
      </c>
      <c r="G135" s="11">
        <f t="shared" si="68"/>
        <v>211</v>
      </c>
      <c r="H135" s="11" t="s">
        <v>104</v>
      </c>
      <c r="I135" s="11" t="s">
        <v>104</v>
      </c>
      <c r="J135" s="11" t="s">
        <v>104</v>
      </c>
      <c r="K135" s="11" t="s">
        <v>104</v>
      </c>
      <c r="L135" s="11">
        <f t="shared" ref="L135:Q135" si="69">SUM(L132:L134)</f>
        <v>6805800.5499999998</v>
      </c>
      <c r="M135" s="11">
        <f t="shared" si="69"/>
        <v>3700566.6300000004</v>
      </c>
      <c r="N135" s="11">
        <f t="shared" si="69"/>
        <v>605613.37</v>
      </c>
      <c r="O135" s="11">
        <f t="shared" si="69"/>
        <v>2499620.5499999998</v>
      </c>
      <c r="P135" s="11">
        <f t="shared" si="69"/>
        <v>7910605.6500000004</v>
      </c>
      <c r="Q135" s="11">
        <f t="shared" si="69"/>
        <v>9202392.7499999981</v>
      </c>
    </row>
    <row r="136" spans="1:17" ht="90" x14ac:dyDescent="0.25">
      <c r="A136" s="222"/>
      <c r="B136" s="219" t="s">
        <v>107</v>
      </c>
      <c r="C136" s="9" t="s">
        <v>100</v>
      </c>
      <c r="D136" s="10" t="s">
        <v>101</v>
      </c>
      <c r="E136" s="23">
        <v>293</v>
      </c>
      <c r="F136" s="23">
        <v>265</v>
      </c>
      <c r="G136" s="23">
        <v>236</v>
      </c>
      <c r="H136" s="12">
        <f>SUM(I136:K136)</f>
        <v>54095.340000000004</v>
      </c>
      <c r="I136" s="12">
        <f>33147.58+1169.2</f>
        <v>34316.78</v>
      </c>
      <c r="J136" s="12">
        <v>3857.41</v>
      </c>
      <c r="K136" s="18">
        <v>15921.15</v>
      </c>
      <c r="L136" s="11">
        <f>SUM(M136:O136)</f>
        <v>15849934.619999997</v>
      </c>
      <c r="M136" s="11">
        <f>E136*I136</f>
        <v>10054816.539999999</v>
      </c>
      <c r="N136" s="11">
        <f>E136*J136</f>
        <v>1130221.1299999999</v>
      </c>
      <c r="O136" s="24">
        <f>E136*K136</f>
        <v>4664896.95</v>
      </c>
      <c r="P136" s="14">
        <f t="shared" si="50"/>
        <v>14335265.100000001</v>
      </c>
      <c r="Q136" s="14">
        <f t="shared" si="51"/>
        <v>12766500.24</v>
      </c>
    </row>
    <row r="137" spans="1:17" ht="114" customHeight="1" x14ac:dyDescent="0.25">
      <c r="A137" s="222"/>
      <c r="B137" s="219"/>
      <c r="C137" s="15" t="s">
        <v>102</v>
      </c>
      <c r="D137" s="16" t="s">
        <v>101</v>
      </c>
      <c r="E137" s="25">
        <v>6</v>
      </c>
      <c r="F137" s="25">
        <v>5</v>
      </c>
      <c r="G137" s="25">
        <v>5</v>
      </c>
      <c r="H137" s="18">
        <v>22724.03</v>
      </c>
      <c r="I137" s="18">
        <v>22724.03</v>
      </c>
      <c r="J137" s="18" t="s">
        <v>103</v>
      </c>
      <c r="K137" s="18" t="s">
        <v>103</v>
      </c>
      <c r="L137" s="13">
        <f>SUM(M137:O137)</f>
        <v>136344.18</v>
      </c>
      <c r="M137" s="13">
        <f>E137*I137</f>
        <v>136344.18</v>
      </c>
      <c r="N137" s="13" t="s">
        <v>104</v>
      </c>
      <c r="O137" s="19" t="s">
        <v>104</v>
      </c>
      <c r="P137" s="14">
        <f t="shared" si="50"/>
        <v>113620.15</v>
      </c>
      <c r="Q137" s="14">
        <f t="shared" si="51"/>
        <v>113620.15</v>
      </c>
    </row>
    <row r="138" spans="1:17" ht="120" x14ac:dyDescent="0.25">
      <c r="A138" s="222"/>
      <c r="B138" s="219"/>
      <c r="C138" s="9" t="s">
        <v>105</v>
      </c>
      <c r="D138" s="16" t="s">
        <v>101</v>
      </c>
      <c r="E138" s="25">
        <v>3</v>
      </c>
      <c r="F138" s="25">
        <v>3</v>
      </c>
      <c r="G138" s="25">
        <v>3</v>
      </c>
      <c r="H138" s="18">
        <f>SUM(I138:K138)</f>
        <v>166124.72</v>
      </c>
      <c r="I138" s="18">
        <f>145176.96+1169.2</f>
        <v>146346.16</v>
      </c>
      <c r="J138" s="18">
        <v>3857.41</v>
      </c>
      <c r="K138" s="18">
        <v>15921.15</v>
      </c>
      <c r="L138" s="26">
        <f>SUM(M138:O138)</f>
        <v>498374.16</v>
      </c>
      <c r="M138" s="26">
        <f>E138*I138</f>
        <v>439038.48</v>
      </c>
      <c r="N138" s="26">
        <f>E138*J138</f>
        <v>11572.23</v>
      </c>
      <c r="O138" s="26">
        <f>E138*K138</f>
        <v>47763.45</v>
      </c>
      <c r="P138" s="14">
        <f t="shared" si="50"/>
        <v>498374.16000000003</v>
      </c>
      <c r="Q138" s="14">
        <f t="shared" si="51"/>
        <v>498374.16000000003</v>
      </c>
    </row>
    <row r="139" spans="1:17" ht="15" x14ac:dyDescent="0.25">
      <c r="A139" s="222"/>
      <c r="B139" s="53"/>
      <c r="C139" s="21" t="s">
        <v>106</v>
      </c>
      <c r="D139" s="16"/>
      <c r="E139" s="25">
        <f>E136+E138</f>
        <v>296</v>
      </c>
      <c r="F139" s="25">
        <f t="shared" ref="F139:G139" si="70">F136+F138</f>
        <v>268</v>
      </c>
      <c r="G139" s="25">
        <f t="shared" si="70"/>
        <v>239</v>
      </c>
      <c r="H139" s="25" t="s">
        <v>104</v>
      </c>
      <c r="I139" s="25" t="s">
        <v>104</v>
      </c>
      <c r="J139" s="25" t="s">
        <v>104</v>
      </c>
      <c r="K139" s="25" t="s">
        <v>104</v>
      </c>
      <c r="L139" s="25">
        <f t="shared" ref="L139:Q139" si="71">SUM(L136:L138)</f>
        <v>16484652.959999997</v>
      </c>
      <c r="M139" s="25">
        <f t="shared" si="71"/>
        <v>10630199.199999999</v>
      </c>
      <c r="N139" s="25">
        <f t="shared" si="71"/>
        <v>1141793.3599999999</v>
      </c>
      <c r="O139" s="25">
        <f t="shared" si="71"/>
        <v>4712660.4000000004</v>
      </c>
      <c r="P139" s="25">
        <f t="shared" si="71"/>
        <v>14947259.410000002</v>
      </c>
      <c r="Q139" s="25">
        <f t="shared" si="71"/>
        <v>13378494.550000001</v>
      </c>
    </row>
    <row r="140" spans="1:17" ht="90" x14ac:dyDescent="0.25">
      <c r="A140" s="222"/>
      <c r="B140" s="219" t="s">
        <v>108</v>
      </c>
      <c r="C140" s="9" t="s">
        <v>100</v>
      </c>
      <c r="D140" s="10" t="s">
        <v>101</v>
      </c>
      <c r="E140" s="25">
        <v>49</v>
      </c>
      <c r="F140" s="25">
        <v>50</v>
      </c>
      <c r="G140" s="25">
        <v>51</v>
      </c>
      <c r="H140" s="12">
        <f>SUM(I140:K140)</f>
        <v>60807.1</v>
      </c>
      <c r="I140" s="12">
        <f>39660.87+1367.67</f>
        <v>41028.54</v>
      </c>
      <c r="J140" s="12">
        <v>3857.41</v>
      </c>
      <c r="K140" s="18">
        <v>15921.15</v>
      </c>
      <c r="L140" s="26">
        <f>SUM(M140:O140)</f>
        <v>2979547.9</v>
      </c>
      <c r="M140" s="26">
        <f>E140*I140</f>
        <v>2010398.46</v>
      </c>
      <c r="N140" s="26">
        <f>E140*J140</f>
        <v>189013.09</v>
      </c>
      <c r="O140" s="26">
        <f>E140*K140</f>
        <v>780136.35</v>
      </c>
      <c r="P140" s="14">
        <f t="shared" si="50"/>
        <v>3040355</v>
      </c>
      <c r="Q140" s="14">
        <f t="shared" si="51"/>
        <v>3101162.1</v>
      </c>
    </row>
    <row r="141" spans="1:17" ht="120" x14ac:dyDescent="0.25">
      <c r="A141" s="222"/>
      <c r="B141" s="219"/>
      <c r="C141" s="15" t="s">
        <v>102</v>
      </c>
      <c r="D141" s="16" t="s">
        <v>101</v>
      </c>
      <c r="E141" s="25">
        <v>1</v>
      </c>
      <c r="F141" s="25">
        <v>1</v>
      </c>
      <c r="G141" s="25"/>
      <c r="H141" s="18">
        <v>22724.03</v>
      </c>
      <c r="I141" s="18">
        <v>22724.03</v>
      </c>
      <c r="J141" s="18" t="s">
        <v>103</v>
      </c>
      <c r="K141" s="18" t="s">
        <v>103</v>
      </c>
      <c r="L141" s="13">
        <f>SUM(M141:O141)</f>
        <v>22724.03</v>
      </c>
      <c r="M141" s="13">
        <f>E141*I141</f>
        <v>22724.03</v>
      </c>
      <c r="N141" s="13" t="s">
        <v>104</v>
      </c>
      <c r="O141" s="19" t="s">
        <v>104</v>
      </c>
      <c r="P141" s="14">
        <f t="shared" si="50"/>
        <v>22724.03</v>
      </c>
      <c r="Q141" s="14">
        <f t="shared" si="51"/>
        <v>0</v>
      </c>
    </row>
    <row r="142" spans="1:17" ht="120" x14ac:dyDescent="0.25">
      <c r="A142" s="222"/>
      <c r="B142" s="219"/>
      <c r="C142" s="9" t="s">
        <v>105</v>
      </c>
      <c r="D142" s="16" t="s">
        <v>101</v>
      </c>
      <c r="E142" s="25"/>
      <c r="F142" s="25">
        <v>1</v>
      </c>
      <c r="G142" s="25">
        <v>1</v>
      </c>
      <c r="H142" s="18">
        <f>SUM(I142:K142)</f>
        <v>195071.76</v>
      </c>
      <c r="I142" s="18">
        <f>173925.53+1367.67</f>
        <v>175293.2</v>
      </c>
      <c r="J142" s="18">
        <v>3857.41</v>
      </c>
      <c r="K142" s="18">
        <v>15921.15</v>
      </c>
      <c r="L142" s="26"/>
      <c r="M142" s="26"/>
      <c r="N142" s="26"/>
      <c r="O142" s="26"/>
      <c r="P142" s="14">
        <f t="shared" si="50"/>
        <v>195071.76</v>
      </c>
      <c r="Q142" s="14">
        <f t="shared" si="51"/>
        <v>195071.76</v>
      </c>
    </row>
    <row r="143" spans="1:17" ht="15" x14ac:dyDescent="0.25">
      <c r="A143" s="222"/>
      <c r="B143" s="53"/>
      <c r="C143" s="21" t="s">
        <v>106</v>
      </c>
      <c r="D143" s="16"/>
      <c r="E143" s="25">
        <f>E140+E142</f>
        <v>49</v>
      </c>
      <c r="F143" s="25">
        <f t="shared" ref="F143:G143" si="72">F140+F142</f>
        <v>51</v>
      </c>
      <c r="G143" s="25">
        <f t="shared" si="72"/>
        <v>52</v>
      </c>
      <c r="H143" s="25" t="s">
        <v>104</v>
      </c>
      <c r="I143" s="25" t="s">
        <v>104</v>
      </c>
      <c r="J143" s="25" t="s">
        <v>104</v>
      </c>
      <c r="K143" s="25" t="s">
        <v>104</v>
      </c>
      <c r="L143" s="25">
        <f t="shared" ref="L143:Q143" si="73">SUM(L140:L142)</f>
        <v>3002271.9299999997</v>
      </c>
      <c r="M143" s="25">
        <f t="shared" si="73"/>
        <v>2033122.49</v>
      </c>
      <c r="N143" s="25">
        <f t="shared" si="73"/>
        <v>189013.09</v>
      </c>
      <c r="O143" s="25">
        <f t="shared" si="73"/>
        <v>780136.35</v>
      </c>
      <c r="P143" s="25">
        <f t="shared" si="73"/>
        <v>3258150.79</v>
      </c>
      <c r="Q143" s="25">
        <f t="shared" si="73"/>
        <v>3296233.8600000003</v>
      </c>
    </row>
    <row r="144" spans="1:17" ht="162.75" customHeight="1" x14ac:dyDescent="0.25">
      <c r="A144" s="222"/>
      <c r="B144" s="220" t="s">
        <v>109</v>
      </c>
      <c r="C144" s="9" t="s">
        <v>110</v>
      </c>
      <c r="D144" s="16" t="s">
        <v>101</v>
      </c>
      <c r="E144" s="25">
        <v>370</v>
      </c>
      <c r="F144" s="25">
        <v>370</v>
      </c>
      <c r="G144" s="25">
        <v>370</v>
      </c>
      <c r="H144" s="18">
        <f>I144</f>
        <v>2770.76</v>
      </c>
      <c r="I144" s="18">
        <v>2770.76</v>
      </c>
      <c r="J144" s="18" t="s">
        <v>104</v>
      </c>
      <c r="K144" s="18" t="s">
        <v>104</v>
      </c>
      <c r="L144" s="26">
        <f>SUM(M144:O144)</f>
        <v>1025181.2000000001</v>
      </c>
      <c r="M144" s="26">
        <f>I144*E144</f>
        <v>1025181.2000000001</v>
      </c>
      <c r="N144" s="26" t="s">
        <v>104</v>
      </c>
      <c r="O144" s="26" t="s">
        <v>104</v>
      </c>
      <c r="P144" s="14">
        <f t="shared" si="50"/>
        <v>1025181.2000000001</v>
      </c>
      <c r="Q144" s="14">
        <f t="shared" si="51"/>
        <v>1025181.2000000001</v>
      </c>
    </row>
    <row r="145" spans="1:17" ht="183.75" customHeight="1" x14ac:dyDescent="0.25">
      <c r="A145" s="222"/>
      <c r="B145" s="220"/>
      <c r="C145" s="9" t="s">
        <v>111</v>
      </c>
      <c r="D145" s="16" t="s">
        <v>101</v>
      </c>
      <c r="E145" s="29">
        <v>369</v>
      </c>
      <c r="F145" s="29">
        <v>369</v>
      </c>
      <c r="G145" s="29">
        <v>369</v>
      </c>
      <c r="H145" s="18">
        <v>3829.24</v>
      </c>
      <c r="I145" s="18">
        <f>H145</f>
        <v>3829.24</v>
      </c>
      <c r="J145" s="18" t="s">
        <v>104</v>
      </c>
      <c r="K145" s="18" t="s">
        <v>104</v>
      </c>
      <c r="L145" s="26">
        <f>SUM(M145:O145)</f>
        <v>1412989.5599999998</v>
      </c>
      <c r="M145" s="26">
        <f>I145*E145</f>
        <v>1412989.5599999998</v>
      </c>
      <c r="N145" s="27" t="s">
        <v>104</v>
      </c>
      <c r="O145" s="28" t="s">
        <v>104</v>
      </c>
      <c r="P145" s="14">
        <f t="shared" si="50"/>
        <v>1412989.5599999998</v>
      </c>
      <c r="Q145" s="14">
        <f t="shared" si="51"/>
        <v>1412989.5599999998</v>
      </c>
    </row>
    <row r="146" spans="1:17" ht="15" x14ac:dyDescent="0.25">
      <c r="A146" s="222"/>
      <c r="B146" s="29"/>
      <c r="C146" s="21" t="s">
        <v>106</v>
      </c>
      <c r="D146" s="29"/>
      <c r="E146" s="29">
        <f>SUM(E144:E145)</f>
        <v>739</v>
      </c>
      <c r="F146" s="29">
        <f t="shared" ref="F146:G146" si="74">SUM(F144:F145)</f>
        <v>739</v>
      </c>
      <c r="G146" s="25">
        <f t="shared" si="74"/>
        <v>739</v>
      </c>
      <c r="H146" s="25" t="s">
        <v>104</v>
      </c>
      <c r="I146" s="25" t="s">
        <v>104</v>
      </c>
      <c r="J146" s="25" t="s">
        <v>104</v>
      </c>
      <c r="K146" s="25">
        <f t="shared" ref="K146:O146" si="75">SUM(K144:K145)</f>
        <v>0</v>
      </c>
      <c r="L146" s="25">
        <f t="shared" si="75"/>
        <v>2438170.7599999998</v>
      </c>
      <c r="M146" s="25">
        <f t="shared" si="75"/>
        <v>2438170.7599999998</v>
      </c>
      <c r="N146" s="25">
        <f t="shared" si="75"/>
        <v>0</v>
      </c>
      <c r="O146" s="25">
        <f t="shared" si="75"/>
        <v>0</v>
      </c>
      <c r="P146" s="14">
        <f>SUM(P144:P145)</f>
        <v>2438170.7599999998</v>
      </c>
      <c r="Q146" s="14">
        <f>SUM(Q144:Q145)</f>
        <v>2438170.7599999998</v>
      </c>
    </row>
    <row r="147" spans="1:17" ht="14.25" x14ac:dyDescent="0.2">
      <c r="A147" s="222"/>
      <c r="B147" s="30" t="s">
        <v>112</v>
      </c>
      <c r="C147" s="30"/>
      <c r="D147" s="29"/>
      <c r="E147" s="29"/>
      <c r="F147" s="29"/>
      <c r="G147" s="29"/>
      <c r="H147" s="29"/>
      <c r="I147" s="29"/>
      <c r="J147" s="29"/>
      <c r="K147" s="29"/>
      <c r="L147" s="29">
        <f>SUM(M147:O147)</f>
        <v>28730896.199999999</v>
      </c>
      <c r="M147" s="29">
        <f t="shared" ref="M147:Q147" si="76">M135+M139+M143+M146</f>
        <v>18802059.079999998</v>
      </c>
      <c r="N147" s="29">
        <f t="shared" si="76"/>
        <v>1936419.82</v>
      </c>
      <c r="O147" s="29">
        <f t="shared" si="76"/>
        <v>7992417.2999999998</v>
      </c>
      <c r="P147" s="29">
        <f t="shared" si="76"/>
        <v>28554186.609999999</v>
      </c>
      <c r="Q147" s="29">
        <f t="shared" si="76"/>
        <v>28315291.919999994</v>
      </c>
    </row>
    <row r="148" spans="1:17" ht="90" x14ac:dyDescent="0.25">
      <c r="A148" s="222" t="s">
        <v>115</v>
      </c>
      <c r="B148" s="219" t="s">
        <v>99</v>
      </c>
      <c r="C148" s="9" t="s">
        <v>100</v>
      </c>
      <c r="D148" s="10" t="s">
        <v>101</v>
      </c>
      <c r="E148" s="11">
        <v>195</v>
      </c>
      <c r="F148" s="11">
        <v>199</v>
      </c>
      <c r="G148" s="11">
        <v>200</v>
      </c>
      <c r="H148" s="12">
        <f>SUM(I148:K148)</f>
        <v>43059.57</v>
      </c>
      <c r="I148" s="12">
        <f>22328.93+952.08</f>
        <v>23281.010000000002</v>
      </c>
      <c r="J148" s="12">
        <v>3857.41</v>
      </c>
      <c r="K148" s="12">
        <v>15921.15</v>
      </c>
      <c r="L148" s="13">
        <f>SUM(M148:O148)</f>
        <v>8396616.1500000004</v>
      </c>
      <c r="M148" s="13">
        <f>E148*I148</f>
        <v>4539796.95</v>
      </c>
      <c r="N148" s="13">
        <f>E148*J148</f>
        <v>752194.95</v>
      </c>
      <c r="O148" s="14">
        <f>E148*K148</f>
        <v>3104624.25</v>
      </c>
      <c r="P148" s="14">
        <f t="shared" si="50"/>
        <v>8568854.4299999997</v>
      </c>
      <c r="Q148" s="14">
        <f t="shared" si="51"/>
        <v>8611914</v>
      </c>
    </row>
    <row r="149" spans="1:17" ht="117.75" customHeight="1" x14ac:dyDescent="0.2">
      <c r="A149" s="222"/>
      <c r="B149" s="219"/>
      <c r="C149" s="15" t="s">
        <v>102</v>
      </c>
      <c r="D149" s="16" t="s">
        <v>101</v>
      </c>
      <c r="E149" s="17">
        <v>4</v>
      </c>
      <c r="F149" s="17">
        <v>12</v>
      </c>
      <c r="G149" s="17">
        <v>18</v>
      </c>
      <c r="H149" s="18">
        <v>22724.03</v>
      </c>
      <c r="I149" s="18">
        <v>22724.03</v>
      </c>
      <c r="J149" s="18" t="s">
        <v>103</v>
      </c>
      <c r="K149" s="18" t="s">
        <v>103</v>
      </c>
      <c r="L149" s="13">
        <f>SUM(M149:O149)</f>
        <v>90896.12</v>
      </c>
      <c r="M149" s="13">
        <f>E149*I149</f>
        <v>90896.12</v>
      </c>
      <c r="N149" s="13" t="s">
        <v>104</v>
      </c>
      <c r="O149" s="19" t="s">
        <v>104</v>
      </c>
      <c r="P149" s="14">
        <f t="shared" si="50"/>
        <v>272688.36</v>
      </c>
      <c r="Q149" s="14">
        <f t="shared" si="51"/>
        <v>409032.54</v>
      </c>
    </row>
    <row r="150" spans="1:17" ht="120" x14ac:dyDescent="0.25">
      <c r="A150" s="222"/>
      <c r="B150" s="219"/>
      <c r="C150" s="9" t="s">
        <v>105</v>
      </c>
      <c r="D150" s="16" t="s">
        <v>101</v>
      </c>
      <c r="E150" s="11">
        <v>3</v>
      </c>
      <c r="F150" s="11">
        <v>5</v>
      </c>
      <c r="G150" s="11">
        <v>5</v>
      </c>
      <c r="H150" s="18">
        <f>SUM(I150:K150)</f>
        <v>137159.02000000002</v>
      </c>
      <c r="I150" s="18">
        <f>116428.38+952.08</f>
        <v>117380.46</v>
      </c>
      <c r="J150" s="18">
        <v>3857.41</v>
      </c>
      <c r="K150" s="18">
        <v>15921.15</v>
      </c>
      <c r="L150" s="13">
        <f>SUM(M150:O150)</f>
        <v>411477.06</v>
      </c>
      <c r="M150" s="13">
        <f>E150*I150</f>
        <v>352141.38</v>
      </c>
      <c r="N150" s="13">
        <f>E150*J150</f>
        <v>11572.23</v>
      </c>
      <c r="O150" s="20">
        <f>E150*K150</f>
        <v>47763.45</v>
      </c>
      <c r="P150" s="14">
        <f t="shared" si="50"/>
        <v>685795.10000000009</v>
      </c>
      <c r="Q150" s="14">
        <f t="shared" si="51"/>
        <v>685795.10000000009</v>
      </c>
    </row>
    <row r="151" spans="1:17" ht="15" x14ac:dyDescent="0.2">
      <c r="A151" s="222"/>
      <c r="B151" s="219"/>
      <c r="C151" s="21" t="s">
        <v>106</v>
      </c>
      <c r="D151" s="22"/>
      <c r="E151" s="11">
        <f>E148+E150</f>
        <v>198</v>
      </c>
      <c r="F151" s="11">
        <f t="shared" ref="F151:G151" si="77">F148+F150</f>
        <v>204</v>
      </c>
      <c r="G151" s="11">
        <f t="shared" si="77"/>
        <v>205</v>
      </c>
      <c r="H151" s="11" t="s">
        <v>104</v>
      </c>
      <c r="I151" s="11" t="s">
        <v>104</v>
      </c>
      <c r="J151" s="11" t="s">
        <v>104</v>
      </c>
      <c r="K151" s="11" t="s">
        <v>104</v>
      </c>
      <c r="L151" s="11">
        <f t="shared" ref="L151:Q151" si="78">SUM(L148:L150)</f>
        <v>8898989.3300000001</v>
      </c>
      <c r="M151" s="11">
        <f t="shared" si="78"/>
        <v>4982834.45</v>
      </c>
      <c r="N151" s="11">
        <f t="shared" si="78"/>
        <v>763767.17999999993</v>
      </c>
      <c r="O151" s="11">
        <f t="shared" si="78"/>
        <v>3152387.7</v>
      </c>
      <c r="P151" s="11">
        <f t="shared" si="78"/>
        <v>9527337.8899999987</v>
      </c>
      <c r="Q151" s="11">
        <f t="shared" si="78"/>
        <v>9706741.6399999987</v>
      </c>
    </row>
    <row r="152" spans="1:17" ht="90" x14ac:dyDescent="0.25">
      <c r="A152" s="222"/>
      <c r="B152" s="219" t="s">
        <v>107</v>
      </c>
      <c r="C152" s="9" t="s">
        <v>100</v>
      </c>
      <c r="D152" s="10" t="s">
        <v>101</v>
      </c>
      <c r="E152" s="23">
        <v>171</v>
      </c>
      <c r="F152" s="23">
        <v>180</v>
      </c>
      <c r="G152" s="23">
        <v>185</v>
      </c>
      <c r="H152" s="12">
        <f>SUM(I152:K152)</f>
        <v>54095.340000000004</v>
      </c>
      <c r="I152" s="12">
        <f>33147.58+1169.2</f>
        <v>34316.78</v>
      </c>
      <c r="J152" s="12">
        <v>3857.41</v>
      </c>
      <c r="K152" s="18">
        <v>15921.15</v>
      </c>
      <c r="L152" s="11">
        <f>SUM(M152:O152)</f>
        <v>9250303.1400000006</v>
      </c>
      <c r="M152" s="11">
        <f>E152*I152</f>
        <v>5868169.3799999999</v>
      </c>
      <c r="N152" s="11">
        <f>E152*J152</f>
        <v>659617.11</v>
      </c>
      <c r="O152" s="24">
        <f>E152*K152</f>
        <v>2722516.65</v>
      </c>
      <c r="P152" s="14">
        <f t="shared" si="50"/>
        <v>9737161.2000000011</v>
      </c>
      <c r="Q152" s="14">
        <f t="shared" si="51"/>
        <v>10007637.9</v>
      </c>
    </row>
    <row r="153" spans="1:17" ht="112.5" customHeight="1" x14ac:dyDescent="0.25">
      <c r="A153" s="222"/>
      <c r="B153" s="219"/>
      <c r="C153" s="15" t="s">
        <v>102</v>
      </c>
      <c r="D153" s="16" t="s">
        <v>101</v>
      </c>
      <c r="E153" s="25"/>
      <c r="F153" s="25"/>
      <c r="G153" s="25"/>
      <c r="H153" s="18">
        <v>22724.03</v>
      </c>
      <c r="I153" s="18">
        <v>22724.03</v>
      </c>
      <c r="J153" s="18" t="s">
        <v>103</v>
      </c>
      <c r="K153" s="18" t="s">
        <v>103</v>
      </c>
      <c r="L153" s="13">
        <f>SUM(M153:O153)</f>
        <v>0</v>
      </c>
      <c r="M153" s="13">
        <f>E153*I153</f>
        <v>0</v>
      </c>
      <c r="N153" s="13" t="s">
        <v>104</v>
      </c>
      <c r="O153" s="19" t="s">
        <v>104</v>
      </c>
      <c r="P153" s="14">
        <f t="shared" si="50"/>
        <v>0</v>
      </c>
      <c r="Q153" s="14">
        <f t="shared" si="51"/>
        <v>0</v>
      </c>
    </row>
    <row r="154" spans="1:17" ht="120" x14ac:dyDescent="0.25">
      <c r="A154" s="222"/>
      <c r="B154" s="219"/>
      <c r="C154" s="9" t="s">
        <v>105</v>
      </c>
      <c r="D154" s="16" t="s">
        <v>101</v>
      </c>
      <c r="E154" s="25">
        <v>2</v>
      </c>
      <c r="F154" s="25">
        <v>2</v>
      </c>
      <c r="G154" s="25">
        <v>2</v>
      </c>
      <c r="H154" s="18">
        <f>SUM(I154:K154)</f>
        <v>166124.72</v>
      </c>
      <c r="I154" s="18">
        <f>145176.96+1169.2</f>
        <v>146346.16</v>
      </c>
      <c r="J154" s="18">
        <v>3857.41</v>
      </c>
      <c r="K154" s="18">
        <v>15921.15</v>
      </c>
      <c r="L154" s="26">
        <f>SUM(M154:O154)</f>
        <v>332249.44</v>
      </c>
      <c r="M154" s="26">
        <f>E154*I154</f>
        <v>292692.32</v>
      </c>
      <c r="N154" s="26">
        <f>E154*J154</f>
        <v>7714.82</v>
      </c>
      <c r="O154" s="26">
        <f>E154*K154</f>
        <v>31842.3</v>
      </c>
      <c r="P154" s="14">
        <f t="shared" si="50"/>
        <v>332249.44</v>
      </c>
      <c r="Q154" s="14">
        <f t="shared" si="51"/>
        <v>332249.44</v>
      </c>
    </row>
    <row r="155" spans="1:17" ht="15" x14ac:dyDescent="0.25">
      <c r="A155" s="222"/>
      <c r="B155" s="53"/>
      <c r="C155" s="21" t="s">
        <v>106</v>
      </c>
      <c r="D155" s="16"/>
      <c r="E155" s="25">
        <f>E152+E154</f>
        <v>173</v>
      </c>
      <c r="F155" s="25">
        <f t="shared" ref="F155:G155" si="79">F152+F154</f>
        <v>182</v>
      </c>
      <c r="G155" s="25">
        <f t="shared" si="79"/>
        <v>187</v>
      </c>
      <c r="H155" s="25" t="s">
        <v>104</v>
      </c>
      <c r="I155" s="25" t="s">
        <v>104</v>
      </c>
      <c r="J155" s="25" t="s">
        <v>104</v>
      </c>
      <c r="K155" s="25" t="s">
        <v>104</v>
      </c>
      <c r="L155" s="25">
        <f t="shared" ref="L155:Q155" si="80">SUM(L152:L154)</f>
        <v>9582552.5800000001</v>
      </c>
      <c r="M155" s="25">
        <f t="shared" si="80"/>
        <v>6160861.7000000002</v>
      </c>
      <c r="N155" s="25">
        <f t="shared" si="80"/>
        <v>667331.92999999993</v>
      </c>
      <c r="O155" s="25">
        <f t="shared" si="80"/>
        <v>2754358.9499999997</v>
      </c>
      <c r="P155" s="25">
        <f t="shared" si="80"/>
        <v>10069410.640000001</v>
      </c>
      <c r="Q155" s="25">
        <f t="shared" si="80"/>
        <v>10339887.34</v>
      </c>
    </row>
    <row r="156" spans="1:17" ht="90" x14ac:dyDescent="0.25">
      <c r="A156" s="222"/>
      <c r="B156" s="219" t="s">
        <v>108</v>
      </c>
      <c r="C156" s="9" t="s">
        <v>100</v>
      </c>
      <c r="D156" s="10" t="s">
        <v>101</v>
      </c>
      <c r="E156" s="25">
        <v>35</v>
      </c>
      <c r="F156" s="25">
        <v>39</v>
      </c>
      <c r="G156" s="25">
        <v>40</v>
      </c>
      <c r="H156" s="12">
        <f>SUM(I156:K156)</f>
        <v>60807.1</v>
      </c>
      <c r="I156" s="12">
        <f>39660.87+1367.67</f>
        <v>41028.54</v>
      </c>
      <c r="J156" s="12">
        <v>3857.41</v>
      </c>
      <c r="K156" s="18">
        <v>15921.15</v>
      </c>
      <c r="L156" s="26">
        <f>SUM(M156:O156)</f>
        <v>2128248.5</v>
      </c>
      <c r="M156" s="26">
        <f>E156*I156</f>
        <v>1435998.9000000001</v>
      </c>
      <c r="N156" s="26">
        <f>E156*J156</f>
        <v>135009.35</v>
      </c>
      <c r="O156" s="26">
        <f>E156*K156</f>
        <v>557240.25</v>
      </c>
      <c r="P156" s="14">
        <f t="shared" si="50"/>
        <v>2371476.9</v>
      </c>
      <c r="Q156" s="14">
        <f t="shared" si="51"/>
        <v>2432284</v>
      </c>
    </row>
    <row r="157" spans="1:17" ht="120" x14ac:dyDescent="0.25">
      <c r="A157" s="222"/>
      <c r="B157" s="219"/>
      <c r="C157" s="15" t="s">
        <v>102</v>
      </c>
      <c r="D157" s="16" t="s">
        <v>101</v>
      </c>
      <c r="E157" s="25">
        <v>1</v>
      </c>
      <c r="F157" s="25"/>
      <c r="G157" s="25"/>
      <c r="H157" s="18">
        <v>22724.03</v>
      </c>
      <c r="I157" s="18">
        <v>22724.03</v>
      </c>
      <c r="J157" s="18" t="s">
        <v>103</v>
      </c>
      <c r="K157" s="18" t="s">
        <v>103</v>
      </c>
      <c r="L157" s="13">
        <f>SUM(M157:O157)</f>
        <v>22724.03</v>
      </c>
      <c r="M157" s="13">
        <f>E157*I157</f>
        <v>22724.03</v>
      </c>
      <c r="N157" s="13" t="s">
        <v>104</v>
      </c>
      <c r="O157" s="19" t="s">
        <v>104</v>
      </c>
      <c r="P157" s="14">
        <f t="shared" si="50"/>
        <v>0</v>
      </c>
      <c r="Q157" s="14">
        <f t="shared" si="51"/>
        <v>0</v>
      </c>
    </row>
    <row r="158" spans="1:17" ht="120" x14ac:dyDescent="0.25">
      <c r="A158" s="222"/>
      <c r="B158" s="219"/>
      <c r="C158" s="9" t="s">
        <v>105</v>
      </c>
      <c r="D158" s="16" t="s">
        <v>101</v>
      </c>
      <c r="E158" s="25"/>
      <c r="F158" s="25">
        <v>1</v>
      </c>
      <c r="G158" s="25">
        <v>1</v>
      </c>
      <c r="H158" s="18">
        <f>SUM(I158:K158)</f>
        <v>195071.76</v>
      </c>
      <c r="I158" s="18">
        <f>173925.53+1367.67</f>
        <v>175293.2</v>
      </c>
      <c r="J158" s="18">
        <v>3857.41</v>
      </c>
      <c r="K158" s="18">
        <v>15921.15</v>
      </c>
      <c r="L158" s="26"/>
      <c r="M158" s="26"/>
      <c r="N158" s="26"/>
      <c r="O158" s="26"/>
      <c r="P158" s="14">
        <f t="shared" si="50"/>
        <v>195071.76</v>
      </c>
      <c r="Q158" s="14">
        <f t="shared" si="51"/>
        <v>195071.76</v>
      </c>
    </row>
    <row r="159" spans="1:17" ht="15" x14ac:dyDescent="0.25">
      <c r="A159" s="222"/>
      <c r="B159" s="53"/>
      <c r="C159" s="21" t="s">
        <v>106</v>
      </c>
      <c r="D159" s="16"/>
      <c r="E159" s="25">
        <f>E156+E158</f>
        <v>35</v>
      </c>
      <c r="F159" s="25">
        <f t="shared" ref="F159:G159" si="81">F156+F158</f>
        <v>40</v>
      </c>
      <c r="G159" s="25">
        <f t="shared" si="81"/>
        <v>41</v>
      </c>
      <c r="H159" s="25" t="s">
        <v>104</v>
      </c>
      <c r="I159" s="25" t="s">
        <v>104</v>
      </c>
      <c r="J159" s="25" t="s">
        <v>104</v>
      </c>
      <c r="K159" s="25" t="s">
        <v>104</v>
      </c>
      <c r="L159" s="25">
        <f t="shared" ref="L159:Q159" si="82">SUM(L156:L158)</f>
        <v>2150972.5299999998</v>
      </c>
      <c r="M159" s="25">
        <f t="shared" si="82"/>
        <v>1458722.9300000002</v>
      </c>
      <c r="N159" s="25">
        <f t="shared" si="82"/>
        <v>135009.35</v>
      </c>
      <c r="O159" s="25">
        <f t="shared" si="82"/>
        <v>557240.25</v>
      </c>
      <c r="P159" s="25">
        <f t="shared" si="82"/>
        <v>2566548.66</v>
      </c>
      <c r="Q159" s="25">
        <f t="shared" si="82"/>
        <v>2627355.7599999998</v>
      </c>
    </row>
    <row r="160" spans="1:17" ht="165.75" customHeight="1" x14ac:dyDescent="0.25">
      <c r="A160" s="222"/>
      <c r="B160" s="220" t="s">
        <v>109</v>
      </c>
      <c r="C160" s="9" t="s">
        <v>110</v>
      </c>
      <c r="D160" s="16" t="s">
        <v>101</v>
      </c>
      <c r="E160" s="25">
        <v>258</v>
      </c>
      <c r="F160" s="25">
        <v>268</v>
      </c>
      <c r="G160" s="25">
        <v>271</v>
      </c>
      <c r="H160" s="18">
        <f>I160</f>
        <v>2770.76</v>
      </c>
      <c r="I160" s="18">
        <v>2770.76</v>
      </c>
      <c r="J160" s="18" t="s">
        <v>104</v>
      </c>
      <c r="K160" s="18" t="s">
        <v>104</v>
      </c>
      <c r="L160" s="26">
        <f>SUM(M160:O160)</f>
        <v>714856.08000000007</v>
      </c>
      <c r="M160" s="26">
        <f>I160*E160</f>
        <v>714856.08000000007</v>
      </c>
      <c r="N160" s="26" t="s">
        <v>104</v>
      </c>
      <c r="O160" s="26" t="s">
        <v>104</v>
      </c>
      <c r="P160" s="14">
        <f t="shared" si="50"/>
        <v>742563.68</v>
      </c>
      <c r="Q160" s="14">
        <f t="shared" si="51"/>
        <v>750875.96000000008</v>
      </c>
    </row>
    <row r="161" spans="1:17" ht="183.75" customHeight="1" x14ac:dyDescent="0.25">
      <c r="A161" s="222"/>
      <c r="B161" s="220"/>
      <c r="C161" s="9" t="s">
        <v>111</v>
      </c>
      <c r="D161" s="16" t="s">
        <v>101</v>
      </c>
      <c r="E161" s="29">
        <v>206</v>
      </c>
      <c r="F161" s="29">
        <v>214</v>
      </c>
      <c r="G161" s="29">
        <v>216</v>
      </c>
      <c r="H161" s="18">
        <v>3829.24</v>
      </c>
      <c r="I161" s="18">
        <f>H161</f>
        <v>3829.24</v>
      </c>
      <c r="J161" s="18" t="s">
        <v>104</v>
      </c>
      <c r="K161" s="18" t="s">
        <v>104</v>
      </c>
      <c r="L161" s="26">
        <f>SUM(M161:O161)</f>
        <v>788823.44</v>
      </c>
      <c r="M161" s="26">
        <f>I161*E161</f>
        <v>788823.44</v>
      </c>
      <c r="N161" s="27" t="s">
        <v>104</v>
      </c>
      <c r="O161" s="28" t="s">
        <v>104</v>
      </c>
      <c r="P161" s="14">
        <f t="shared" si="50"/>
        <v>819457.36</v>
      </c>
      <c r="Q161" s="14">
        <f t="shared" si="51"/>
        <v>827115.84</v>
      </c>
    </row>
    <row r="162" spans="1:17" ht="15" x14ac:dyDescent="0.25">
      <c r="A162" s="222"/>
      <c r="B162" s="29"/>
      <c r="C162" s="21" t="s">
        <v>106</v>
      </c>
      <c r="D162" s="29"/>
      <c r="E162" s="29">
        <f>SUM(E160:E161)</f>
        <v>464</v>
      </c>
      <c r="F162" s="29">
        <f t="shared" ref="F162:G162" si="83">SUM(F160:F161)</f>
        <v>482</v>
      </c>
      <c r="G162" s="25">
        <f t="shared" si="83"/>
        <v>487</v>
      </c>
      <c r="H162" s="25" t="s">
        <v>104</v>
      </c>
      <c r="I162" s="25" t="s">
        <v>104</v>
      </c>
      <c r="J162" s="25" t="s">
        <v>104</v>
      </c>
      <c r="K162" s="25">
        <f t="shared" ref="K162:O162" si="84">SUM(K160:K161)</f>
        <v>0</v>
      </c>
      <c r="L162" s="25">
        <f t="shared" si="84"/>
        <v>1503679.52</v>
      </c>
      <c r="M162" s="25">
        <f t="shared" si="84"/>
        <v>1503679.52</v>
      </c>
      <c r="N162" s="25">
        <f t="shared" si="84"/>
        <v>0</v>
      </c>
      <c r="O162" s="25">
        <f t="shared" si="84"/>
        <v>0</v>
      </c>
      <c r="P162" s="14">
        <f>SUM(P160:P161)</f>
        <v>1562021.04</v>
      </c>
      <c r="Q162" s="14">
        <f>SUM(Q160:Q161)</f>
        <v>1577991.8</v>
      </c>
    </row>
    <row r="163" spans="1:17" ht="14.25" x14ac:dyDescent="0.2">
      <c r="A163" s="222"/>
      <c r="B163" s="30" t="s">
        <v>112</v>
      </c>
      <c r="C163" s="30"/>
      <c r="D163" s="29"/>
      <c r="E163" s="29"/>
      <c r="F163" s="29"/>
      <c r="G163" s="29"/>
      <c r="H163" s="29"/>
      <c r="I163" s="29"/>
      <c r="J163" s="29"/>
      <c r="K163" s="29"/>
      <c r="L163" s="29">
        <f>SUM(M163:O163)</f>
        <v>22136193.960000001</v>
      </c>
      <c r="M163" s="29">
        <f t="shared" ref="M163:Q163" si="85">M151+M155+M159+M162</f>
        <v>14106098.6</v>
      </c>
      <c r="N163" s="29">
        <f t="shared" si="85"/>
        <v>1566108.46</v>
      </c>
      <c r="O163" s="29">
        <f t="shared" si="85"/>
        <v>6463986.9000000004</v>
      </c>
      <c r="P163" s="29">
        <f t="shared" si="85"/>
        <v>23725318.23</v>
      </c>
      <c r="Q163" s="29">
        <f t="shared" si="85"/>
        <v>24251976.539999995</v>
      </c>
    </row>
    <row r="164" spans="1:17" ht="90" x14ac:dyDescent="0.25">
      <c r="A164" s="222" t="s">
        <v>116</v>
      </c>
      <c r="B164" s="219" t="s">
        <v>99</v>
      </c>
      <c r="C164" s="9" t="s">
        <v>100</v>
      </c>
      <c r="D164" s="10" t="s">
        <v>101</v>
      </c>
      <c r="E164" s="11">
        <v>309</v>
      </c>
      <c r="F164" s="11">
        <v>320</v>
      </c>
      <c r="G164" s="11">
        <v>320</v>
      </c>
      <c r="H164" s="12">
        <f>SUM(I164:K164)</f>
        <v>43059.57</v>
      </c>
      <c r="I164" s="12">
        <f>22328.93+952.08</f>
        <v>23281.010000000002</v>
      </c>
      <c r="J164" s="12">
        <v>3857.41</v>
      </c>
      <c r="K164" s="12">
        <v>15921.15</v>
      </c>
      <c r="L164" s="13">
        <f>SUM(M164:O164)</f>
        <v>13305407.130000001</v>
      </c>
      <c r="M164" s="13">
        <f>E164*I164</f>
        <v>7193832.0900000008</v>
      </c>
      <c r="N164" s="13">
        <f>E164*J164</f>
        <v>1191939.69</v>
      </c>
      <c r="O164" s="14">
        <f>E164*K164</f>
        <v>4919635.3499999996</v>
      </c>
      <c r="P164" s="14">
        <f t="shared" si="50"/>
        <v>13779062.4</v>
      </c>
      <c r="Q164" s="14">
        <f t="shared" si="51"/>
        <v>13779062.4</v>
      </c>
    </row>
    <row r="165" spans="1:17" ht="110.25" customHeight="1" x14ac:dyDescent="0.2">
      <c r="A165" s="222"/>
      <c r="B165" s="219"/>
      <c r="C165" s="15" t="s">
        <v>102</v>
      </c>
      <c r="D165" s="16" t="s">
        <v>101</v>
      </c>
      <c r="E165" s="17">
        <v>3</v>
      </c>
      <c r="F165" s="17">
        <v>3</v>
      </c>
      <c r="G165" s="17">
        <v>3</v>
      </c>
      <c r="H165" s="18">
        <v>22724.03</v>
      </c>
      <c r="I165" s="18">
        <v>22724.03</v>
      </c>
      <c r="J165" s="18" t="s">
        <v>103</v>
      </c>
      <c r="K165" s="18" t="s">
        <v>103</v>
      </c>
      <c r="L165" s="13">
        <f>SUM(M165:O165)</f>
        <v>68172.09</v>
      </c>
      <c r="M165" s="13">
        <f>E165*I165</f>
        <v>68172.09</v>
      </c>
      <c r="N165" s="13" t="s">
        <v>104</v>
      </c>
      <c r="O165" s="19" t="s">
        <v>104</v>
      </c>
      <c r="P165" s="14">
        <f t="shared" ref="P165:P180" si="86">F165*H165</f>
        <v>68172.09</v>
      </c>
      <c r="Q165" s="14">
        <f t="shared" ref="Q165:Q180" si="87">G165*H165</f>
        <v>68172.09</v>
      </c>
    </row>
    <row r="166" spans="1:17" ht="120" x14ac:dyDescent="0.25">
      <c r="A166" s="222"/>
      <c r="B166" s="219"/>
      <c r="C166" s="9" t="s">
        <v>105</v>
      </c>
      <c r="D166" s="16" t="s">
        <v>101</v>
      </c>
      <c r="E166" s="11">
        <v>2</v>
      </c>
      <c r="F166" s="11">
        <v>2</v>
      </c>
      <c r="G166" s="11">
        <v>2</v>
      </c>
      <c r="H166" s="18">
        <f>SUM(I166:K166)</f>
        <v>137159.02000000002</v>
      </c>
      <c r="I166" s="18">
        <f>116428.38+952.08</f>
        <v>117380.46</v>
      </c>
      <c r="J166" s="18">
        <v>3857.41</v>
      </c>
      <c r="K166" s="18">
        <v>15921.15</v>
      </c>
      <c r="L166" s="13">
        <f>SUM(M166:O166)</f>
        <v>274318.04000000004</v>
      </c>
      <c r="M166" s="13">
        <f>E166*I166</f>
        <v>234760.92</v>
      </c>
      <c r="N166" s="13">
        <f>E166*J166</f>
        <v>7714.82</v>
      </c>
      <c r="O166" s="20">
        <f>E166*K166</f>
        <v>31842.3</v>
      </c>
      <c r="P166" s="14">
        <f t="shared" si="86"/>
        <v>274318.04000000004</v>
      </c>
      <c r="Q166" s="14">
        <f t="shared" si="87"/>
        <v>274318.04000000004</v>
      </c>
    </row>
    <row r="167" spans="1:17" ht="105" x14ac:dyDescent="0.25">
      <c r="A167" s="222"/>
      <c r="B167" s="53"/>
      <c r="C167" s="9" t="s">
        <v>117</v>
      </c>
      <c r="D167" s="16" t="s">
        <v>101</v>
      </c>
      <c r="E167" s="11">
        <v>4</v>
      </c>
      <c r="F167" s="11">
        <v>4</v>
      </c>
      <c r="G167" s="11">
        <v>4</v>
      </c>
      <c r="H167" s="18">
        <f>I167</f>
        <v>20712.060000000001</v>
      </c>
      <c r="I167" s="18">
        <v>20712.060000000001</v>
      </c>
      <c r="J167" s="18" t="s">
        <v>104</v>
      </c>
      <c r="K167" s="18" t="s">
        <v>104</v>
      </c>
      <c r="L167" s="11">
        <f>SUM(M167:O167)</f>
        <v>82848.240000000005</v>
      </c>
      <c r="M167" s="11">
        <f>E167*I167</f>
        <v>82848.240000000005</v>
      </c>
      <c r="N167" s="11"/>
      <c r="O167" s="11"/>
      <c r="P167" s="14">
        <f t="shared" si="86"/>
        <v>82848.240000000005</v>
      </c>
      <c r="Q167" s="14">
        <f t="shared" si="87"/>
        <v>82848.240000000005</v>
      </c>
    </row>
    <row r="168" spans="1:17" ht="15" x14ac:dyDescent="0.2">
      <c r="A168" s="222"/>
      <c r="B168" s="53"/>
      <c r="C168" s="21" t="s">
        <v>106</v>
      </c>
      <c r="D168" s="22"/>
      <c r="E168" s="11">
        <f>E164+E166</f>
        <v>311</v>
      </c>
      <c r="F168" s="11">
        <f t="shared" ref="F168:G168" si="88">F164+F166</f>
        <v>322</v>
      </c>
      <c r="G168" s="11">
        <f t="shared" si="88"/>
        <v>322</v>
      </c>
      <c r="H168" s="11" t="s">
        <v>104</v>
      </c>
      <c r="I168" s="11" t="s">
        <v>104</v>
      </c>
      <c r="J168" s="11" t="s">
        <v>104</v>
      </c>
      <c r="K168" s="11" t="s">
        <v>104</v>
      </c>
      <c r="L168" s="13">
        <f>SUM(L164:L167)</f>
        <v>13730745.500000002</v>
      </c>
      <c r="M168" s="13">
        <f t="shared" ref="M168:Q168" si="89">SUM(M164:M167)</f>
        <v>7579613.3400000008</v>
      </c>
      <c r="N168" s="13">
        <f t="shared" si="89"/>
        <v>1199654.51</v>
      </c>
      <c r="O168" s="13">
        <f t="shared" si="89"/>
        <v>4951477.6499999994</v>
      </c>
      <c r="P168" s="13">
        <f t="shared" si="89"/>
        <v>14204400.770000001</v>
      </c>
      <c r="Q168" s="13">
        <f t="shared" si="89"/>
        <v>14204400.770000001</v>
      </c>
    </row>
    <row r="169" spans="1:17" ht="90" x14ac:dyDescent="0.25">
      <c r="A169" s="222"/>
      <c r="B169" s="219" t="s">
        <v>107</v>
      </c>
      <c r="C169" s="9" t="s">
        <v>100</v>
      </c>
      <c r="D169" s="10" t="s">
        <v>101</v>
      </c>
      <c r="E169" s="23">
        <v>57</v>
      </c>
      <c r="F169" s="23">
        <v>50</v>
      </c>
      <c r="G169" s="23">
        <v>53</v>
      </c>
      <c r="H169" s="12">
        <f>SUM(I169:K169)</f>
        <v>54095.340000000004</v>
      </c>
      <c r="I169" s="12">
        <f>33147.58+1169.2</f>
        <v>34316.78</v>
      </c>
      <c r="J169" s="12">
        <v>3857.41</v>
      </c>
      <c r="K169" s="18">
        <v>15921.15</v>
      </c>
      <c r="L169" s="11">
        <f>SUM(M169:O169)</f>
        <v>3083434.38</v>
      </c>
      <c r="M169" s="11">
        <f>E169*I169</f>
        <v>1956056.46</v>
      </c>
      <c r="N169" s="11">
        <f>E169*J169</f>
        <v>219872.37</v>
      </c>
      <c r="O169" s="24">
        <f>E169*K169</f>
        <v>907505.54999999993</v>
      </c>
      <c r="P169" s="14">
        <f t="shared" si="86"/>
        <v>2704767</v>
      </c>
      <c r="Q169" s="14">
        <f t="shared" si="87"/>
        <v>2867053.02</v>
      </c>
    </row>
    <row r="170" spans="1:17" ht="104.25" customHeight="1" x14ac:dyDescent="0.25">
      <c r="A170" s="222"/>
      <c r="B170" s="219"/>
      <c r="C170" s="9" t="s">
        <v>118</v>
      </c>
      <c r="D170" s="10" t="s">
        <v>101</v>
      </c>
      <c r="E170" s="23">
        <v>326</v>
      </c>
      <c r="F170" s="23">
        <v>315</v>
      </c>
      <c r="G170" s="23">
        <v>327</v>
      </c>
      <c r="H170" s="12">
        <f>SUM(I170:K170)</f>
        <v>57407.18</v>
      </c>
      <c r="I170" s="12">
        <f>36459.42+1169.2</f>
        <v>37628.619999999995</v>
      </c>
      <c r="J170" s="12">
        <v>3857.41</v>
      </c>
      <c r="K170" s="18">
        <v>15921.15</v>
      </c>
      <c r="L170" s="11">
        <f>SUM(M170:O170)</f>
        <v>18714740.68</v>
      </c>
      <c r="M170" s="11">
        <f>E170*I170</f>
        <v>12266930.119999999</v>
      </c>
      <c r="N170" s="11">
        <f>E170*J170</f>
        <v>1257515.6599999999</v>
      </c>
      <c r="O170" s="24">
        <f>E170*K170</f>
        <v>5190294.8999999994</v>
      </c>
      <c r="P170" s="14">
        <f t="shared" si="86"/>
        <v>18083261.699999999</v>
      </c>
      <c r="Q170" s="14">
        <f t="shared" si="87"/>
        <v>18772147.859999999</v>
      </c>
    </row>
    <row r="171" spans="1:17" ht="119.25" customHeight="1" x14ac:dyDescent="0.25">
      <c r="A171" s="222"/>
      <c r="B171" s="219"/>
      <c r="C171" s="15" t="s">
        <v>102</v>
      </c>
      <c r="D171" s="16" t="s">
        <v>101</v>
      </c>
      <c r="E171" s="25">
        <v>1</v>
      </c>
      <c r="F171" s="25">
        <v>1</v>
      </c>
      <c r="G171" s="25">
        <v>1</v>
      </c>
      <c r="H171" s="18">
        <v>22724.03</v>
      </c>
      <c r="I171" s="18">
        <v>22724.03</v>
      </c>
      <c r="J171" s="18" t="s">
        <v>103</v>
      </c>
      <c r="K171" s="18" t="s">
        <v>103</v>
      </c>
      <c r="L171" s="13">
        <f>SUM(M171:O171)</f>
        <v>22724.03</v>
      </c>
      <c r="M171" s="13">
        <f>E171*I171</f>
        <v>22724.03</v>
      </c>
      <c r="N171" s="13" t="s">
        <v>104</v>
      </c>
      <c r="O171" s="19" t="s">
        <v>104</v>
      </c>
      <c r="P171" s="14">
        <f t="shared" si="86"/>
        <v>22724.03</v>
      </c>
      <c r="Q171" s="14">
        <f t="shared" si="87"/>
        <v>22724.03</v>
      </c>
    </row>
    <row r="172" spans="1:17" ht="120" x14ac:dyDescent="0.25">
      <c r="A172" s="222"/>
      <c r="B172" s="219"/>
      <c r="C172" s="9" t="s">
        <v>105</v>
      </c>
      <c r="D172" s="16" t="s">
        <v>101</v>
      </c>
      <c r="E172" s="25"/>
      <c r="F172" s="25"/>
      <c r="G172" s="25"/>
      <c r="H172" s="18">
        <f>SUM(I172:K172)</f>
        <v>166124.72</v>
      </c>
      <c r="I172" s="18">
        <f>145176.96+1169.2</f>
        <v>146346.16</v>
      </c>
      <c r="J172" s="18">
        <v>3857.41</v>
      </c>
      <c r="K172" s="18">
        <v>15921.15</v>
      </c>
      <c r="L172" s="26">
        <f>SUM(M172:O172)</f>
        <v>0</v>
      </c>
      <c r="M172" s="26">
        <f>E172*I172</f>
        <v>0</v>
      </c>
      <c r="N172" s="26">
        <f>E172*J172</f>
        <v>0</v>
      </c>
      <c r="O172" s="26">
        <f>E172*K172</f>
        <v>0</v>
      </c>
      <c r="P172" s="14">
        <f t="shared" si="86"/>
        <v>0</v>
      </c>
      <c r="Q172" s="14">
        <f t="shared" si="87"/>
        <v>0</v>
      </c>
    </row>
    <row r="173" spans="1:17" ht="105" x14ac:dyDescent="0.25">
      <c r="A173" s="222"/>
      <c r="B173" s="53"/>
      <c r="C173" s="9" t="s">
        <v>117</v>
      </c>
      <c r="D173" s="16" t="s">
        <v>101</v>
      </c>
      <c r="E173" s="25">
        <v>3</v>
      </c>
      <c r="F173" s="25">
        <v>3</v>
      </c>
      <c r="G173" s="25">
        <v>3</v>
      </c>
      <c r="H173" s="18">
        <v>32794.07</v>
      </c>
      <c r="I173" s="18">
        <f>H173</f>
        <v>32794.07</v>
      </c>
      <c r="J173" s="18" t="s">
        <v>104</v>
      </c>
      <c r="K173" s="18" t="s">
        <v>104</v>
      </c>
      <c r="L173" s="26">
        <f>SUM(M173:O173)</f>
        <v>98382.209999999992</v>
      </c>
      <c r="M173" s="26">
        <f>E173*I173</f>
        <v>98382.209999999992</v>
      </c>
      <c r="N173" s="26"/>
      <c r="O173" s="26"/>
      <c r="P173" s="14">
        <f t="shared" si="86"/>
        <v>98382.209999999992</v>
      </c>
      <c r="Q173" s="14">
        <f t="shared" si="87"/>
        <v>98382.209999999992</v>
      </c>
    </row>
    <row r="174" spans="1:17" ht="15" x14ac:dyDescent="0.25">
      <c r="A174" s="222"/>
      <c r="B174" s="53"/>
      <c r="C174" s="21" t="s">
        <v>106</v>
      </c>
      <c r="D174" s="16"/>
      <c r="E174" s="25">
        <f>E169++E170+E172</f>
        <v>383</v>
      </c>
      <c r="F174" s="25">
        <f t="shared" ref="F174:G174" si="90">F169++F170+F172</f>
        <v>365</v>
      </c>
      <c r="G174" s="25">
        <f t="shared" si="90"/>
        <v>380</v>
      </c>
      <c r="H174" s="25" t="s">
        <v>104</v>
      </c>
      <c r="I174" s="25" t="s">
        <v>104</v>
      </c>
      <c r="J174" s="25" t="s">
        <v>104</v>
      </c>
      <c r="K174" s="25" t="s">
        <v>104</v>
      </c>
      <c r="L174" s="25">
        <f>SUM(L169:L173)</f>
        <v>21919281.300000001</v>
      </c>
      <c r="M174" s="25">
        <f t="shared" ref="M174:Q174" si="91">SUM(M169:M173)</f>
        <v>14344092.819999998</v>
      </c>
      <c r="N174" s="25">
        <f t="shared" si="91"/>
        <v>1477388.0299999998</v>
      </c>
      <c r="O174" s="25">
        <f t="shared" si="91"/>
        <v>6097800.4499999993</v>
      </c>
      <c r="P174" s="25">
        <f t="shared" si="91"/>
        <v>20909134.940000001</v>
      </c>
      <c r="Q174" s="25">
        <f t="shared" si="91"/>
        <v>21760307.120000001</v>
      </c>
    </row>
    <row r="175" spans="1:17" ht="90" x14ac:dyDescent="0.25">
      <c r="A175" s="222"/>
      <c r="B175" s="219" t="s">
        <v>108</v>
      </c>
      <c r="C175" s="9" t="s">
        <v>100</v>
      </c>
      <c r="D175" s="10" t="s">
        <v>101</v>
      </c>
      <c r="E175" s="25">
        <v>106</v>
      </c>
      <c r="F175" s="25">
        <v>110</v>
      </c>
      <c r="G175" s="25">
        <v>112</v>
      </c>
      <c r="H175" s="12">
        <f>SUM(I175:K175)</f>
        <v>60807.1</v>
      </c>
      <c r="I175" s="12">
        <f>39660.87+1367.67</f>
        <v>41028.54</v>
      </c>
      <c r="J175" s="12">
        <v>3857.41</v>
      </c>
      <c r="K175" s="18">
        <v>15921.15</v>
      </c>
      <c r="L175" s="26">
        <f>SUM(M175:O175)</f>
        <v>6445552.5999999996</v>
      </c>
      <c r="M175" s="26">
        <f>E175*I175</f>
        <v>4349025.24</v>
      </c>
      <c r="N175" s="26">
        <f>E175*J175</f>
        <v>408885.45999999996</v>
      </c>
      <c r="O175" s="26">
        <f>E175*K175</f>
        <v>1687641.9</v>
      </c>
      <c r="P175" s="14">
        <f t="shared" si="86"/>
        <v>6688781</v>
      </c>
      <c r="Q175" s="14">
        <f t="shared" si="87"/>
        <v>6810395.2000000002</v>
      </c>
    </row>
    <row r="176" spans="1:17" ht="113.25" customHeight="1" x14ac:dyDescent="0.25">
      <c r="A176" s="222"/>
      <c r="B176" s="219"/>
      <c r="C176" s="15" t="s">
        <v>102</v>
      </c>
      <c r="D176" s="16" t="s">
        <v>101</v>
      </c>
      <c r="E176" s="25">
        <v>1</v>
      </c>
      <c r="F176" s="25">
        <v>1</v>
      </c>
      <c r="G176" s="25">
        <v>1</v>
      </c>
      <c r="H176" s="18">
        <v>22724.03</v>
      </c>
      <c r="I176" s="18">
        <v>22724.03</v>
      </c>
      <c r="J176" s="18" t="s">
        <v>103</v>
      </c>
      <c r="K176" s="18" t="s">
        <v>103</v>
      </c>
      <c r="L176" s="13">
        <f>SUM(M176:O176)</f>
        <v>22724.03</v>
      </c>
      <c r="M176" s="13">
        <f>E176*I176</f>
        <v>22724.03</v>
      </c>
      <c r="N176" s="13" t="s">
        <v>104</v>
      </c>
      <c r="O176" s="19" t="s">
        <v>104</v>
      </c>
      <c r="P176" s="14">
        <f t="shared" si="86"/>
        <v>22724.03</v>
      </c>
      <c r="Q176" s="14">
        <f t="shared" si="87"/>
        <v>22724.03</v>
      </c>
    </row>
    <row r="177" spans="1:17" ht="120" x14ac:dyDescent="0.25">
      <c r="A177" s="222"/>
      <c r="B177" s="219"/>
      <c r="C177" s="9" t="s">
        <v>105</v>
      </c>
      <c r="D177" s="16" t="s">
        <v>101</v>
      </c>
      <c r="E177" s="25"/>
      <c r="F177" s="25"/>
      <c r="G177" s="25"/>
      <c r="H177" s="18">
        <f>SUM(I177:K177)</f>
        <v>195071.76</v>
      </c>
      <c r="I177" s="18">
        <f>173925.53+1367.67</f>
        <v>175293.2</v>
      </c>
      <c r="J177" s="18">
        <v>3857.41</v>
      </c>
      <c r="K177" s="18">
        <v>15921.15</v>
      </c>
      <c r="L177" s="26"/>
      <c r="M177" s="26"/>
      <c r="N177" s="26"/>
      <c r="O177" s="26"/>
      <c r="P177" s="14">
        <f t="shared" si="86"/>
        <v>0</v>
      </c>
      <c r="Q177" s="14">
        <f t="shared" si="87"/>
        <v>0</v>
      </c>
    </row>
    <row r="178" spans="1:17" ht="15" x14ac:dyDescent="0.25">
      <c r="A178" s="222"/>
      <c r="B178" s="53"/>
      <c r="C178" s="21" t="s">
        <v>106</v>
      </c>
      <c r="D178" s="16"/>
      <c r="E178" s="25">
        <f>E175+E177</f>
        <v>106</v>
      </c>
      <c r="F178" s="25">
        <f t="shared" ref="F178:G178" si="92">F175+F177</f>
        <v>110</v>
      </c>
      <c r="G178" s="25">
        <f t="shared" si="92"/>
        <v>112</v>
      </c>
      <c r="H178" s="25" t="s">
        <v>104</v>
      </c>
      <c r="I178" s="25" t="s">
        <v>104</v>
      </c>
      <c r="J178" s="25" t="s">
        <v>104</v>
      </c>
      <c r="K178" s="25" t="s">
        <v>104</v>
      </c>
      <c r="L178" s="25">
        <f>SUM(L175:L177)</f>
        <v>6468276.6299999999</v>
      </c>
      <c r="M178" s="25">
        <f t="shared" ref="M178:Q178" si="93">SUM(M175:M177)</f>
        <v>4371749.2700000005</v>
      </c>
      <c r="N178" s="25">
        <f t="shared" si="93"/>
        <v>408885.45999999996</v>
      </c>
      <c r="O178" s="25">
        <f t="shared" si="93"/>
        <v>1687641.9</v>
      </c>
      <c r="P178" s="25">
        <f t="shared" si="93"/>
        <v>6711505.0300000003</v>
      </c>
      <c r="Q178" s="25">
        <f t="shared" si="93"/>
        <v>6833119.2300000004</v>
      </c>
    </row>
    <row r="179" spans="1:17" ht="171.75" customHeight="1" x14ac:dyDescent="0.25">
      <c r="A179" s="222"/>
      <c r="B179" s="220" t="s">
        <v>109</v>
      </c>
      <c r="C179" s="9" t="s">
        <v>110</v>
      </c>
      <c r="D179" s="16" t="s">
        <v>101</v>
      </c>
      <c r="E179" s="25">
        <v>509</v>
      </c>
      <c r="F179" s="25">
        <v>519</v>
      </c>
      <c r="G179" s="25">
        <v>519</v>
      </c>
      <c r="H179" s="18">
        <f>I179</f>
        <v>2770.76</v>
      </c>
      <c r="I179" s="18">
        <v>2770.76</v>
      </c>
      <c r="J179" s="18" t="s">
        <v>104</v>
      </c>
      <c r="K179" s="18" t="s">
        <v>104</v>
      </c>
      <c r="L179" s="26">
        <f>SUM(M179:O179)</f>
        <v>1410316.84</v>
      </c>
      <c r="M179" s="26">
        <f>I179*E179</f>
        <v>1410316.84</v>
      </c>
      <c r="N179" s="26" t="s">
        <v>104</v>
      </c>
      <c r="O179" s="26" t="s">
        <v>104</v>
      </c>
      <c r="P179" s="14">
        <f t="shared" si="86"/>
        <v>1438024.4400000002</v>
      </c>
      <c r="Q179" s="14">
        <f t="shared" si="87"/>
        <v>1438024.4400000002</v>
      </c>
    </row>
    <row r="180" spans="1:17" ht="180.75" customHeight="1" x14ac:dyDescent="0.25">
      <c r="A180" s="222"/>
      <c r="B180" s="220"/>
      <c r="C180" s="9" t="s">
        <v>111</v>
      </c>
      <c r="D180" s="16" t="s">
        <v>101</v>
      </c>
      <c r="E180" s="29">
        <v>622</v>
      </c>
      <c r="F180" s="29">
        <v>632</v>
      </c>
      <c r="G180" s="29">
        <v>632</v>
      </c>
      <c r="H180" s="18">
        <v>3829.24</v>
      </c>
      <c r="I180" s="18">
        <f>H180</f>
        <v>3829.24</v>
      </c>
      <c r="J180" s="18" t="s">
        <v>104</v>
      </c>
      <c r="K180" s="18" t="s">
        <v>104</v>
      </c>
      <c r="L180" s="26">
        <f>SUM(M180:O180)</f>
        <v>2381787.2799999998</v>
      </c>
      <c r="M180" s="26">
        <f>I180*E180</f>
        <v>2381787.2799999998</v>
      </c>
      <c r="N180" s="27" t="s">
        <v>104</v>
      </c>
      <c r="O180" s="28" t="s">
        <v>104</v>
      </c>
      <c r="P180" s="14">
        <f t="shared" si="86"/>
        <v>2420079.6799999997</v>
      </c>
      <c r="Q180" s="14">
        <f t="shared" si="87"/>
        <v>2420079.6799999997</v>
      </c>
    </row>
    <row r="181" spans="1:17" ht="15" x14ac:dyDescent="0.25">
      <c r="A181" s="222"/>
      <c r="B181" s="29"/>
      <c r="C181" s="21" t="s">
        <v>106</v>
      </c>
      <c r="D181" s="29"/>
      <c r="E181" s="29">
        <f>SUM(E179:E180)</f>
        <v>1131</v>
      </c>
      <c r="F181" s="29">
        <f t="shared" ref="F181:G181" si="94">SUM(F179:F180)</f>
        <v>1151</v>
      </c>
      <c r="G181" s="25">
        <f t="shared" si="94"/>
        <v>1151</v>
      </c>
      <c r="H181" s="25" t="s">
        <v>104</v>
      </c>
      <c r="I181" s="25" t="s">
        <v>104</v>
      </c>
      <c r="J181" s="25" t="s">
        <v>104</v>
      </c>
      <c r="K181" s="25">
        <f t="shared" ref="K181:O181" si="95">SUM(K179:K180)</f>
        <v>0</v>
      </c>
      <c r="L181" s="25">
        <f t="shared" si="95"/>
        <v>3792104.12</v>
      </c>
      <c r="M181" s="25">
        <f t="shared" si="95"/>
        <v>3792104.12</v>
      </c>
      <c r="N181" s="25">
        <f t="shared" si="95"/>
        <v>0</v>
      </c>
      <c r="O181" s="25">
        <f t="shared" si="95"/>
        <v>0</v>
      </c>
      <c r="P181" s="14">
        <f>SUM(P179:P180)</f>
        <v>3858104.12</v>
      </c>
      <c r="Q181" s="14">
        <f>SUM(Q179:Q180)</f>
        <v>3858104.12</v>
      </c>
    </row>
    <row r="182" spans="1:17" ht="14.25" x14ac:dyDescent="0.2">
      <c r="A182" s="222"/>
      <c r="B182" s="30" t="s">
        <v>112</v>
      </c>
      <c r="C182" s="30"/>
      <c r="D182" s="29"/>
      <c r="E182" s="29"/>
      <c r="F182" s="29"/>
      <c r="G182" s="29"/>
      <c r="H182" s="29"/>
      <c r="I182" s="29"/>
      <c r="J182" s="29"/>
      <c r="K182" s="29"/>
      <c r="L182" s="31">
        <f>L168+L174+L178+L181</f>
        <v>45910407.550000004</v>
      </c>
      <c r="M182" s="31">
        <f t="shared" ref="M182:Q182" si="96">M168+M174+M178+M181</f>
        <v>30087559.550000001</v>
      </c>
      <c r="N182" s="31">
        <f t="shared" si="96"/>
        <v>3085928</v>
      </c>
      <c r="O182" s="31">
        <f t="shared" si="96"/>
        <v>12736919.999999998</v>
      </c>
      <c r="P182" s="31">
        <f t="shared" si="96"/>
        <v>45683144.859999999</v>
      </c>
      <c r="Q182" s="31">
        <f t="shared" si="96"/>
        <v>46655931.240000002</v>
      </c>
    </row>
    <row r="183" spans="1:17" ht="225" customHeight="1" x14ac:dyDescent="0.25">
      <c r="A183" s="222" t="s">
        <v>119</v>
      </c>
      <c r="B183" s="219" t="s">
        <v>99</v>
      </c>
      <c r="C183" s="9" t="s">
        <v>120</v>
      </c>
      <c r="D183" s="10" t="s">
        <v>121</v>
      </c>
      <c r="E183" s="32" t="s">
        <v>122</v>
      </c>
      <c r="F183" s="11" t="s">
        <v>122</v>
      </c>
      <c r="G183" s="11" t="s">
        <v>123</v>
      </c>
      <c r="H183" s="33" t="s">
        <v>124</v>
      </c>
      <c r="I183" s="33" t="s">
        <v>125</v>
      </c>
      <c r="J183" s="33" t="s">
        <v>126</v>
      </c>
      <c r="K183" s="33" t="s">
        <v>127</v>
      </c>
      <c r="L183" s="13">
        <f t="shared" ref="L183:L188" si="97">SUM(M183:O183)</f>
        <v>2238893.54</v>
      </c>
      <c r="M183" s="13">
        <f>642642.05*2+952.08*46</f>
        <v>1329079.78</v>
      </c>
      <c r="N183" s="13">
        <f>3857.41*46</f>
        <v>177440.86</v>
      </c>
      <c r="O183" s="14">
        <f>15921.15*46</f>
        <v>732372.9</v>
      </c>
      <c r="P183" s="14">
        <f>642642.05*2+20730.64*46</f>
        <v>2238893.54</v>
      </c>
      <c r="Q183" s="14">
        <f>643642.05*2+20730.64*49</f>
        <v>2303085.46</v>
      </c>
    </row>
    <row r="184" spans="1:17" ht="240" x14ac:dyDescent="0.25">
      <c r="A184" s="222"/>
      <c r="B184" s="219"/>
      <c r="C184" s="9" t="s">
        <v>128</v>
      </c>
      <c r="D184" s="10" t="s">
        <v>121</v>
      </c>
      <c r="E184" s="33" t="s">
        <v>129</v>
      </c>
      <c r="F184" s="33" t="s">
        <v>130</v>
      </c>
      <c r="G184" s="33" t="s">
        <v>130</v>
      </c>
      <c r="H184" s="33" t="s">
        <v>131</v>
      </c>
      <c r="I184" s="33" t="s">
        <v>132</v>
      </c>
      <c r="J184" s="33" t="s">
        <v>126</v>
      </c>
      <c r="K184" s="33" t="s">
        <v>127</v>
      </c>
      <c r="L184" s="13">
        <f t="shared" si="97"/>
        <v>3681151.7999999993</v>
      </c>
      <c r="M184" s="13">
        <f>604145.69*4+952.08*61</f>
        <v>2474659.6399999997</v>
      </c>
      <c r="N184" s="13">
        <f>3857.41*61</f>
        <v>235302.00999999998</v>
      </c>
      <c r="O184" s="14">
        <f>15921.15*61</f>
        <v>971190.15</v>
      </c>
      <c r="P184" s="14">
        <f>604145.69*4+20730.64*63</f>
        <v>3722613.08</v>
      </c>
      <c r="Q184" s="14">
        <f>P184</f>
        <v>3722613.08</v>
      </c>
    </row>
    <row r="185" spans="1:17" ht="120" x14ac:dyDescent="0.2">
      <c r="A185" s="222"/>
      <c r="B185" s="219"/>
      <c r="C185" s="15" t="s">
        <v>102</v>
      </c>
      <c r="D185" s="16" t="s">
        <v>101</v>
      </c>
      <c r="E185" s="17"/>
      <c r="F185" s="17"/>
      <c r="G185" s="17"/>
      <c r="H185" s="18">
        <v>22724.03</v>
      </c>
      <c r="I185" s="18">
        <v>22724.03</v>
      </c>
      <c r="J185" s="18" t="s">
        <v>103</v>
      </c>
      <c r="K185" s="18" t="s">
        <v>103</v>
      </c>
      <c r="L185" s="13">
        <f t="shared" si="97"/>
        <v>0</v>
      </c>
      <c r="M185" s="13">
        <f>E185*I185</f>
        <v>0</v>
      </c>
      <c r="N185" s="13" t="s">
        <v>104</v>
      </c>
      <c r="O185" s="19" t="s">
        <v>104</v>
      </c>
      <c r="P185" s="14">
        <f t="shared" ref="P185:P195" si="98">F185*H185</f>
        <v>0</v>
      </c>
      <c r="Q185" s="14">
        <f t="shared" ref="Q185:Q195" si="99">G185*H185</f>
        <v>0</v>
      </c>
    </row>
    <row r="186" spans="1:17" ht="15" x14ac:dyDescent="0.2">
      <c r="A186" s="222"/>
      <c r="B186" s="219"/>
      <c r="C186" s="21" t="s">
        <v>106</v>
      </c>
      <c r="D186" s="22"/>
      <c r="E186" s="11" t="s">
        <v>133</v>
      </c>
      <c r="F186" s="11" t="s">
        <v>134</v>
      </c>
      <c r="G186" s="11" t="s">
        <v>135</v>
      </c>
      <c r="H186" s="11" t="s">
        <v>104</v>
      </c>
      <c r="I186" s="11" t="s">
        <v>104</v>
      </c>
      <c r="J186" s="11" t="s">
        <v>104</v>
      </c>
      <c r="K186" s="11" t="s">
        <v>104</v>
      </c>
      <c r="L186" s="13">
        <f t="shared" si="97"/>
        <v>5920045.3399999999</v>
      </c>
      <c r="M186" s="13">
        <f>SUM(M183:M185)</f>
        <v>3803739.42</v>
      </c>
      <c r="N186" s="13">
        <f t="shared" ref="N186:O186" si="100">SUM(N183:N185)</f>
        <v>412742.87</v>
      </c>
      <c r="O186" s="13">
        <f t="shared" si="100"/>
        <v>1703563.05</v>
      </c>
      <c r="P186" s="34">
        <f>SUM(P183:P185)</f>
        <v>5961506.6200000001</v>
      </c>
      <c r="Q186" s="34">
        <f>SUM(Q183:Q185)</f>
        <v>6025698.54</v>
      </c>
    </row>
    <row r="187" spans="1:17" ht="222" customHeight="1" x14ac:dyDescent="0.25">
      <c r="A187" s="222"/>
      <c r="B187" s="219" t="s">
        <v>107</v>
      </c>
      <c r="C187" s="9" t="s">
        <v>120</v>
      </c>
      <c r="D187" s="10" t="s">
        <v>121</v>
      </c>
      <c r="E187" s="23" t="s">
        <v>136</v>
      </c>
      <c r="F187" s="35" t="s">
        <v>122</v>
      </c>
      <c r="G187" s="23" t="s">
        <v>137</v>
      </c>
      <c r="H187" s="33" t="s">
        <v>138</v>
      </c>
      <c r="I187" s="33" t="s">
        <v>139</v>
      </c>
      <c r="J187" s="33" t="s">
        <v>126</v>
      </c>
      <c r="K187" s="33" t="s">
        <v>127</v>
      </c>
      <c r="L187" s="11">
        <f t="shared" si="97"/>
        <v>4247891.0999999996</v>
      </c>
      <c r="M187" s="11">
        <f>3*955112.98+66*1169.2</f>
        <v>2942506.14</v>
      </c>
      <c r="N187" s="11">
        <f>3857.41*66</f>
        <v>254589.06</v>
      </c>
      <c r="O187" s="24">
        <f>15921.15*66</f>
        <v>1050795.8999999999</v>
      </c>
      <c r="P187" s="14">
        <f>2*955112.98+46*20947.76</f>
        <v>2873822.92</v>
      </c>
      <c r="Q187" s="14">
        <f>5*955112.98+112*20947.76</f>
        <v>7121714.0199999996</v>
      </c>
    </row>
    <row r="188" spans="1:17" ht="228" customHeight="1" x14ac:dyDescent="0.25">
      <c r="A188" s="222"/>
      <c r="B188" s="219"/>
      <c r="C188" s="9" t="s">
        <v>128</v>
      </c>
      <c r="D188" s="10" t="s">
        <v>121</v>
      </c>
      <c r="E188" s="25" t="s">
        <v>140</v>
      </c>
      <c r="F188" s="25" t="s">
        <v>141</v>
      </c>
      <c r="G188" s="25" t="s">
        <v>129</v>
      </c>
      <c r="H188" s="33" t="s">
        <v>142</v>
      </c>
      <c r="I188" s="33" t="s">
        <v>143</v>
      </c>
      <c r="J188" s="33" t="s">
        <v>126</v>
      </c>
      <c r="K188" s="33" t="s">
        <v>127</v>
      </c>
      <c r="L188" s="13">
        <f t="shared" si="97"/>
        <v>3254329.2699999996</v>
      </c>
      <c r="M188" s="13">
        <f>3*756594.85+1169.2*47</f>
        <v>2324736.9499999997</v>
      </c>
      <c r="N188" s="13">
        <f>3857.41*47</f>
        <v>181298.27</v>
      </c>
      <c r="O188" s="19">
        <f>15921.15*47</f>
        <v>748294.04999999993</v>
      </c>
      <c r="P188" s="14">
        <f>6*756594.85+20947.76*99</f>
        <v>6613397.3399999999</v>
      </c>
      <c r="Q188" s="14">
        <f>756594.85*4+20947.76*61</f>
        <v>4304192.76</v>
      </c>
    </row>
    <row r="189" spans="1:17" ht="96.75" customHeight="1" x14ac:dyDescent="0.25">
      <c r="A189" s="222"/>
      <c r="B189" s="219"/>
      <c r="C189" s="15" t="s">
        <v>102</v>
      </c>
      <c r="D189" s="16" t="s">
        <v>101</v>
      </c>
      <c r="E189" s="25">
        <v>4</v>
      </c>
      <c r="F189" s="25">
        <v>3</v>
      </c>
      <c r="G189" s="25">
        <v>3</v>
      </c>
      <c r="H189" s="18">
        <f>I189</f>
        <v>27251.919999999998</v>
      </c>
      <c r="I189" s="18">
        <v>27251.919999999998</v>
      </c>
      <c r="J189" s="18" t="s">
        <v>103</v>
      </c>
      <c r="K189" s="18" t="s">
        <v>103</v>
      </c>
      <c r="L189" s="13">
        <f>SUM(M189)</f>
        <v>109007.67999999999</v>
      </c>
      <c r="M189" s="26">
        <f>E189*I189</f>
        <v>109007.67999999999</v>
      </c>
      <c r="N189" s="26"/>
      <c r="O189" s="26"/>
      <c r="P189" s="14">
        <f t="shared" si="98"/>
        <v>81755.759999999995</v>
      </c>
      <c r="Q189" s="14">
        <f t="shared" si="99"/>
        <v>81755.759999999995</v>
      </c>
    </row>
    <row r="190" spans="1:17" ht="120" x14ac:dyDescent="0.25">
      <c r="A190" s="222"/>
      <c r="B190" s="53"/>
      <c r="C190" s="9" t="s">
        <v>144</v>
      </c>
      <c r="D190" s="16" t="s">
        <v>101</v>
      </c>
      <c r="E190" s="18">
        <v>1</v>
      </c>
      <c r="F190" s="18">
        <v>1</v>
      </c>
      <c r="G190" s="18">
        <v>1</v>
      </c>
      <c r="H190" s="18">
        <f>SUM(I190:K190)</f>
        <v>217702</v>
      </c>
      <c r="I190" s="18">
        <v>217702</v>
      </c>
      <c r="J190" s="18"/>
      <c r="K190" s="18"/>
      <c r="L190" s="26">
        <f>SUM(M190:O190)</f>
        <v>217702</v>
      </c>
      <c r="M190" s="26">
        <f>E190*I190</f>
        <v>217702</v>
      </c>
      <c r="N190" s="26">
        <f>E190*J190</f>
        <v>0</v>
      </c>
      <c r="O190" s="26">
        <f>K190*E190</f>
        <v>0</v>
      </c>
      <c r="P190" s="14">
        <f t="shared" si="98"/>
        <v>217702</v>
      </c>
      <c r="Q190" s="14">
        <f t="shared" si="99"/>
        <v>217702</v>
      </c>
    </row>
    <row r="191" spans="1:17" ht="15" x14ac:dyDescent="0.25">
      <c r="A191" s="222"/>
      <c r="B191" s="53"/>
      <c r="C191" s="21" t="s">
        <v>106</v>
      </c>
      <c r="D191" s="16"/>
      <c r="E191" s="25" t="s">
        <v>145</v>
      </c>
      <c r="F191" s="25" t="s">
        <v>146</v>
      </c>
      <c r="G191" s="25" t="s">
        <v>147</v>
      </c>
      <c r="H191" s="25" t="s">
        <v>104</v>
      </c>
      <c r="I191" s="25" t="s">
        <v>104</v>
      </c>
      <c r="J191" s="25" t="s">
        <v>104</v>
      </c>
      <c r="K191" s="25" t="s">
        <v>104</v>
      </c>
      <c r="L191" s="25">
        <f>SUM(M191:O191)</f>
        <v>7828930.0499999989</v>
      </c>
      <c r="M191" s="25">
        <f t="shared" ref="M191:O191" si="101">SUM(M187:M190)</f>
        <v>5593952.7699999996</v>
      </c>
      <c r="N191" s="25">
        <f t="shared" si="101"/>
        <v>435887.32999999996</v>
      </c>
      <c r="O191" s="25">
        <f t="shared" si="101"/>
        <v>1799089.9499999997</v>
      </c>
      <c r="P191" s="25">
        <f>SUM(P187:P190)</f>
        <v>9786678.0199999996</v>
      </c>
      <c r="Q191" s="25">
        <f>SUM(Q187:Q190)</f>
        <v>11725364.539999999</v>
      </c>
    </row>
    <row r="192" spans="1:17" ht="227.25" customHeight="1" x14ac:dyDescent="0.25">
      <c r="A192" s="222"/>
      <c r="B192" s="53" t="s">
        <v>108</v>
      </c>
      <c r="C192" s="9" t="s">
        <v>128</v>
      </c>
      <c r="D192" s="10" t="s">
        <v>121</v>
      </c>
      <c r="E192" s="33" t="s">
        <v>148</v>
      </c>
      <c r="F192" s="33" t="s">
        <v>148</v>
      </c>
      <c r="G192" s="33" t="s">
        <v>149</v>
      </c>
      <c r="H192" s="33" t="s">
        <v>150</v>
      </c>
      <c r="I192" s="33" t="s">
        <v>151</v>
      </c>
      <c r="J192" s="33" t="s">
        <v>126</v>
      </c>
      <c r="K192" s="33" t="s">
        <v>127</v>
      </c>
      <c r="L192" s="26">
        <f>SUM(M192:O192)</f>
        <v>956431.65700000001</v>
      </c>
      <c r="M192" s="26">
        <f>808407.62+1367.67*7</f>
        <v>817981.30999999994</v>
      </c>
      <c r="N192" s="26">
        <f>7*3857.471</f>
        <v>27002.296999999999</v>
      </c>
      <c r="O192" s="26">
        <f>7*15921.15</f>
        <v>111448.05</v>
      </c>
      <c r="P192" s="36">
        <f>808407.62+7*21146.23</f>
        <v>956431.23</v>
      </c>
      <c r="Q192" s="14">
        <f>2*808407.62+17*21146.23</f>
        <v>1976301.15</v>
      </c>
    </row>
    <row r="193" spans="1:17" ht="15" x14ac:dyDescent="0.25">
      <c r="A193" s="222"/>
      <c r="B193" s="53"/>
      <c r="C193" s="21" t="s">
        <v>106</v>
      </c>
      <c r="D193" s="16"/>
      <c r="E193" s="25" t="s">
        <v>148</v>
      </c>
      <c r="F193" s="25" t="s">
        <v>148</v>
      </c>
      <c r="G193" s="25" t="s">
        <v>149</v>
      </c>
      <c r="H193" s="25" t="s">
        <v>104</v>
      </c>
      <c r="I193" s="25" t="s">
        <v>104</v>
      </c>
      <c r="J193" s="25" t="s">
        <v>104</v>
      </c>
      <c r="K193" s="25" t="s">
        <v>104</v>
      </c>
      <c r="L193" s="25">
        <f>SUM(L192:L192)</f>
        <v>956431.65700000001</v>
      </c>
      <c r="M193" s="25">
        <f>SUM(M192:M192)</f>
        <v>817981.30999999994</v>
      </c>
      <c r="N193" s="25">
        <f>SUM(N192:N192)</f>
        <v>27002.296999999999</v>
      </c>
      <c r="O193" s="25">
        <f>SUM(O192:O192)</f>
        <v>111448.05</v>
      </c>
      <c r="P193" s="14">
        <f>SUM(P192)</f>
        <v>956431.23</v>
      </c>
      <c r="Q193" s="14">
        <f>SUM(Q192)</f>
        <v>1976301.15</v>
      </c>
    </row>
    <row r="194" spans="1:17" ht="168.75" customHeight="1" x14ac:dyDescent="0.25">
      <c r="A194" s="222"/>
      <c r="B194" s="220" t="s">
        <v>109</v>
      </c>
      <c r="C194" s="9" t="s">
        <v>110</v>
      </c>
      <c r="D194" s="16" t="s">
        <v>101</v>
      </c>
      <c r="E194" s="25">
        <v>153</v>
      </c>
      <c r="F194" s="25">
        <v>156</v>
      </c>
      <c r="G194" s="25">
        <v>162</v>
      </c>
      <c r="H194" s="18">
        <f>I194</f>
        <v>3461.18</v>
      </c>
      <c r="I194" s="18">
        <v>3461.18</v>
      </c>
      <c r="J194" s="18" t="s">
        <v>104</v>
      </c>
      <c r="K194" s="18" t="s">
        <v>104</v>
      </c>
      <c r="L194" s="26">
        <f>SUM(M194:O194)</f>
        <v>529560.53999999992</v>
      </c>
      <c r="M194" s="26">
        <f>I194*E194</f>
        <v>529560.53999999992</v>
      </c>
      <c r="N194" s="26" t="s">
        <v>104</v>
      </c>
      <c r="O194" s="26" t="s">
        <v>104</v>
      </c>
      <c r="P194" s="14">
        <f t="shared" si="98"/>
        <v>539944.07999999996</v>
      </c>
      <c r="Q194" s="14">
        <f t="shared" si="99"/>
        <v>560711.15999999992</v>
      </c>
    </row>
    <row r="195" spans="1:17" ht="164.25" customHeight="1" x14ac:dyDescent="0.25">
      <c r="A195" s="222"/>
      <c r="B195" s="220"/>
      <c r="C195" s="9" t="s">
        <v>111</v>
      </c>
      <c r="D195" s="16" t="s">
        <v>101</v>
      </c>
      <c r="E195" s="25">
        <v>147</v>
      </c>
      <c r="F195" s="25">
        <v>110</v>
      </c>
      <c r="G195" s="25">
        <v>115</v>
      </c>
      <c r="H195" s="18">
        <v>3829.24</v>
      </c>
      <c r="I195" s="18">
        <v>4783.41</v>
      </c>
      <c r="J195" s="18" t="s">
        <v>104</v>
      </c>
      <c r="K195" s="18" t="s">
        <v>104</v>
      </c>
      <c r="L195" s="26">
        <f>SUM(M195:O195)</f>
        <v>703161.27</v>
      </c>
      <c r="M195" s="26">
        <f>I195*E195</f>
        <v>703161.27</v>
      </c>
      <c r="N195" s="26" t="s">
        <v>104</v>
      </c>
      <c r="O195" s="37" t="s">
        <v>104</v>
      </c>
      <c r="P195" s="14">
        <f t="shared" si="98"/>
        <v>421216.39999999997</v>
      </c>
      <c r="Q195" s="14">
        <f t="shared" si="99"/>
        <v>440362.6</v>
      </c>
    </row>
    <row r="196" spans="1:17" ht="15" x14ac:dyDescent="0.25">
      <c r="A196" s="222"/>
      <c r="B196" s="29"/>
      <c r="C196" s="21" t="s">
        <v>106</v>
      </c>
      <c r="D196" s="29"/>
      <c r="E196" s="25">
        <f>SUM(E194:E195)</f>
        <v>300</v>
      </c>
      <c r="F196" s="25">
        <f t="shared" ref="F196:G196" si="102">SUM(F194:F195)</f>
        <v>266</v>
      </c>
      <c r="G196" s="25">
        <f t="shared" si="102"/>
        <v>277</v>
      </c>
      <c r="H196" s="25" t="s">
        <v>104</v>
      </c>
      <c r="I196" s="25" t="s">
        <v>104</v>
      </c>
      <c r="J196" s="25" t="s">
        <v>104</v>
      </c>
      <c r="K196" s="25">
        <f t="shared" ref="K196:Q196" si="103">SUM(K194:K195)</f>
        <v>0</v>
      </c>
      <c r="L196" s="25">
        <f>SUM(L194:L195)</f>
        <v>1232721.81</v>
      </c>
      <c r="M196" s="25">
        <f>SUM(M194:M195)</f>
        <v>1232721.81</v>
      </c>
      <c r="N196" s="25">
        <f t="shared" si="103"/>
        <v>0</v>
      </c>
      <c r="O196" s="25">
        <f t="shared" si="103"/>
        <v>0</v>
      </c>
      <c r="P196" s="25">
        <f t="shared" si="103"/>
        <v>961160.48</v>
      </c>
      <c r="Q196" s="25">
        <f t="shared" si="103"/>
        <v>1001073.7599999999</v>
      </c>
    </row>
    <row r="197" spans="1:17" ht="14.25" x14ac:dyDescent="0.2">
      <c r="A197" s="222"/>
      <c r="B197" s="30" t="s">
        <v>112</v>
      </c>
      <c r="C197" s="30"/>
      <c r="D197" s="29"/>
      <c r="E197" s="29"/>
      <c r="F197" s="29"/>
      <c r="G197" s="29"/>
      <c r="H197" s="29"/>
      <c r="I197" s="29"/>
      <c r="J197" s="29"/>
      <c r="K197" s="29"/>
      <c r="L197" s="29">
        <f>L186+L191+L193+L196</f>
        <v>15938128.856999999</v>
      </c>
      <c r="M197" s="29">
        <f t="shared" ref="M197:Q197" si="104">M186+M191+M193+M196</f>
        <v>11448395.310000001</v>
      </c>
      <c r="N197" s="29">
        <f t="shared" si="104"/>
        <v>875632.49699999997</v>
      </c>
      <c r="O197" s="29">
        <f t="shared" si="104"/>
        <v>3614101.05</v>
      </c>
      <c r="P197" s="29">
        <f t="shared" si="104"/>
        <v>17665776.350000001</v>
      </c>
      <c r="Q197" s="29">
        <f t="shared" si="104"/>
        <v>20728437.989999998</v>
      </c>
    </row>
    <row r="198" spans="1:17" ht="30" customHeight="1" x14ac:dyDescent="0.25">
      <c r="A198" s="55" t="s">
        <v>156</v>
      </c>
    </row>
    <row r="199" spans="1:17" ht="30" x14ac:dyDescent="0.2">
      <c r="A199" s="43" t="s">
        <v>3</v>
      </c>
      <c r="B199" s="43" t="s">
        <v>81</v>
      </c>
      <c r="C199" s="43" t="s">
        <v>4</v>
      </c>
      <c r="D199" s="230" t="s">
        <v>5</v>
      </c>
      <c r="E199" s="230"/>
      <c r="F199" s="230"/>
      <c r="G199" s="231" t="s">
        <v>6</v>
      </c>
      <c r="H199" s="231" t="s">
        <v>7</v>
      </c>
      <c r="I199" s="231"/>
      <c r="J199" s="231"/>
    </row>
    <row r="200" spans="1:17" ht="15" x14ac:dyDescent="0.2">
      <c r="A200" s="45"/>
      <c r="B200" s="45"/>
      <c r="C200" s="45"/>
      <c r="D200" s="50" t="s">
        <v>8</v>
      </c>
      <c r="E200" s="50" t="s">
        <v>9</v>
      </c>
      <c r="F200" s="50" t="s">
        <v>10</v>
      </c>
      <c r="G200" s="231"/>
      <c r="H200" s="50">
        <v>2016</v>
      </c>
      <c r="I200" s="50" t="s">
        <v>9</v>
      </c>
      <c r="J200" s="50" t="s">
        <v>10</v>
      </c>
    </row>
    <row r="201" spans="1:17" ht="75" x14ac:dyDescent="0.25">
      <c r="A201" s="42" t="s">
        <v>13</v>
      </c>
      <c r="B201" s="42" t="s">
        <v>14</v>
      </c>
      <c r="C201" s="43" t="s">
        <v>15</v>
      </c>
      <c r="D201" s="42" t="s">
        <v>16</v>
      </c>
      <c r="E201" s="42" t="s">
        <v>16</v>
      </c>
      <c r="F201" s="42" t="s">
        <v>16</v>
      </c>
      <c r="G201" s="43" t="s">
        <v>17</v>
      </c>
      <c r="H201" s="43" t="s">
        <v>17</v>
      </c>
      <c r="I201" s="43" t="s">
        <v>17</v>
      </c>
      <c r="J201" s="43" t="s">
        <v>17</v>
      </c>
    </row>
    <row r="202" spans="1:17" ht="15" x14ac:dyDescent="0.25">
      <c r="A202" s="58" t="s">
        <v>157</v>
      </c>
      <c r="B202" s="45"/>
      <c r="C202" s="45"/>
      <c r="D202" s="45">
        <f>SUM(D203:D204)</f>
        <v>1550</v>
      </c>
      <c r="E202" s="45">
        <f>SUM(E203:E204)</f>
        <v>1550</v>
      </c>
      <c r="F202" s="45">
        <f>SUM(F203:F204)</f>
        <v>1550</v>
      </c>
      <c r="G202" s="45"/>
      <c r="H202" s="56">
        <f>H203+H204</f>
        <v>22307310</v>
      </c>
      <c r="I202" s="56">
        <f>I203+I204</f>
        <v>22307310</v>
      </c>
      <c r="J202" s="56">
        <f>J203+J204</f>
        <v>22307310</v>
      </c>
    </row>
    <row r="203" spans="1:17" ht="86.25" customHeight="1" x14ac:dyDescent="0.25">
      <c r="A203" s="228"/>
      <c r="B203" s="43" t="s">
        <v>158</v>
      </c>
      <c r="C203" s="45" t="s">
        <v>20</v>
      </c>
      <c r="D203" s="48">
        <v>1300</v>
      </c>
      <c r="E203" s="48">
        <v>1300</v>
      </c>
      <c r="F203" s="48">
        <v>1300</v>
      </c>
      <c r="G203" s="46">
        <v>16584.45</v>
      </c>
      <c r="H203" s="46">
        <f>G203*D203</f>
        <v>21559785</v>
      </c>
      <c r="I203" s="46">
        <f>H203</f>
        <v>21559785</v>
      </c>
      <c r="J203" s="46">
        <f>I203</f>
        <v>21559785</v>
      </c>
    </row>
    <row r="204" spans="1:17" ht="63" customHeight="1" x14ac:dyDescent="0.25">
      <c r="A204" s="229"/>
      <c r="B204" s="57" t="s">
        <v>159</v>
      </c>
      <c r="C204" s="45" t="s">
        <v>20</v>
      </c>
      <c r="D204" s="44">
        <v>250</v>
      </c>
      <c r="E204" s="44">
        <v>250</v>
      </c>
      <c r="F204" s="44">
        <v>250</v>
      </c>
      <c r="G204" s="46">
        <v>2990.1</v>
      </c>
      <c r="H204" s="46">
        <f>G204*D204</f>
        <v>747525</v>
      </c>
      <c r="I204" s="46">
        <f t="shared" ref="I204:J205" si="105">H204</f>
        <v>747525</v>
      </c>
      <c r="J204" s="46">
        <f t="shared" si="105"/>
        <v>747525</v>
      </c>
    </row>
    <row r="205" spans="1:17" ht="78.75" customHeight="1" x14ac:dyDescent="0.25">
      <c r="A205" s="50" t="s">
        <v>160</v>
      </c>
      <c r="B205" s="43" t="s">
        <v>158</v>
      </c>
      <c r="C205" s="45" t="s">
        <v>20</v>
      </c>
      <c r="D205" s="48">
        <v>411</v>
      </c>
      <c r="E205" s="48">
        <v>411</v>
      </c>
      <c r="F205" s="48">
        <v>411</v>
      </c>
      <c r="G205" s="46">
        <v>12267.68</v>
      </c>
      <c r="H205" s="46">
        <f>G205*D205</f>
        <v>5042016.4800000004</v>
      </c>
      <c r="I205" s="46">
        <f t="shared" si="105"/>
        <v>5042016.4800000004</v>
      </c>
      <c r="J205" s="46">
        <f t="shared" si="105"/>
        <v>5042016.4800000004</v>
      </c>
    </row>
    <row r="208" spans="1:17" x14ac:dyDescent="0.2">
      <c r="A208" s="54" t="s">
        <v>161</v>
      </c>
    </row>
  </sheetData>
  <sheetProtection password="CF7A" sheet="1" objects="1" scenarios="1"/>
  <mergeCells count="45">
    <mergeCell ref="A203:A204"/>
    <mergeCell ref="D199:F199"/>
    <mergeCell ref="G199:G200"/>
    <mergeCell ref="H199:J199"/>
    <mergeCell ref="E6:G6"/>
    <mergeCell ref="H6:K6"/>
    <mergeCell ref="B132:B135"/>
    <mergeCell ref="B136:B138"/>
    <mergeCell ref="B140:B142"/>
    <mergeCell ref="B144:B145"/>
    <mergeCell ref="A116:A131"/>
    <mergeCell ref="B116:B119"/>
    <mergeCell ref="B120:B122"/>
    <mergeCell ref="B124:B126"/>
    <mergeCell ref="B128:B129"/>
    <mergeCell ref="A183:A197"/>
    <mergeCell ref="L6:Q6"/>
    <mergeCell ref="L7:O7"/>
    <mergeCell ref="A3:Q3"/>
    <mergeCell ref="L97:Q97"/>
    <mergeCell ref="A100:A115"/>
    <mergeCell ref="B100:B103"/>
    <mergeCell ref="B104:B106"/>
    <mergeCell ref="B108:B110"/>
    <mergeCell ref="B112:B113"/>
    <mergeCell ref="A97:A98"/>
    <mergeCell ref="B97:B98"/>
    <mergeCell ref="D97:D98"/>
    <mergeCell ref="E97:G97"/>
    <mergeCell ref="H97:K97"/>
    <mergeCell ref="B183:B186"/>
    <mergeCell ref="B187:B189"/>
    <mergeCell ref="B194:B195"/>
    <mergeCell ref="A96:C96"/>
    <mergeCell ref="A164:A182"/>
    <mergeCell ref="B164:B166"/>
    <mergeCell ref="B169:B172"/>
    <mergeCell ref="B175:B177"/>
    <mergeCell ref="B179:B180"/>
    <mergeCell ref="A148:A163"/>
    <mergeCell ref="B148:B151"/>
    <mergeCell ref="B152:B154"/>
    <mergeCell ref="B156:B158"/>
    <mergeCell ref="B160:B161"/>
    <mergeCell ref="A132:A147"/>
  </mergeCells>
  <pageMargins left="0.51181102362204722" right="0.11811023622047245" top="0.15748031496062992" bottom="0.15748031496062992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71"/>
  <sheetViews>
    <sheetView zoomScale="80" zoomScaleNormal="80" workbookViewId="0">
      <selection activeCell="T50" sqref="T50"/>
    </sheetView>
  </sheetViews>
  <sheetFormatPr defaultColWidth="9.140625" defaultRowHeight="15" x14ac:dyDescent="0.25"/>
  <cols>
    <col min="1" max="1" width="19.42578125" style="80" customWidth="1"/>
    <col min="2" max="2" width="19.85546875" style="80" customWidth="1"/>
    <col min="3" max="3" width="23.7109375" style="80" customWidth="1"/>
    <col min="4" max="4" width="8.7109375" style="80" customWidth="1"/>
    <col min="5" max="5" width="18.28515625" style="80" hidden="1" customWidth="1"/>
    <col min="6" max="6" width="13.28515625" style="80" hidden="1" customWidth="1"/>
    <col min="7" max="7" width="14" style="80" customWidth="1"/>
    <col min="8" max="9" width="12.7109375" style="80" customWidth="1"/>
    <col min="10" max="10" width="17.28515625" style="80" customWidth="1"/>
    <col min="11" max="11" width="16" style="80" customWidth="1"/>
    <col min="12" max="12" width="13.85546875" style="80" customWidth="1"/>
    <col min="13" max="13" width="13.5703125" style="80" customWidth="1"/>
    <col min="14" max="14" width="16.7109375" style="80" customWidth="1"/>
    <col min="15" max="16" width="15.42578125" style="80" customWidth="1"/>
    <col min="17" max="19" width="14.7109375" style="80" customWidth="1"/>
    <col min="20" max="20" width="14.28515625" style="80" customWidth="1"/>
    <col min="21" max="21" width="14.140625" style="80" customWidth="1"/>
    <col min="22" max="22" width="14.85546875" style="80" bestFit="1" customWidth="1"/>
    <col min="23" max="23" width="15.28515625" style="80" customWidth="1"/>
    <col min="24" max="24" width="13.5703125" style="80" bestFit="1" customWidth="1"/>
    <col min="25" max="25" width="9.42578125" style="80" bestFit="1" customWidth="1"/>
    <col min="26" max="16384" width="9.140625" style="80"/>
  </cols>
  <sheetData>
    <row r="1" spans="1:24" x14ac:dyDescent="0.25">
      <c r="T1" s="117" t="s">
        <v>203</v>
      </c>
    </row>
    <row r="2" spans="1:24" x14ac:dyDescent="0.25">
      <c r="T2" s="117" t="s">
        <v>204</v>
      </c>
    </row>
    <row r="3" spans="1:24" x14ac:dyDescent="0.25">
      <c r="T3" s="117" t="s">
        <v>175</v>
      </c>
    </row>
    <row r="4" spans="1:24" x14ac:dyDescent="0.25">
      <c r="T4" s="117" t="s">
        <v>189</v>
      </c>
    </row>
    <row r="5" spans="1:24" x14ac:dyDescent="0.25">
      <c r="A5" s="241" t="s">
        <v>207</v>
      </c>
      <c r="B5" s="241"/>
      <c r="C5" s="242"/>
      <c r="D5" s="241"/>
      <c r="E5" s="241"/>
      <c r="F5" s="242"/>
      <c r="G5" s="242"/>
      <c r="H5" s="241"/>
      <c r="I5" s="241"/>
      <c r="J5" s="241"/>
      <c r="K5" s="242"/>
      <c r="L5" s="241"/>
      <c r="M5" s="241"/>
      <c r="N5" s="241"/>
      <c r="O5" s="241"/>
      <c r="P5" s="242"/>
      <c r="Q5" s="242"/>
      <c r="R5" s="242"/>
      <c r="S5" s="242"/>
      <c r="T5" s="241"/>
      <c r="U5" s="241"/>
      <c r="V5" s="241"/>
    </row>
    <row r="6" spans="1:24" ht="36.75" customHeight="1" x14ac:dyDescent="0.25">
      <c r="A6" s="81" t="s">
        <v>155</v>
      </c>
    </row>
    <row r="8" spans="1:24" ht="49.15" customHeight="1" x14ac:dyDescent="0.25">
      <c r="A8" s="132" t="s">
        <v>3</v>
      </c>
      <c r="B8" s="109" t="s">
        <v>81</v>
      </c>
      <c r="C8" s="109" t="s">
        <v>152</v>
      </c>
      <c r="D8" s="109" t="s">
        <v>4</v>
      </c>
      <c r="E8" s="133" t="s">
        <v>5</v>
      </c>
      <c r="F8" s="134"/>
      <c r="G8" s="134"/>
      <c r="H8" s="134"/>
      <c r="I8" s="135"/>
      <c r="J8" s="243" t="s">
        <v>6</v>
      </c>
      <c r="K8" s="244"/>
      <c r="L8" s="244"/>
      <c r="M8" s="245"/>
      <c r="N8" s="234" t="s">
        <v>7</v>
      </c>
      <c r="O8" s="234"/>
      <c r="P8" s="234"/>
      <c r="Q8" s="234"/>
      <c r="R8" s="234"/>
      <c r="S8" s="234"/>
      <c r="T8" s="234"/>
      <c r="U8" s="234"/>
      <c r="V8" s="234"/>
    </row>
    <row r="9" spans="1:24" x14ac:dyDescent="0.25">
      <c r="A9" s="109"/>
      <c r="B9" s="109"/>
      <c r="C9" s="109"/>
      <c r="D9" s="109"/>
      <c r="E9" s="248"/>
      <c r="F9" s="249"/>
      <c r="G9" s="250"/>
      <c r="H9" s="108"/>
      <c r="I9" s="108"/>
      <c r="J9" s="142"/>
      <c r="K9" s="142"/>
      <c r="L9" s="142"/>
      <c r="M9" s="142"/>
      <c r="N9" s="243"/>
      <c r="O9" s="253"/>
      <c r="P9" s="253"/>
      <c r="Q9" s="253"/>
      <c r="R9" s="253"/>
      <c r="S9" s="253"/>
      <c r="T9" s="254"/>
      <c r="U9" s="109"/>
      <c r="V9" s="109"/>
    </row>
    <row r="10" spans="1:24" ht="60" x14ac:dyDescent="0.25">
      <c r="A10" s="82"/>
      <c r="B10" s="82"/>
      <c r="C10" s="82"/>
      <c r="D10" s="82"/>
      <c r="E10" s="153" t="s">
        <v>176</v>
      </c>
      <c r="F10" s="155" t="s">
        <v>208</v>
      </c>
      <c r="G10" s="158" t="s">
        <v>212</v>
      </c>
      <c r="H10" s="154" t="s">
        <v>183</v>
      </c>
      <c r="I10" s="154" t="s">
        <v>205</v>
      </c>
      <c r="J10" s="83" t="s">
        <v>79</v>
      </c>
      <c r="K10" s="142" t="s">
        <v>80</v>
      </c>
      <c r="L10" s="159" t="s">
        <v>11</v>
      </c>
      <c r="M10" s="143" t="s">
        <v>12</v>
      </c>
      <c r="N10" s="246" t="s">
        <v>176</v>
      </c>
      <c r="O10" s="246"/>
      <c r="P10" s="246"/>
      <c r="Q10" s="246"/>
      <c r="R10" s="246"/>
      <c r="S10" s="246"/>
      <c r="T10" s="246"/>
      <c r="U10" s="154" t="s">
        <v>183</v>
      </c>
      <c r="V10" s="154" t="s">
        <v>205</v>
      </c>
    </row>
    <row r="11" spans="1:24" ht="63" customHeight="1" x14ac:dyDescent="0.25">
      <c r="A11" s="83" t="s">
        <v>13</v>
      </c>
      <c r="B11" s="83" t="s">
        <v>14</v>
      </c>
      <c r="C11" s="83"/>
      <c r="D11" s="109" t="s">
        <v>15</v>
      </c>
      <c r="E11" s="83" t="s">
        <v>16</v>
      </c>
      <c r="F11" s="83" t="s">
        <v>16</v>
      </c>
      <c r="G11" s="83" t="s">
        <v>16</v>
      </c>
      <c r="H11" s="83" t="s">
        <v>16</v>
      </c>
      <c r="I11" s="83" t="s">
        <v>16</v>
      </c>
      <c r="J11" s="142" t="s">
        <v>17</v>
      </c>
      <c r="K11" s="142" t="s">
        <v>17</v>
      </c>
      <c r="L11" s="160" t="s">
        <v>17</v>
      </c>
      <c r="M11" s="142" t="s">
        <v>17</v>
      </c>
      <c r="N11" s="109" t="s">
        <v>85</v>
      </c>
      <c r="O11" s="132" t="s">
        <v>83</v>
      </c>
      <c r="P11" s="178" t="s">
        <v>222</v>
      </c>
      <c r="Q11" s="120" t="s">
        <v>84</v>
      </c>
      <c r="R11" s="178" t="s">
        <v>223</v>
      </c>
      <c r="S11" s="174" t="s">
        <v>221</v>
      </c>
      <c r="T11" s="116" t="s">
        <v>12</v>
      </c>
      <c r="U11" s="109" t="s">
        <v>17</v>
      </c>
      <c r="V11" s="109" t="s">
        <v>17</v>
      </c>
    </row>
    <row r="12" spans="1:24" x14ac:dyDescent="0.25">
      <c r="A12" s="113" t="s">
        <v>18</v>
      </c>
      <c r="B12" s="82"/>
      <c r="C12" s="82"/>
      <c r="D12" s="82"/>
      <c r="E12" s="72"/>
      <c r="F12" s="72"/>
      <c r="G12" s="72"/>
      <c r="H12" s="72"/>
      <c r="I12" s="72"/>
      <c r="J12" s="75"/>
      <c r="K12" s="75"/>
      <c r="L12" s="156"/>
      <c r="M12" s="75"/>
      <c r="N12" s="78">
        <f>N13+N18</f>
        <v>6603084.7400000002</v>
      </c>
      <c r="O12" s="78">
        <f>O13+O18</f>
        <v>1481406.96</v>
      </c>
      <c r="P12" s="78"/>
      <c r="Q12" s="181">
        <f>Q13+Q18</f>
        <v>5010790.0999999996</v>
      </c>
      <c r="R12" s="181"/>
      <c r="S12" s="78"/>
      <c r="T12" s="78">
        <f>T13+T18</f>
        <v>13095281.800000001</v>
      </c>
      <c r="U12" s="78">
        <f>U13+U18</f>
        <v>13095281.799999999</v>
      </c>
      <c r="V12" s="78">
        <f>V13+V18</f>
        <v>13095281.799999999</v>
      </c>
    </row>
    <row r="13" spans="1:24" ht="85.5" x14ac:dyDescent="0.25">
      <c r="A13" s="84"/>
      <c r="B13" s="84" t="s">
        <v>76</v>
      </c>
      <c r="C13" s="84"/>
      <c r="D13" s="82"/>
      <c r="E13" s="72"/>
      <c r="F13" s="72"/>
      <c r="G13" s="72"/>
      <c r="H13" s="72"/>
      <c r="I13" s="72"/>
      <c r="J13" s="75"/>
      <c r="K13" s="75"/>
      <c r="L13" s="156"/>
      <c r="M13" s="75"/>
      <c r="N13" s="75">
        <f>N14+N15+N17+N16</f>
        <v>6603084.7400000002</v>
      </c>
      <c r="O13" s="75">
        <f>O14+O15+O17+O16</f>
        <v>1481406.96</v>
      </c>
      <c r="P13" s="75"/>
      <c r="Q13" s="75">
        <f>Q14+Q15+Q17+Q16</f>
        <v>3769237.58</v>
      </c>
      <c r="R13" s="75"/>
      <c r="S13" s="75">
        <v>0</v>
      </c>
      <c r="T13" s="75">
        <f t="shared" ref="T13:V13" si="0">T14+T15+T17+T16</f>
        <v>11853729.280000001</v>
      </c>
      <c r="U13" s="75">
        <f>U14+U15+U17+U16</f>
        <v>11853729.279999999</v>
      </c>
      <c r="V13" s="75">
        <f t="shared" si="0"/>
        <v>11853729.279999999</v>
      </c>
      <c r="X13" s="85"/>
    </row>
    <row r="14" spans="1:24" ht="105" x14ac:dyDescent="0.25">
      <c r="A14" s="83"/>
      <c r="B14" s="97" t="s">
        <v>19</v>
      </c>
      <c r="C14" s="93" t="s">
        <v>0</v>
      </c>
      <c r="D14" s="86" t="s">
        <v>20</v>
      </c>
      <c r="E14" s="87">
        <v>27</v>
      </c>
      <c r="F14" s="87">
        <v>27</v>
      </c>
      <c r="G14" s="87">
        <f>(E14*8+F14*4)/12</f>
        <v>27</v>
      </c>
      <c r="H14" s="87">
        <v>27</v>
      </c>
      <c r="I14" s="87">
        <v>27</v>
      </c>
      <c r="J14" s="75">
        <v>49378.38</v>
      </c>
      <c r="K14" s="75">
        <v>12142.68</v>
      </c>
      <c r="L14" s="156">
        <v>30895.39</v>
      </c>
      <c r="M14" s="75">
        <f>J14+K14+L14</f>
        <v>92416.45</v>
      </c>
      <c r="N14" s="75">
        <f>G14*J14</f>
        <v>1333216.26</v>
      </c>
      <c r="O14" s="75">
        <f>G14*K14</f>
        <v>327852.36</v>
      </c>
      <c r="P14" s="75"/>
      <c r="Q14" s="75">
        <f>G14*L14</f>
        <v>834175.53</v>
      </c>
      <c r="R14" s="75"/>
      <c r="S14" s="75">
        <v>0</v>
      </c>
      <c r="T14" s="75">
        <f>SUM(N14:Q14)</f>
        <v>2495244.1500000004</v>
      </c>
      <c r="U14" s="75">
        <f>H14*M14</f>
        <v>2495244.15</v>
      </c>
      <c r="V14" s="75">
        <f>I14*M14</f>
        <v>2495244.15</v>
      </c>
      <c r="X14" s="85"/>
    </row>
    <row r="15" spans="1:24" x14ac:dyDescent="0.25">
      <c r="A15" s="88"/>
      <c r="B15" s="97" t="s">
        <v>24</v>
      </c>
      <c r="C15" s="127"/>
      <c r="D15" s="112" t="s">
        <v>20</v>
      </c>
      <c r="E15" s="87">
        <v>54</v>
      </c>
      <c r="F15" s="87">
        <v>54</v>
      </c>
      <c r="G15" s="87">
        <f>(E15*8+F15*4)/12</f>
        <v>54</v>
      </c>
      <c r="H15" s="87">
        <v>54</v>
      </c>
      <c r="I15" s="87">
        <v>54</v>
      </c>
      <c r="J15" s="75">
        <v>39098.57</v>
      </c>
      <c r="K15" s="75">
        <v>12142.68</v>
      </c>
      <c r="L15" s="156">
        <v>30895.39</v>
      </c>
      <c r="M15" s="75">
        <f>J15+K15+L15</f>
        <v>82136.639999999999</v>
      </c>
      <c r="N15" s="75">
        <f>G15*J15</f>
        <v>2111322.7799999998</v>
      </c>
      <c r="O15" s="75">
        <f>G15*K15</f>
        <v>655704.72</v>
      </c>
      <c r="P15" s="75"/>
      <c r="Q15" s="75">
        <f>G15*L15</f>
        <v>1668351.06</v>
      </c>
      <c r="R15" s="75"/>
      <c r="S15" s="75">
        <v>0</v>
      </c>
      <c r="T15" s="75">
        <f>SUM(N15:Q15)</f>
        <v>4435378.5600000005</v>
      </c>
      <c r="U15" s="75">
        <f>H15*M15</f>
        <v>4435378.5599999996</v>
      </c>
      <c r="V15" s="75">
        <f>I15*M15</f>
        <v>4435378.5599999996</v>
      </c>
      <c r="X15" s="85"/>
    </row>
    <row r="16" spans="1:24" ht="105" x14ac:dyDescent="0.25">
      <c r="A16" s="88"/>
      <c r="B16" s="97" t="s">
        <v>24</v>
      </c>
      <c r="C16" s="93" t="s">
        <v>179</v>
      </c>
      <c r="D16" s="126" t="s">
        <v>20</v>
      </c>
      <c r="E16" s="87">
        <v>41</v>
      </c>
      <c r="F16" s="87">
        <v>41</v>
      </c>
      <c r="G16" s="87">
        <f>(E16*8+F16*4)/12</f>
        <v>41</v>
      </c>
      <c r="H16" s="87">
        <v>41</v>
      </c>
      <c r="I16" s="87">
        <v>41</v>
      </c>
      <c r="J16" s="75">
        <v>77037.7</v>
      </c>
      <c r="K16" s="75">
        <v>12142.68</v>
      </c>
      <c r="L16" s="156">
        <v>30895.39</v>
      </c>
      <c r="M16" s="75">
        <f>J16+K16+L16</f>
        <v>120075.77</v>
      </c>
      <c r="N16" s="75">
        <f>G16*J16</f>
        <v>3158545.6999999997</v>
      </c>
      <c r="O16" s="75">
        <f>G16*K16</f>
        <v>497849.88</v>
      </c>
      <c r="P16" s="75"/>
      <c r="Q16" s="75">
        <f>G16*L16</f>
        <v>1266710.99</v>
      </c>
      <c r="R16" s="75"/>
      <c r="S16" s="75">
        <v>0</v>
      </c>
      <c r="T16" s="75">
        <f>SUM(N16:Q16)</f>
        <v>4923106.5699999994</v>
      </c>
      <c r="U16" s="75">
        <f>H16*M16</f>
        <v>4923106.57</v>
      </c>
      <c r="V16" s="75">
        <f>I16*M16</f>
        <v>4923106.57</v>
      </c>
      <c r="X16" s="85"/>
    </row>
    <row r="17" spans="1:24" ht="120" x14ac:dyDescent="0.25">
      <c r="A17" s="88"/>
      <c r="B17" s="97" t="s">
        <v>24</v>
      </c>
      <c r="C17" s="93" t="s">
        <v>162</v>
      </c>
      <c r="D17" s="112" t="s">
        <v>20</v>
      </c>
      <c r="E17" s="87">
        <v>0</v>
      </c>
      <c r="F17" s="87">
        <v>0</v>
      </c>
      <c r="G17" s="87">
        <f>(E17*8+F17*4)/12</f>
        <v>0</v>
      </c>
      <c r="H17" s="87">
        <v>0</v>
      </c>
      <c r="I17" s="87">
        <v>0</v>
      </c>
      <c r="J17" s="75">
        <v>57312.38</v>
      </c>
      <c r="K17" s="75">
        <v>12142.68</v>
      </c>
      <c r="L17" s="156">
        <v>30895.39</v>
      </c>
      <c r="M17" s="75">
        <f>J17+K17+L17</f>
        <v>100350.45</v>
      </c>
      <c r="N17" s="75">
        <f>G17*J17</f>
        <v>0</v>
      </c>
      <c r="O17" s="75">
        <f>G17*K17</f>
        <v>0</v>
      </c>
      <c r="P17" s="75"/>
      <c r="Q17" s="75">
        <f>G17*L17</f>
        <v>0</v>
      </c>
      <c r="R17" s="75"/>
      <c r="S17" s="75">
        <v>0</v>
      </c>
      <c r="T17" s="75">
        <f t="shared" ref="T17:T95" si="1">SUM(N17:Q17)</f>
        <v>0</v>
      </c>
      <c r="U17" s="75">
        <f t="shared" ref="U17:U95" si="2">H17*M17</f>
        <v>0</v>
      </c>
      <c r="V17" s="75">
        <f t="shared" ref="V17:V95" si="3">I17*M17</f>
        <v>0</v>
      </c>
      <c r="X17" s="85"/>
    </row>
    <row r="18" spans="1:24" x14ac:dyDescent="0.25">
      <c r="A18" s="112"/>
      <c r="B18" s="112" t="s">
        <v>28</v>
      </c>
      <c r="C18" s="127" t="s">
        <v>219</v>
      </c>
      <c r="D18" s="82"/>
      <c r="E18" s="87">
        <f>E17+E16+E15+E14</f>
        <v>122</v>
      </c>
      <c r="F18" s="87">
        <f>F17+F16+F15+F14</f>
        <v>122</v>
      </c>
      <c r="G18" s="87">
        <f>(E18*8+F18*4)/12</f>
        <v>122</v>
      </c>
      <c r="H18" s="87">
        <f>H17+H16+H15+H14</f>
        <v>122</v>
      </c>
      <c r="I18" s="87">
        <f>I17+I16+I15+I14</f>
        <v>122</v>
      </c>
      <c r="J18" s="75">
        <v>0</v>
      </c>
      <c r="K18" s="75"/>
      <c r="L18" s="162">
        <v>10176.66</v>
      </c>
      <c r="M18" s="75">
        <f>J18+K18+L18</f>
        <v>10176.66</v>
      </c>
      <c r="N18" s="75">
        <f t="shared" ref="N18" si="4">E18*J18</f>
        <v>0</v>
      </c>
      <c r="O18" s="75">
        <f t="shared" ref="O18" si="5">G18*K18</f>
        <v>0</v>
      </c>
      <c r="P18" s="75"/>
      <c r="Q18" s="75">
        <f>G18*L18</f>
        <v>1241552.52</v>
      </c>
      <c r="R18" s="75"/>
      <c r="S18" s="75">
        <v>0</v>
      </c>
      <c r="T18" s="75">
        <f>SUM(N18:Q18)</f>
        <v>1241552.52</v>
      </c>
      <c r="U18" s="75">
        <f>H18*M18</f>
        <v>1241552.52</v>
      </c>
      <c r="V18" s="75">
        <f>I18*M18</f>
        <v>1241552.52</v>
      </c>
    </row>
    <row r="19" spans="1:24" x14ac:dyDescent="0.25">
      <c r="A19" s="176"/>
      <c r="B19" s="176" t="s">
        <v>28</v>
      </c>
      <c r="C19" s="127" t="s">
        <v>220</v>
      </c>
      <c r="D19" s="82"/>
      <c r="E19" s="87"/>
      <c r="F19" s="87"/>
      <c r="G19" s="87"/>
      <c r="H19" s="87"/>
      <c r="I19" s="87"/>
      <c r="J19" s="75"/>
      <c r="K19" s="75"/>
      <c r="L19" s="162">
        <v>12248.94</v>
      </c>
      <c r="M19" s="75"/>
      <c r="N19" s="75"/>
      <c r="O19" s="75"/>
      <c r="P19" s="75"/>
      <c r="Q19" s="75"/>
      <c r="R19" s="75"/>
      <c r="S19" s="75">
        <f>G18*L19</f>
        <v>1494370.6800000002</v>
      </c>
      <c r="T19" s="75"/>
      <c r="U19" s="75"/>
      <c r="V19" s="75"/>
    </row>
    <row r="20" spans="1:24" x14ac:dyDescent="0.25">
      <c r="A20" s="89" t="s">
        <v>29</v>
      </c>
      <c r="B20" s="112"/>
      <c r="C20" s="127"/>
      <c r="D20" s="82"/>
      <c r="E20" s="87"/>
      <c r="F20" s="87"/>
      <c r="G20" s="87"/>
      <c r="H20" s="87"/>
      <c r="I20" s="87"/>
      <c r="J20" s="75"/>
      <c r="K20" s="75"/>
      <c r="L20" s="156"/>
      <c r="M20" s="75">
        <f t="shared" ref="M20:M97" si="6">J20+K20+L20</f>
        <v>0</v>
      </c>
      <c r="N20" s="78">
        <f>N21+N23</f>
        <v>2274393.33</v>
      </c>
      <c r="O20" s="78">
        <f t="shared" ref="O20:V20" si="7">O21+O23</f>
        <v>412851.11999999994</v>
      </c>
      <c r="P20" s="78"/>
      <c r="Q20" s="181">
        <f>Q21+Q23</f>
        <v>1396449.7</v>
      </c>
      <c r="R20" s="181"/>
      <c r="S20" s="78">
        <f>S19</f>
        <v>1494370.6800000002</v>
      </c>
      <c r="T20" s="78">
        <f t="shared" si="7"/>
        <v>4083694.15</v>
      </c>
      <c r="U20" s="78">
        <f t="shared" si="7"/>
        <v>4083694.15</v>
      </c>
      <c r="V20" s="78">
        <f t="shared" si="7"/>
        <v>4083694.15</v>
      </c>
    </row>
    <row r="21" spans="1:24" ht="85.5" x14ac:dyDescent="0.25">
      <c r="A21" s="90"/>
      <c r="B21" s="84" t="s">
        <v>76</v>
      </c>
      <c r="C21" s="128"/>
      <c r="D21" s="82"/>
      <c r="E21" s="68"/>
      <c r="F21" s="68"/>
      <c r="G21" s="68"/>
      <c r="H21" s="68"/>
      <c r="I21" s="68"/>
      <c r="J21" s="75"/>
      <c r="K21" s="75"/>
      <c r="L21" s="156"/>
      <c r="M21" s="75">
        <f t="shared" si="6"/>
        <v>0</v>
      </c>
      <c r="N21" s="75">
        <f t="shared" ref="N21:V21" si="8">SUM(N22:N22)</f>
        <v>2274393.33</v>
      </c>
      <c r="O21" s="75">
        <f>SUM(O22:O22)</f>
        <v>412851.11999999994</v>
      </c>
      <c r="P21" s="75"/>
      <c r="Q21" s="75">
        <f t="shared" si="8"/>
        <v>1050443.26</v>
      </c>
      <c r="R21" s="75"/>
      <c r="S21" s="75"/>
      <c r="T21" s="75">
        <f t="shared" si="8"/>
        <v>3737687.71</v>
      </c>
      <c r="U21" s="75">
        <f>SUM(U22:U22)</f>
        <v>3737687.71</v>
      </c>
      <c r="V21" s="75">
        <f t="shared" si="8"/>
        <v>3737687.71</v>
      </c>
    </row>
    <row r="22" spans="1:24" ht="105" x14ac:dyDescent="0.25">
      <c r="A22" s="83"/>
      <c r="B22" s="82"/>
      <c r="C22" s="93" t="s">
        <v>30</v>
      </c>
      <c r="D22" s="112" t="s">
        <v>31</v>
      </c>
      <c r="E22" s="87" t="s">
        <v>188</v>
      </c>
      <c r="F22" s="87" t="s">
        <v>188</v>
      </c>
      <c r="G22" s="87" t="s">
        <v>188</v>
      </c>
      <c r="H22" s="87" t="s">
        <v>188</v>
      </c>
      <c r="I22" s="87" t="s">
        <v>188</v>
      </c>
      <c r="J22" s="75">
        <v>758131.11</v>
      </c>
      <c r="K22" s="75">
        <v>12142.68</v>
      </c>
      <c r="L22" s="46">
        <v>30895.39</v>
      </c>
      <c r="M22" s="46">
        <f>J22+K22+L22</f>
        <v>801169.18</v>
      </c>
      <c r="N22" s="46">
        <f>3*J22</f>
        <v>2274393.33</v>
      </c>
      <c r="O22" s="46">
        <f>((34*12142.68*8)+(34*12142.68*4))/12</f>
        <v>412851.11999999994</v>
      </c>
      <c r="P22" s="46"/>
      <c r="Q22" s="46">
        <f>L22*34</f>
        <v>1050443.26</v>
      </c>
      <c r="R22" s="46"/>
      <c r="S22" s="75"/>
      <c r="T22" s="75">
        <f>SUM(N22:Q22)</f>
        <v>3737687.71</v>
      </c>
      <c r="U22" s="75">
        <f>T22</f>
        <v>3737687.71</v>
      </c>
      <c r="V22" s="75">
        <f>U22</f>
        <v>3737687.71</v>
      </c>
    </row>
    <row r="23" spans="1:24" x14ac:dyDescent="0.25">
      <c r="A23" s="112"/>
      <c r="B23" s="112" t="s">
        <v>28</v>
      </c>
      <c r="C23" s="127"/>
      <c r="D23" s="112" t="s">
        <v>20</v>
      </c>
      <c r="E23" s="87">
        <v>34</v>
      </c>
      <c r="F23" s="87">
        <v>34</v>
      </c>
      <c r="G23" s="87">
        <f>(E23*8+F23*4)/12</f>
        <v>34</v>
      </c>
      <c r="H23" s="87">
        <v>34</v>
      </c>
      <c r="I23" s="87">
        <v>34</v>
      </c>
      <c r="J23" s="75" t="s">
        <v>23</v>
      </c>
      <c r="K23" s="75"/>
      <c r="L23" s="46">
        <v>10176.66</v>
      </c>
      <c r="M23" s="46">
        <f t="shared" si="6"/>
        <v>10176.66</v>
      </c>
      <c r="N23" s="46">
        <f t="shared" ref="N23" si="9">E23*J23</f>
        <v>0</v>
      </c>
      <c r="O23" s="46">
        <f t="shared" ref="O23:O31" si="10">E23*K23</f>
        <v>0</v>
      </c>
      <c r="P23" s="46"/>
      <c r="Q23" s="46">
        <f>G23*L23</f>
        <v>346006.44</v>
      </c>
      <c r="R23" s="46"/>
      <c r="S23" s="75"/>
      <c r="T23" s="75">
        <f t="shared" si="1"/>
        <v>346006.44</v>
      </c>
      <c r="U23" s="75">
        <f>H23*M23</f>
        <v>346006.44</v>
      </c>
      <c r="V23" s="75">
        <f t="shared" si="3"/>
        <v>346006.44</v>
      </c>
    </row>
    <row r="24" spans="1:24" x14ac:dyDescent="0.25">
      <c r="A24" s="176"/>
      <c r="B24" s="176" t="s">
        <v>28</v>
      </c>
      <c r="C24" s="127" t="s">
        <v>219</v>
      </c>
      <c r="D24" s="176"/>
      <c r="E24" s="87"/>
      <c r="F24" s="87"/>
      <c r="G24" s="87"/>
      <c r="H24" s="87"/>
      <c r="I24" s="87"/>
      <c r="J24" s="75"/>
      <c r="K24" s="75"/>
      <c r="L24" s="162">
        <v>12248.94</v>
      </c>
      <c r="M24" s="75"/>
      <c r="N24" s="75"/>
      <c r="O24" s="75"/>
      <c r="P24" s="75"/>
      <c r="Q24" s="75"/>
      <c r="R24" s="75"/>
      <c r="S24" s="75">
        <f>L24*G23</f>
        <v>416463.96</v>
      </c>
      <c r="T24" s="75"/>
      <c r="U24" s="75"/>
      <c r="V24" s="75"/>
    </row>
    <row r="25" spans="1:24" x14ac:dyDescent="0.25">
      <c r="A25" s="113" t="s">
        <v>35</v>
      </c>
      <c r="B25" s="176" t="s">
        <v>28</v>
      </c>
      <c r="C25" s="127" t="s">
        <v>220</v>
      </c>
      <c r="D25" s="91"/>
      <c r="E25" s="92"/>
      <c r="F25" s="92"/>
      <c r="G25" s="92"/>
      <c r="H25" s="92"/>
      <c r="I25" s="92"/>
      <c r="J25" s="78"/>
      <c r="K25" s="78"/>
      <c r="L25" s="161"/>
      <c r="M25" s="78">
        <f t="shared" si="6"/>
        <v>0</v>
      </c>
      <c r="N25" s="78">
        <f>N26+N31</f>
        <v>8172644.0499999998</v>
      </c>
      <c r="O25" s="78">
        <f>O26+O31</f>
        <v>1335694.8</v>
      </c>
      <c r="P25" s="78"/>
      <c r="Q25" s="181">
        <f>Q26+Q31</f>
        <v>4517925.5</v>
      </c>
      <c r="R25" s="181"/>
      <c r="S25" s="78">
        <f>S24</f>
        <v>416463.96</v>
      </c>
      <c r="T25" s="78">
        <f t="shared" ref="T25:V25" si="11">T26+T31</f>
        <v>14026264.35</v>
      </c>
      <c r="U25" s="78">
        <f t="shared" si="11"/>
        <v>14026264.349999998</v>
      </c>
      <c r="V25" s="78">
        <f t="shared" si="11"/>
        <v>14026264.349999998</v>
      </c>
    </row>
    <row r="26" spans="1:24" ht="85.5" x14ac:dyDescent="0.25">
      <c r="A26" s="83"/>
      <c r="B26" s="84" t="s">
        <v>76</v>
      </c>
      <c r="C26" s="128"/>
      <c r="D26" s="82"/>
      <c r="E26" s="68"/>
      <c r="F26" s="68"/>
      <c r="G26" s="68"/>
      <c r="H26" s="68"/>
      <c r="I26" s="68"/>
      <c r="J26" s="75"/>
      <c r="K26" s="75"/>
      <c r="L26" s="156"/>
      <c r="M26" s="75">
        <f t="shared" si="6"/>
        <v>0</v>
      </c>
      <c r="N26" s="75">
        <f>SUM(N27:N30)</f>
        <v>8172644.0499999998</v>
      </c>
      <c r="O26" s="75">
        <f t="shared" ref="O26:V26" si="12">SUM(O27:O30)</f>
        <v>1335694.8</v>
      </c>
      <c r="P26" s="75"/>
      <c r="Q26" s="75">
        <f t="shared" si="12"/>
        <v>3398492.9</v>
      </c>
      <c r="R26" s="75"/>
      <c r="S26" s="75"/>
      <c r="T26" s="75">
        <f t="shared" si="12"/>
        <v>12906831.75</v>
      </c>
      <c r="U26" s="75">
        <f t="shared" si="12"/>
        <v>12906831.749999998</v>
      </c>
      <c r="V26" s="75">
        <f t="shared" si="12"/>
        <v>12906831.749999998</v>
      </c>
    </row>
    <row r="27" spans="1:24" ht="105" x14ac:dyDescent="0.25">
      <c r="A27" s="83"/>
      <c r="B27" s="97" t="s">
        <v>19</v>
      </c>
      <c r="C27" s="93" t="s">
        <v>0</v>
      </c>
      <c r="D27" s="112" t="s">
        <v>20</v>
      </c>
      <c r="E27" s="87">
        <v>0</v>
      </c>
      <c r="F27" s="87">
        <v>0</v>
      </c>
      <c r="G27" s="87">
        <f t="shared" ref="G27:G29" si="13">(E27*8+F27*4)/12</f>
        <v>0</v>
      </c>
      <c r="H27" s="87">
        <v>0</v>
      </c>
      <c r="I27" s="87">
        <v>0</v>
      </c>
      <c r="J27" s="75">
        <v>43138.04</v>
      </c>
      <c r="K27" s="75">
        <v>12142.68</v>
      </c>
      <c r="L27" s="156">
        <v>30895.39</v>
      </c>
      <c r="M27" s="75">
        <f t="shared" si="6"/>
        <v>86176.11</v>
      </c>
      <c r="N27" s="75">
        <f>G27*J27</f>
        <v>0</v>
      </c>
      <c r="O27" s="75">
        <f>G27*K27</f>
        <v>0</v>
      </c>
      <c r="P27" s="75"/>
      <c r="Q27" s="75">
        <f>G27*L27</f>
        <v>0</v>
      </c>
      <c r="R27" s="75"/>
      <c r="S27" s="75"/>
      <c r="T27" s="46">
        <f t="shared" si="1"/>
        <v>0</v>
      </c>
      <c r="U27" s="75">
        <f t="shared" si="2"/>
        <v>0</v>
      </c>
      <c r="V27" s="75">
        <f t="shared" si="3"/>
        <v>0</v>
      </c>
    </row>
    <row r="28" spans="1:24" x14ac:dyDescent="0.25">
      <c r="A28" s="88"/>
      <c r="B28" s="97" t="s">
        <v>24</v>
      </c>
      <c r="C28" s="97"/>
      <c r="D28" s="86" t="s">
        <v>20</v>
      </c>
      <c r="E28" s="87">
        <v>0</v>
      </c>
      <c r="F28" s="87">
        <v>0</v>
      </c>
      <c r="G28" s="87">
        <f t="shared" si="13"/>
        <v>0</v>
      </c>
      <c r="H28" s="87">
        <v>0</v>
      </c>
      <c r="I28" s="87">
        <v>0</v>
      </c>
      <c r="J28" s="75">
        <v>34198.17</v>
      </c>
      <c r="K28" s="75">
        <v>12142.68</v>
      </c>
      <c r="L28" s="156">
        <v>30895.39</v>
      </c>
      <c r="M28" s="75">
        <f t="shared" si="6"/>
        <v>77236.239999999991</v>
      </c>
      <c r="N28" s="75">
        <f>G28*J28</f>
        <v>0</v>
      </c>
      <c r="O28" s="75">
        <f>G28*K28</f>
        <v>0</v>
      </c>
      <c r="P28" s="75"/>
      <c r="Q28" s="75">
        <f>G28*L28</f>
        <v>0</v>
      </c>
      <c r="R28" s="75"/>
      <c r="S28" s="75"/>
      <c r="T28" s="46">
        <f t="shared" si="1"/>
        <v>0</v>
      </c>
      <c r="U28" s="75">
        <f t="shared" si="2"/>
        <v>0</v>
      </c>
      <c r="V28" s="75">
        <f t="shared" si="3"/>
        <v>0</v>
      </c>
    </row>
    <row r="29" spans="1:24" ht="105" x14ac:dyDescent="0.25">
      <c r="A29" s="83"/>
      <c r="B29" s="97" t="s">
        <v>24</v>
      </c>
      <c r="C29" s="93" t="s">
        <v>38</v>
      </c>
      <c r="D29" s="112" t="s">
        <v>20</v>
      </c>
      <c r="E29" s="87">
        <v>29</v>
      </c>
      <c r="F29" s="87">
        <v>29</v>
      </c>
      <c r="G29" s="87">
        <f t="shared" si="13"/>
        <v>29</v>
      </c>
      <c r="H29" s="87">
        <v>29</v>
      </c>
      <c r="I29" s="87">
        <v>29</v>
      </c>
      <c r="J29" s="75">
        <v>142093.57999999999</v>
      </c>
      <c r="K29" s="75">
        <v>12142.68</v>
      </c>
      <c r="L29" s="156">
        <v>30895.39</v>
      </c>
      <c r="M29" s="75">
        <f t="shared" si="6"/>
        <v>185131.64999999997</v>
      </c>
      <c r="N29" s="75">
        <f>G29*J29</f>
        <v>4120713.82</v>
      </c>
      <c r="O29" s="75">
        <f>G29*K29</f>
        <v>352137.72000000003</v>
      </c>
      <c r="P29" s="75"/>
      <c r="Q29" s="75">
        <f>G29*L29</f>
        <v>895966.30999999994</v>
      </c>
      <c r="R29" s="75"/>
      <c r="S29" s="75"/>
      <c r="T29" s="46">
        <f t="shared" si="1"/>
        <v>5368817.8499999996</v>
      </c>
      <c r="U29" s="75">
        <f t="shared" si="2"/>
        <v>5368817.8499999987</v>
      </c>
      <c r="V29" s="75">
        <f t="shared" si="3"/>
        <v>5368817.8499999987</v>
      </c>
    </row>
    <row r="30" spans="1:24" ht="120" x14ac:dyDescent="0.25">
      <c r="A30" s="83"/>
      <c r="B30" s="97" t="s">
        <v>24</v>
      </c>
      <c r="C30" s="93" t="s">
        <v>162</v>
      </c>
      <c r="D30" s="112" t="s">
        <v>20</v>
      </c>
      <c r="E30" s="87">
        <v>81</v>
      </c>
      <c r="F30" s="87">
        <v>81</v>
      </c>
      <c r="G30" s="87">
        <f>(E30*8+F30*4)/12</f>
        <v>81</v>
      </c>
      <c r="H30" s="87">
        <v>81</v>
      </c>
      <c r="I30" s="87">
        <v>81</v>
      </c>
      <c r="J30" s="75">
        <v>50023.83</v>
      </c>
      <c r="K30" s="75">
        <v>12142.68</v>
      </c>
      <c r="L30" s="156">
        <v>30895.39</v>
      </c>
      <c r="M30" s="75">
        <f t="shared" si="6"/>
        <v>93061.9</v>
      </c>
      <c r="N30" s="75">
        <f>G30*J30</f>
        <v>4051930.23</v>
      </c>
      <c r="O30" s="75">
        <f>G30*K30</f>
        <v>983557.08000000007</v>
      </c>
      <c r="P30" s="75"/>
      <c r="Q30" s="75">
        <f>G30*L30</f>
        <v>2502526.59</v>
      </c>
      <c r="R30" s="75"/>
      <c r="S30" s="75"/>
      <c r="T30" s="46">
        <f t="shared" si="1"/>
        <v>7538013.9000000004</v>
      </c>
      <c r="U30" s="75">
        <f t="shared" si="2"/>
        <v>7538013.8999999994</v>
      </c>
      <c r="V30" s="75">
        <f t="shared" si="3"/>
        <v>7538013.8999999994</v>
      </c>
    </row>
    <row r="31" spans="1:24" x14ac:dyDescent="0.25">
      <c r="A31" s="86"/>
      <c r="B31" s="176" t="s">
        <v>28</v>
      </c>
      <c r="C31" s="127" t="s">
        <v>219</v>
      </c>
      <c r="D31" s="112" t="s">
        <v>20</v>
      </c>
      <c r="E31" s="87">
        <f>E30+E29+E28+E27</f>
        <v>110</v>
      </c>
      <c r="F31" s="87">
        <f>F30+F29+F28+F27</f>
        <v>110</v>
      </c>
      <c r="G31" s="87">
        <f>(E31*8+F31*4)/12</f>
        <v>110</v>
      </c>
      <c r="H31" s="87">
        <f>H30+H29+H28+H27</f>
        <v>110</v>
      </c>
      <c r="I31" s="87">
        <f>I30+I29+I28+I27</f>
        <v>110</v>
      </c>
      <c r="J31" s="75" t="s">
        <v>23</v>
      </c>
      <c r="K31" s="75"/>
      <c r="L31" s="162">
        <v>10176.66</v>
      </c>
      <c r="M31" s="75">
        <f t="shared" si="6"/>
        <v>10176.66</v>
      </c>
      <c r="N31" s="75">
        <f t="shared" ref="N31:N61" si="14">E31*J31</f>
        <v>0</v>
      </c>
      <c r="O31" s="75">
        <f t="shared" si="10"/>
        <v>0</v>
      </c>
      <c r="P31" s="75"/>
      <c r="Q31" s="75">
        <f>G31*L31</f>
        <v>1119432.6000000001</v>
      </c>
      <c r="R31" s="75"/>
      <c r="S31" s="75"/>
      <c r="T31" s="46">
        <f>SUM(N31:Q31)</f>
        <v>1119432.6000000001</v>
      </c>
      <c r="U31" s="75">
        <f>H31*M31</f>
        <v>1119432.6000000001</v>
      </c>
      <c r="V31" s="75">
        <f t="shared" si="3"/>
        <v>1119432.6000000001</v>
      </c>
    </row>
    <row r="32" spans="1:24" x14ac:dyDescent="0.25">
      <c r="A32" s="86"/>
      <c r="B32" s="176" t="s">
        <v>28</v>
      </c>
      <c r="C32" s="127" t="s">
        <v>220</v>
      </c>
      <c r="D32" s="176"/>
      <c r="E32" s="87"/>
      <c r="F32" s="87"/>
      <c r="G32" s="87"/>
      <c r="H32" s="87"/>
      <c r="I32" s="87"/>
      <c r="J32" s="75"/>
      <c r="K32" s="75"/>
      <c r="L32" s="162">
        <v>12248.94</v>
      </c>
      <c r="M32" s="75"/>
      <c r="N32" s="75"/>
      <c r="O32" s="75"/>
      <c r="P32" s="75"/>
      <c r="Q32" s="75"/>
      <c r="R32" s="75"/>
      <c r="S32" s="75">
        <f>L32*G31</f>
        <v>1347383.4000000001</v>
      </c>
      <c r="T32" s="46"/>
      <c r="U32" s="75"/>
      <c r="V32" s="75"/>
    </row>
    <row r="33" spans="1:23" x14ac:dyDescent="0.25">
      <c r="A33" s="113" t="s">
        <v>40</v>
      </c>
      <c r="B33" s="94"/>
      <c r="C33" s="94"/>
      <c r="D33" s="94"/>
      <c r="E33" s="92"/>
      <c r="F33" s="92"/>
      <c r="G33" s="92"/>
      <c r="H33" s="92"/>
      <c r="I33" s="92"/>
      <c r="J33" s="78"/>
      <c r="K33" s="78"/>
      <c r="L33" s="161"/>
      <c r="M33" s="78">
        <f t="shared" si="6"/>
        <v>0</v>
      </c>
      <c r="N33" s="78">
        <f>N34+N38</f>
        <v>4610681.3000000007</v>
      </c>
      <c r="O33" s="78">
        <f t="shared" ref="O33:V33" si="15">O34+O38</f>
        <v>1299266.76</v>
      </c>
      <c r="P33" s="78"/>
      <c r="Q33" s="181">
        <f t="shared" si="15"/>
        <v>4394709.3499999996</v>
      </c>
      <c r="R33" s="181"/>
      <c r="S33" s="78">
        <f>S32</f>
        <v>1347383.4000000001</v>
      </c>
      <c r="T33" s="78">
        <f t="shared" si="15"/>
        <v>10304657.409999998</v>
      </c>
      <c r="U33" s="78">
        <f>U34+U38</f>
        <v>10304657.409999998</v>
      </c>
      <c r="V33" s="78">
        <f t="shared" si="15"/>
        <v>10304657.409999998</v>
      </c>
      <c r="W33" s="85">
        <f>T33-U33</f>
        <v>0</v>
      </c>
    </row>
    <row r="34" spans="1:23" ht="85.5" x14ac:dyDescent="0.25">
      <c r="A34" s="83"/>
      <c r="B34" s="84" t="s">
        <v>76</v>
      </c>
      <c r="C34" s="128"/>
      <c r="D34" s="95"/>
      <c r="E34" s="68"/>
      <c r="F34" s="68"/>
      <c r="G34" s="68"/>
      <c r="H34" s="68"/>
      <c r="I34" s="68"/>
      <c r="J34" s="75"/>
      <c r="K34" s="75"/>
      <c r="L34" s="156"/>
      <c r="M34" s="75">
        <f t="shared" si="6"/>
        <v>0</v>
      </c>
      <c r="N34" s="75">
        <f>SUM(N35:N37)</f>
        <v>4610681.3000000007</v>
      </c>
      <c r="O34" s="75">
        <f t="shared" ref="O34:V34" si="16">SUM(O35:O37)</f>
        <v>1299266.76</v>
      </c>
      <c r="P34" s="75"/>
      <c r="Q34" s="75">
        <f t="shared" si="16"/>
        <v>3305806.73</v>
      </c>
      <c r="R34" s="75"/>
      <c r="S34" s="75"/>
      <c r="T34" s="75">
        <f t="shared" si="16"/>
        <v>9215754.7899999991</v>
      </c>
      <c r="U34" s="75">
        <f t="shared" si="16"/>
        <v>9215754.7899999991</v>
      </c>
      <c r="V34" s="75">
        <f t="shared" si="16"/>
        <v>9215754.7899999991</v>
      </c>
    </row>
    <row r="35" spans="1:23" ht="105" x14ac:dyDescent="0.25">
      <c r="A35" s="83"/>
      <c r="B35" s="97" t="s">
        <v>19</v>
      </c>
      <c r="C35" s="93" t="s">
        <v>0</v>
      </c>
      <c r="D35" s="112" t="s">
        <v>20</v>
      </c>
      <c r="E35" s="87">
        <v>25</v>
      </c>
      <c r="F35" s="87">
        <v>25</v>
      </c>
      <c r="G35" s="87">
        <f t="shared" ref="G35:G37" si="17">(E35*8+F35*4)/12</f>
        <v>25</v>
      </c>
      <c r="H35" s="87">
        <v>25</v>
      </c>
      <c r="I35" s="87">
        <v>25</v>
      </c>
      <c r="J35" s="75">
        <v>43138.04</v>
      </c>
      <c r="K35" s="75">
        <v>12142.68</v>
      </c>
      <c r="L35" s="156">
        <v>30895.39</v>
      </c>
      <c r="M35" s="75">
        <f t="shared" si="6"/>
        <v>86176.11</v>
      </c>
      <c r="N35" s="75">
        <f>G35*J35</f>
        <v>1078451</v>
      </c>
      <c r="O35" s="75">
        <f>G35*K35</f>
        <v>303567</v>
      </c>
      <c r="P35" s="75"/>
      <c r="Q35" s="75">
        <f>G35*L35</f>
        <v>772384.75</v>
      </c>
      <c r="R35" s="75"/>
      <c r="S35" s="75"/>
      <c r="T35" s="75">
        <f t="shared" si="1"/>
        <v>2154402.75</v>
      </c>
      <c r="U35" s="75">
        <f t="shared" si="2"/>
        <v>2154402.75</v>
      </c>
      <c r="V35" s="75">
        <f t="shared" si="3"/>
        <v>2154402.75</v>
      </c>
    </row>
    <row r="36" spans="1:23" x14ac:dyDescent="0.25">
      <c r="A36" s="88"/>
      <c r="B36" s="97" t="s">
        <v>24</v>
      </c>
      <c r="C36" s="97"/>
      <c r="D36" s="86" t="s">
        <v>20</v>
      </c>
      <c r="E36" s="87">
        <v>36</v>
      </c>
      <c r="F36" s="87">
        <v>36</v>
      </c>
      <c r="G36" s="87">
        <f t="shared" si="17"/>
        <v>36</v>
      </c>
      <c r="H36" s="87">
        <v>36</v>
      </c>
      <c r="I36" s="87">
        <v>36</v>
      </c>
      <c r="J36" s="75">
        <v>34198.17</v>
      </c>
      <c r="K36" s="75">
        <v>12142.68</v>
      </c>
      <c r="L36" s="156">
        <v>30895.39</v>
      </c>
      <c r="M36" s="75">
        <f t="shared" si="6"/>
        <v>77236.239999999991</v>
      </c>
      <c r="N36" s="75">
        <f>G36*J36</f>
        <v>1231134.1199999999</v>
      </c>
      <c r="O36" s="75">
        <f>G36*K36</f>
        <v>437136.48</v>
      </c>
      <c r="P36" s="75"/>
      <c r="Q36" s="75">
        <f>G36*L36</f>
        <v>1112234.04</v>
      </c>
      <c r="R36" s="75"/>
      <c r="S36" s="75"/>
      <c r="T36" s="75">
        <f t="shared" si="1"/>
        <v>2780504.6399999997</v>
      </c>
      <c r="U36" s="75">
        <f t="shared" si="2"/>
        <v>2780504.6399999997</v>
      </c>
      <c r="V36" s="75">
        <f t="shared" si="3"/>
        <v>2780504.6399999997</v>
      </c>
    </row>
    <row r="37" spans="1:23" ht="120" x14ac:dyDescent="0.25">
      <c r="A37" s="88"/>
      <c r="B37" s="97" t="s">
        <v>24</v>
      </c>
      <c r="C37" s="93" t="s">
        <v>162</v>
      </c>
      <c r="D37" s="112" t="s">
        <v>20</v>
      </c>
      <c r="E37" s="87">
        <v>46</v>
      </c>
      <c r="F37" s="87">
        <v>46</v>
      </c>
      <c r="G37" s="87">
        <f t="shared" si="17"/>
        <v>46</v>
      </c>
      <c r="H37" s="87">
        <v>46</v>
      </c>
      <c r="I37" s="87">
        <v>46</v>
      </c>
      <c r="J37" s="75">
        <v>50023.83</v>
      </c>
      <c r="K37" s="75">
        <v>12142.68</v>
      </c>
      <c r="L37" s="156">
        <v>30895.39</v>
      </c>
      <c r="M37" s="75">
        <f t="shared" si="6"/>
        <v>93061.9</v>
      </c>
      <c r="N37" s="75">
        <f t="shared" ref="N37:N38" si="18">G37*J37</f>
        <v>2301096.1800000002</v>
      </c>
      <c r="O37" s="75">
        <f t="shared" ref="O37:O38" si="19">G37*K37</f>
        <v>558563.28</v>
      </c>
      <c r="P37" s="75"/>
      <c r="Q37" s="75">
        <f>G37*L37</f>
        <v>1421187.94</v>
      </c>
      <c r="R37" s="75"/>
      <c r="S37" s="75"/>
      <c r="T37" s="75">
        <f t="shared" si="1"/>
        <v>4280847.4000000004</v>
      </c>
      <c r="U37" s="75">
        <f t="shared" si="2"/>
        <v>4280847.3999999994</v>
      </c>
      <c r="V37" s="75">
        <f t="shared" si="3"/>
        <v>4280847.3999999994</v>
      </c>
    </row>
    <row r="38" spans="1:23" x14ac:dyDescent="0.25">
      <c r="A38" s="86"/>
      <c r="B38" s="176" t="s">
        <v>28</v>
      </c>
      <c r="C38" s="127" t="s">
        <v>219</v>
      </c>
      <c r="D38" s="86" t="s">
        <v>20</v>
      </c>
      <c r="E38" s="87">
        <f>E37+E36+E35</f>
        <v>107</v>
      </c>
      <c r="F38" s="87">
        <f>F37+F36+F35</f>
        <v>107</v>
      </c>
      <c r="G38" s="87">
        <f>(E38*8+F38*4)/12</f>
        <v>107</v>
      </c>
      <c r="H38" s="87">
        <f>H37+H36+H35</f>
        <v>107</v>
      </c>
      <c r="I38" s="87">
        <f>I37+I36+I35</f>
        <v>107</v>
      </c>
      <c r="J38" s="75" t="s">
        <v>23</v>
      </c>
      <c r="K38" s="75"/>
      <c r="L38" s="162">
        <v>10176.66</v>
      </c>
      <c r="M38" s="75">
        <f t="shared" si="6"/>
        <v>10176.66</v>
      </c>
      <c r="N38" s="75">
        <f t="shared" si="18"/>
        <v>0</v>
      </c>
      <c r="O38" s="75">
        <f t="shared" si="19"/>
        <v>0</v>
      </c>
      <c r="P38" s="75"/>
      <c r="Q38" s="75">
        <f>E38*L38</f>
        <v>1088902.6199999999</v>
      </c>
      <c r="R38" s="75"/>
      <c r="S38" s="75"/>
      <c r="T38" s="75">
        <f>SUM(N38:Q38)</f>
        <v>1088902.6199999999</v>
      </c>
      <c r="U38" s="75">
        <f>H38*L38</f>
        <v>1088902.6199999999</v>
      </c>
      <c r="V38" s="75">
        <f>I38*M38</f>
        <v>1088902.6199999999</v>
      </c>
    </row>
    <row r="39" spans="1:23" x14ac:dyDescent="0.25">
      <c r="A39" s="86"/>
      <c r="B39" s="176" t="s">
        <v>28</v>
      </c>
      <c r="C39" s="127" t="s">
        <v>220</v>
      </c>
      <c r="D39" s="86"/>
      <c r="E39" s="87"/>
      <c r="F39" s="87"/>
      <c r="G39" s="87"/>
      <c r="H39" s="87"/>
      <c r="I39" s="87"/>
      <c r="J39" s="75"/>
      <c r="K39" s="75"/>
      <c r="L39" s="162">
        <v>12248.94</v>
      </c>
      <c r="M39" s="75"/>
      <c r="N39" s="75"/>
      <c r="O39" s="75"/>
      <c r="P39" s="75"/>
      <c r="Q39" s="75"/>
      <c r="R39" s="75"/>
      <c r="S39" s="75">
        <f>L39*G38</f>
        <v>1310636.58</v>
      </c>
      <c r="T39" s="75"/>
      <c r="U39" s="75"/>
      <c r="V39" s="75"/>
    </row>
    <row r="40" spans="1:23" x14ac:dyDescent="0.25">
      <c r="A40" s="113" t="s">
        <v>44</v>
      </c>
      <c r="B40" s="94"/>
      <c r="C40" s="94"/>
      <c r="D40" s="94"/>
      <c r="E40" s="92"/>
      <c r="F40" s="92"/>
      <c r="G40" s="92"/>
      <c r="H40" s="92"/>
      <c r="I40" s="92"/>
      <c r="J40" s="78"/>
      <c r="K40" s="78"/>
      <c r="L40" s="161"/>
      <c r="M40" s="78">
        <f t="shared" si="6"/>
        <v>0</v>
      </c>
      <c r="N40" s="78">
        <f>N41+N46</f>
        <v>11659167.85</v>
      </c>
      <c r="O40" s="78">
        <f t="shared" ref="O40:V40" si="20">O41+O46</f>
        <v>2659246.92</v>
      </c>
      <c r="P40" s="78"/>
      <c r="Q40" s="181">
        <f t="shared" si="20"/>
        <v>8994778.9499999993</v>
      </c>
      <c r="R40" s="181"/>
      <c r="S40" s="78">
        <f>S39</f>
        <v>1310636.58</v>
      </c>
      <c r="T40" s="78">
        <f t="shared" si="20"/>
        <v>23313193.719999999</v>
      </c>
      <c r="U40" s="78">
        <f t="shared" si="20"/>
        <v>23313193.719999999</v>
      </c>
      <c r="V40" s="78">
        <f t="shared" si="20"/>
        <v>23313193.719999999</v>
      </c>
    </row>
    <row r="41" spans="1:23" ht="85.5" x14ac:dyDescent="0.25">
      <c r="A41" s="83"/>
      <c r="B41" s="84" t="s">
        <v>76</v>
      </c>
      <c r="C41" s="128"/>
      <c r="D41" s="95"/>
      <c r="E41" s="68"/>
      <c r="F41" s="68"/>
      <c r="G41" s="68"/>
      <c r="H41" s="68"/>
      <c r="I41" s="68"/>
      <c r="J41" s="75"/>
      <c r="K41" s="75"/>
      <c r="L41" s="156"/>
      <c r="M41" s="75">
        <f t="shared" si="6"/>
        <v>0</v>
      </c>
      <c r="N41" s="75">
        <f>SUM(N42:N45)</f>
        <v>11659167.85</v>
      </c>
      <c r="O41" s="75">
        <f t="shared" ref="O41:V41" si="21">SUM(O42:O45)</f>
        <v>2659246.92</v>
      </c>
      <c r="P41" s="75"/>
      <c r="Q41" s="75">
        <f t="shared" si="21"/>
        <v>6766090.4100000001</v>
      </c>
      <c r="R41" s="75"/>
      <c r="S41" s="75"/>
      <c r="T41" s="75">
        <f t="shared" si="21"/>
        <v>21084505.18</v>
      </c>
      <c r="U41" s="75">
        <f t="shared" si="21"/>
        <v>21084505.18</v>
      </c>
      <c r="V41" s="75">
        <f t="shared" si="21"/>
        <v>21084505.18</v>
      </c>
    </row>
    <row r="42" spans="1:23" ht="105" x14ac:dyDescent="0.25">
      <c r="A42" s="83"/>
      <c r="B42" s="97" t="s">
        <v>19</v>
      </c>
      <c r="C42" s="93" t="s">
        <v>0</v>
      </c>
      <c r="D42" s="112" t="s">
        <v>20</v>
      </c>
      <c r="E42" s="87">
        <v>44</v>
      </c>
      <c r="F42" s="87">
        <v>44</v>
      </c>
      <c r="G42" s="87">
        <f t="shared" ref="G42:G45" si="22">(E42*8+F42*4)/12</f>
        <v>44</v>
      </c>
      <c r="H42" s="87">
        <v>44</v>
      </c>
      <c r="I42" s="87">
        <v>44</v>
      </c>
      <c r="J42" s="75">
        <v>43138.04</v>
      </c>
      <c r="K42" s="75">
        <v>12142.68</v>
      </c>
      <c r="L42" s="156">
        <v>30895.39</v>
      </c>
      <c r="M42" s="75">
        <f t="shared" si="6"/>
        <v>86176.11</v>
      </c>
      <c r="N42" s="75">
        <f>G42*J42</f>
        <v>1898073.76</v>
      </c>
      <c r="O42" s="75">
        <f>G42*K42</f>
        <v>534277.92000000004</v>
      </c>
      <c r="P42" s="75"/>
      <c r="Q42" s="75">
        <f>G42*L42</f>
        <v>1359397.16</v>
      </c>
      <c r="R42" s="75"/>
      <c r="S42" s="75"/>
      <c r="T42" s="75">
        <f t="shared" si="1"/>
        <v>3791748.84</v>
      </c>
      <c r="U42" s="75">
        <f t="shared" si="2"/>
        <v>3791748.84</v>
      </c>
      <c r="V42" s="75">
        <f t="shared" si="3"/>
        <v>3791748.84</v>
      </c>
    </row>
    <row r="43" spans="1:23" x14ac:dyDescent="0.25">
      <c r="A43" s="88"/>
      <c r="B43" s="97" t="s">
        <v>24</v>
      </c>
      <c r="C43" s="97"/>
      <c r="D43" s="86" t="s">
        <v>20</v>
      </c>
      <c r="E43" s="87">
        <v>76</v>
      </c>
      <c r="F43" s="87">
        <v>76</v>
      </c>
      <c r="G43" s="87">
        <f t="shared" si="22"/>
        <v>76</v>
      </c>
      <c r="H43" s="87">
        <v>76</v>
      </c>
      <c r="I43" s="87">
        <v>76</v>
      </c>
      <c r="J43" s="75">
        <v>34198.17</v>
      </c>
      <c r="K43" s="75">
        <v>12142.68</v>
      </c>
      <c r="L43" s="156">
        <v>30895.39</v>
      </c>
      <c r="M43" s="75">
        <f t="shared" si="6"/>
        <v>77236.239999999991</v>
      </c>
      <c r="N43" s="75">
        <f t="shared" ref="N43:N46" si="23">G43*J43</f>
        <v>2599060.92</v>
      </c>
      <c r="O43" s="75">
        <f t="shared" ref="O43:O46" si="24">G43*K43</f>
        <v>922843.68</v>
      </c>
      <c r="P43" s="75"/>
      <c r="Q43" s="75">
        <f t="shared" ref="Q43:Q45" si="25">G43*L43</f>
        <v>2348049.64</v>
      </c>
      <c r="R43" s="75"/>
      <c r="S43" s="75"/>
      <c r="T43" s="75">
        <f t="shared" si="1"/>
        <v>5869954.2400000002</v>
      </c>
      <c r="U43" s="75">
        <f t="shared" si="2"/>
        <v>5869954.2399999993</v>
      </c>
      <c r="V43" s="75">
        <f t="shared" si="3"/>
        <v>5869954.2399999993</v>
      </c>
    </row>
    <row r="44" spans="1:23" ht="105" x14ac:dyDescent="0.25">
      <c r="A44" s="83"/>
      <c r="B44" s="130"/>
      <c r="C44" s="93" t="s">
        <v>38</v>
      </c>
      <c r="D44" s="112" t="s">
        <v>20</v>
      </c>
      <c r="E44" s="87">
        <v>24</v>
      </c>
      <c r="F44" s="87">
        <v>24</v>
      </c>
      <c r="G44" s="87">
        <f t="shared" si="22"/>
        <v>24</v>
      </c>
      <c r="H44" s="87">
        <v>24</v>
      </c>
      <c r="I44" s="87">
        <v>24</v>
      </c>
      <c r="J44" s="75">
        <v>142093.57999999999</v>
      </c>
      <c r="K44" s="75">
        <v>12142.68</v>
      </c>
      <c r="L44" s="156">
        <v>30895.39</v>
      </c>
      <c r="M44" s="75">
        <f t="shared" si="6"/>
        <v>185131.64999999997</v>
      </c>
      <c r="N44" s="75">
        <f t="shared" si="23"/>
        <v>3410245.92</v>
      </c>
      <c r="O44" s="75">
        <f t="shared" si="24"/>
        <v>291424.32</v>
      </c>
      <c r="P44" s="75"/>
      <c r="Q44" s="75">
        <f t="shared" si="25"/>
        <v>741489.36</v>
      </c>
      <c r="R44" s="75"/>
      <c r="S44" s="75"/>
      <c r="T44" s="75">
        <f t="shared" si="1"/>
        <v>4443159.5999999996</v>
      </c>
      <c r="U44" s="75">
        <f t="shared" si="2"/>
        <v>4443159.5999999996</v>
      </c>
      <c r="V44" s="75">
        <f t="shared" si="3"/>
        <v>4443159.5999999996</v>
      </c>
    </row>
    <row r="45" spans="1:23" ht="120" x14ac:dyDescent="0.25">
      <c r="A45" s="83"/>
      <c r="B45" s="97" t="s">
        <v>24</v>
      </c>
      <c r="C45" s="93" t="s">
        <v>162</v>
      </c>
      <c r="D45" s="112" t="s">
        <v>20</v>
      </c>
      <c r="E45" s="87">
        <v>75</v>
      </c>
      <c r="F45" s="87">
        <v>75</v>
      </c>
      <c r="G45" s="87">
        <f t="shared" si="22"/>
        <v>75</v>
      </c>
      <c r="H45" s="87">
        <v>75</v>
      </c>
      <c r="I45" s="87">
        <v>75</v>
      </c>
      <c r="J45" s="75">
        <v>50023.83</v>
      </c>
      <c r="K45" s="75">
        <v>12142.68</v>
      </c>
      <c r="L45" s="156">
        <v>30895.39</v>
      </c>
      <c r="M45" s="75">
        <f t="shared" si="6"/>
        <v>93061.9</v>
      </c>
      <c r="N45" s="75">
        <f t="shared" si="23"/>
        <v>3751787.25</v>
      </c>
      <c r="O45" s="75">
        <f t="shared" si="24"/>
        <v>910701</v>
      </c>
      <c r="P45" s="75"/>
      <c r="Q45" s="75">
        <f t="shared" si="25"/>
        <v>2317154.25</v>
      </c>
      <c r="R45" s="75"/>
      <c r="S45" s="75"/>
      <c r="T45" s="75">
        <f t="shared" si="1"/>
        <v>6979642.5</v>
      </c>
      <c r="U45" s="75">
        <f t="shared" si="2"/>
        <v>6979642.5</v>
      </c>
      <c r="V45" s="75">
        <f t="shared" si="3"/>
        <v>6979642.5</v>
      </c>
    </row>
    <row r="46" spans="1:23" x14ac:dyDescent="0.25">
      <c r="A46" s="86"/>
      <c r="B46" s="176" t="s">
        <v>28</v>
      </c>
      <c r="C46" s="127" t="s">
        <v>219</v>
      </c>
      <c r="D46" s="86" t="s">
        <v>20</v>
      </c>
      <c r="E46" s="87">
        <f>E45+E44+E43+E42</f>
        <v>219</v>
      </c>
      <c r="F46" s="87">
        <f>F45+F44+F43+F42</f>
        <v>219</v>
      </c>
      <c r="G46" s="87">
        <f t="shared" ref="G46" si="26">(E46*8+F46*4)/12</f>
        <v>219</v>
      </c>
      <c r="H46" s="87">
        <f>H45+H44+H43+H42</f>
        <v>219</v>
      </c>
      <c r="I46" s="87">
        <f>I45+I44+I43+I42</f>
        <v>219</v>
      </c>
      <c r="J46" s="75" t="s">
        <v>23</v>
      </c>
      <c r="K46" s="75"/>
      <c r="L46" s="162">
        <v>10176.66</v>
      </c>
      <c r="M46" s="75">
        <f t="shared" si="6"/>
        <v>10176.66</v>
      </c>
      <c r="N46" s="75">
        <f t="shared" si="23"/>
        <v>0</v>
      </c>
      <c r="O46" s="75">
        <f t="shared" si="24"/>
        <v>0</v>
      </c>
      <c r="P46" s="75"/>
      <c r="Q46" s="75">
        <f>G46*L46</f>
        <v>2228688.54</v>
      </c>
      <c r="R46" s="75"/>
      <c r="S46" s="75"/>
      <c r="T46" s="75">
        <f t="shared" si="1"/>
        <v>2228688.54</v>
      </c>
      <c r="U46" s="75">
        <f t="shared" si="2"/>
        <v>2228688.54</v>
      </c>
      <c r="V46" s="75">
        <f t="shared" si="3"/>
        <v>2228688.54</v>
      </c>
    </row>
    <row r="47" spans="1:23" x14ac:dyDescent="0.25">
      <c r="A47" s="86"/>
      <c r="B47" s="176" t="s">
        <v>28</v>
      </c>
      <c r="C47" s="127" t="s">
        <v>220</v>
      </c>
      <c r="D47" s="86"/>
      <c r="E47" s="87"/>
      <c r="F47" s="87"/>
      <c r="G47" s="87"/>
      <c r="H47" s="87"/>
      <c r="I47" s="87"/>
      <c r="J47" s="75"/>
      <c r="K47" s="75"/>
      <c r="L47" s="162">
        <v>12248.94</v>
      </c>
      <c r="M47" s="75"/>
      <c r="N47" s="75"/>
      <c r="O47" s="75"/>
      <c r="P47" s="75"/>
      <c r="Q47" s="75"/>
      <c r="R47" s="75"/>
      <c r="S47" s="75">
        <f>L47*G46</f>
        <v>2682517.8600000003</v>
      </c>
      <c r="T47" s="75"/>
      <c r="U47" s="75"/>
      <c r="V47" s="75"/>
    </row>
    <row r="48" spans="1:23" x14ac:dyDescent="0.25">
      <c r="A48" s="113" t="s">
        <v>49</v>
      </c>
      <c r="B48" s="94"/>
      <c r="C48" s="94"/>
      <c r="D48" s="94"/>
      <c r="E48" s="92"/>
      <c r="F48" s="92"/>
      <c r="G48" s="92"/>
      <c r="H48" s="92"/>
      <c r="I48" s="92"/>
      <c r="J48" s="78"/>
      <c r="K48" s="78"/>
      <c r="L48" s="161"/>
      <c r="M48" s="78">
        <f t="shared" si="6"/>
        <v>0</v>
      </c>
      <c r="N48" s="78">
        <f>N49+N54</f>
        <v>4967010.3499999996</v>
      </c>
      <c r="O48" s="78">
        <f t="shared" ref="O48:V48" si="27">O49+O54</f>
        <v>1384265.52</v>
      </c>
      <c r="P48" s="78"/>
      <c r="Q48" s="181">
        <f>Q49+Q54</f>
        <v>4682213.7</v>
      </c>
      <c r="R48" s="181"/>
      <c r="S48" s="78">
        <f>S47</f>
        <v>2682517.8600000003</v>
      </c>
      <c r="T48" s="78">
        <f t="shared" si="27"/>
        <v>11033489.57</v>
      </c>
      <c r="U48" s="78">
        <f t="shared" si="27"/>
        <v>11033489.57</v>
      </c>
      <c r="V48" s="78">
        <f t="shared" si="27"/>
        <v>11033489.57</v>
      </c>
    </row>
    <row r="49" spans="1:22" ht="85.5" x14ac:dyDescent="0.25">
      <c r="A49" s="83"/>
      <c r="B49" s="84" t="s">
        <v>76</v>
      </c>
      <c r="C49" s="128"/>
      <c r="D49" s="95"/>
      <c r="E49" s="68"/>
      <c r="F49" s="68"/>
      <c r="G49" s="68"/>
      <c r="H49" s="68"/>
      <c r="I49" s="68"/>
      <c r="J49" s="75"/>
      <c r="K49" s="75"/>
      <c r="L49" s="156"/>
      <c r="M49" s="75">
        <f t="shared" si="6"/>
        <v>0</v>
      </c>
      <c r="N49" s="75">
        <f t="shared" ref="N49:V49" si="28">SUM(N50:N53)</f>
        <v>4967010.3499999996</v>
      </c>
      <c r="O49" s="75">
        <f t="shared" si="28"/>
        <v>1384265.52</v>
      </c>
      <c r="P49" s="75"/>
      <c r="Q49" s="75">
        <f t="shared" si="28"/>
        <v>3522074.46</v>
      </c>
      <c r="R49" s="75"/>
      <c r="S49" s="75"/>
      <c r="T49" s="75">
        <f t="shared" si="28"/>
        <v>9873350.3300000001</v>
      </c>
      <c r="U49" s="75">
        <f t="shared" si="28"/>
        <v>9873350.3300000001</v>
      </c>
      <c r="V49" s="75">
        <f t="shared" si="28"/>
        <v>9873350.3300000001</v>
      </c>
    </row>
    <row r="50" spans="1:22" ht="105" x14ac:dyDescent="0.25">
      <c r="A50" s="83"/>
      <c r="B50" s="97" t="s">
        <v>19</v>
      </c>
      <c r="C50" s="93" t="s">
        <v>0</v>
      </c>
      <c r="D50" s="112" t="s">
        <v>20</v>
      </c>
      <c r="E50" s="87">
        <v>31</v>
      </c>
      <c r="F50" s="87">
        <v>31</v>
      </c>
      <c r="G50" s="87">
        <f t="shared" ref="G50:G53" si="29">(E50*8+F50*4)/12</f>
        <v>31</v>
      </c>
      <c r="H50" s="87">
        <v>31</v>
      </c>
      <c r="I50" s="87">
        <v>31</v>
      </c>
      <c r="J50" s="75">
        <v>43138.04</v>
      </c>
      <c r="K50" s="75">
        <v>12142.68</v>
      </c>
      <c r="L50" s="156">
        <v>30895.39</v>
      </c>
      <c r="M50" s="75">
        <f t="shared" si="6"/>
        <v>86176.11</v>
      </c>
      <c r="N50" s="75">
        <f>G50*J50</f>
        <v>1337279.24</v>
      </c>
      <c r="O50" s="75">
        <f>G50*K50</f>
        <v>376423.08</v>
      </c>
      <c r="P50" s="75"/>
      <c r="Q50" s="75">
        <f>G50*L50</f>
        <v>957757.09</v>
      </c>
      <c r="R50" s="75"/>
      <c r="S50" s="75"/>
      <c r="T50" s="46">
        <f t="shared" si="1"/>
        <v>2671459.41</v>
      </c>
      <c r="U50" s="75">
        <f t="shared" si="2"/>
        <v>2671459.41</v>
      </c>
      <c r="V50" s="75">
        <f t="shared" si="3"/>
        <v>2671459.41</v>
      </c>
    </row>
    <row r="51" spans="1:22" x14ac:dyDescent="0.25">
      <c r="A51" s="88"/>
      <c r="B51" s="97" t="s">
        <v>24</v>
      </c>
      <c r="C51" s="97"/>
      <c r="D51" s="86" t="s">
        <v>20</v>
      </c>
      <c r="E51" s="87">
        <v>33</v>
      </c>
      <c r="F51" s="87">
        <v>33</v>
      </c>
      <c r="G51" s="87">
        <f>(E51*8+F51*4)/12</f>
        <v>33</v>
      </c>
      <c r="H51" s="87">
        <v>33</v>
      </c>
      <c r="I51" s="87">
        <v>33</v>
      </c>
      <c r="J51" s="75">
        <v>34198.17</v>
      </c>
      <c r="K51" s="75">
        <v>12142.68</v>
      </c>
      <c r="L51" s="156">
        <v>30895.39</v>
      </c>
      <c r="M51" s="75">
        <f t="shared" si="6"/>
        <v>77236.239999999991</v>
      </c>
      <c r="N51" s="75">
        <f>G51*J51</f>
        <v>1128539.6099999999</v>
      </c>
      <c r="O51" s="75">
        <f>G51*K51</f>
        <v>400708.44</v>
      </c>
      <c r="P51" s="75"/>
      <c r="Q51" s="75">
        <f>G51*L51</f>
        <v>1019547.87</v>
      </c>
      <c r="R51" s="75"/>
      <c r="S51" s="75"/>
      <c r="T51" s="75">
        <f>SUM(N51:Q51)</f>
        <v>2548795.92</v>
      </c>
      <c r="U51" s="75">
        <f>H51*M51</f>
        <v>2548795.92</v>
      </c>
      <c r="V51" s="75">
        <f>I51*M51</f>
        <v>2548795.92</v>
      </c>
    </row>
    <row r="52" spans="1:22" ht="105" x14ac:dyDescent="0.25">
      <c r="A52" s="88"/>
      <c r="B52" s="97" t="s">
        <v>24</v>
      </c>
      <c r="C52" s="93" t="s">
        <v>179</v>
      </c>
      <c r="D52" s="86" t="s">
        <v>20</v>
      </c>
      <c r="E52" s="87">
        <v>0</v>
      </c>
      <c r="F52" s="87">
        <v>0</v>
      </c>
      <c r="G52" s="87">
        <f>(E52*8+F52*4)/12</f>
        <v>0</v>
      </c>
      <c r="H52" s="87">
        <v>0</v>
      </c>
      <c r="I52" s="87">
        <v>0</v>
      </c>
      <c r="J52" s="75">
        <v>67236.92</v>
      </c>
      <c r="K52" s="75">
        <v>12142.68</v>
      </c>
      <c r="L52" s="156">
        <v>30895.39</v>
      </c>
      <c r="M52" s="75">
        <f>J52+K52+L52</f>
        <v>110274.99</v>
      </c>
      <c r="N52" s="75">
        <f>G52*J52</f>
        <v>0</v>
      </c>
      <c r="O52" s="75">
        <f>G52*K52</f>
        <v>0</v>
      </c>
      <c r="P52" s="75"/>
      <c r="Q52" s="75">
        <f>G52*L52</f>
        <v>0</v>
      </c>
      <c r="R52" s="75"/>
      <c r="S52" s="75"/>
      <c r="T52" s="75">
        <f>SUM(N52:Q52)</f>
        <v>0</v>
      </c>
      <c r="U52" s="75">
        <f>H52*M52</f>
        <v>0</v>
      </c>
      <c r="V52" s="75">
        <f>I52*M52</f>
        <v>0</v>
      </c>
    </row>
    <row r="53" spans="1:22" ht="120" x14ac:dyDescent="0.25">
      <c r="A53" s="88"/>
      <c r="B53" s="97" t="s">
        <v>24</v>
      </c>
      <c r="C53" s="93" t="s">
        <v>162</v>
      </c>
      <c r="D53" s="112" t="s">
        <v>20</v>
      </c>
      <c r="E53" s="87">
        <v>50</v>
      </c>
      <c r="F53" s="87">
        <v>50</v>
      </c>
      <c r="G53" s="87">
        <f t="shared" si="29"/>
        <v>50</v>
      </c>
      <c r="H53" s="87">
        <v>50</v>
      </c>
      <c r="I53" s="87">
        <v>50</v>
      </c>
      <c r="J53" s="75">
        <v>50023.83</v>
      </c>
      <c r="K53" s="75">
        <v>12142.68</v>
      </c>
      <c r="L53" s="156">
        <v>30895.39</v>
      </c>
      <c r="M53" s="75">
        <f t="shared" ref="M53" si="30">J53+K53+L53</f>
        <v>93061.9</v>
      </c>
      <c r="N53" s="75">
        <f t="shared" ref="N53:N54" si="31">G53*J53</f>
        <v>2501191.5</v>
      </c>
      <c r="O53" s="75">
        <f t="shared" ref="O53:O54" si="32">G53*K53</f>
        <v>607134</v>
      </c>
      <c r="P53" s="75"/>
      <c r="Q53" s="75">
        <f t="shared" ref="Q53:Q54" si="33">G53*L53</f>
        <v>1544769.5</v>
      </c>
      <c r="R53" s="75"/>
      <c r="S53" s="75"/>
      <c r="T53" s="75">
        <f t="shared" ref="T53" si="34">SUM(N53:Q53)</f>
        <v>4653095</v>
      </c>
      <c r="U53" s="75">
        <f t="shared" ref="U53" si="35">H53*M53</f>
        <v>4653095</v>
      </c>
      <c r="V53" s="75">
        <f t="shared" ref="V53" si="36">I53*M53</f>
        <v>4653095</v>
      </c>
    </row>
    <row r="54" spans="1:22" x14ac:dyDescent="0.25">
      <c r="A54" s="86"/>
      <c r="B54" s="176" t="s">
        <v>28</v>
      </c>
      <c r="C54" s="127" t="s">
        <v>219</v>
      </c>
      <c r="D54" s="86" t="s">
        <v>20</v>
      </c>
      <c r="E54" s="87">
        <f>E53+E52+E51+E50</f>
        <v>114</v>
      </c>
      <c r="F54" s="87">
        <f>F53+F52+F51+F50</f>
        <v>114</v>
      </c>
      <c r="G54" s="87">
        <f>(E54*8+F54*4)/12</f>
        <v>114</v>
      </c>
      <c r="H54" s="87">
        <f>H53+H52+H51+H50</f>
        <v>114</v>
      </c>
      <c r="I54" s="87">
        <f>I53+I52+I51+I50</f>
        <v>114</v>
      </c>
      <c r="J54" s="75" t="s">
        <v>23</v>
      </c>
      <c r="K54" s="75"/>
      <c r="L54" s="162">
        <v>10176.66</v>
      </c>
      <c r="M54" s="75">
        <f t="shared" si="6"/>
        <v>10176.66</v>
      </c>
      <c r="N54" s="75">
        <f t="shared" si="31"/>
        <v>0</v>
      </c>
      <c r="O54" s="75">
        <f t="shared" si="32"/>
        <v>0</v>
      </c>
      <c r="P54" s="75"/>
      <c r="Q54" s="75">
        <f t="shared" si="33"/>
        <v>1160139.24</v>
      </c>
      <c r="R54" s="75"/>
      <c r="S54" s="75"/>
      <c r="T54" s="75">
        <f t="shared" si="1"/>
        <v>1160139.24</v>
      </c>
      <c r="U54" s="75">
        <f t="shared" si="2"/>
        <v>1160139.24</v>
      </c>
      <c r="V54" s="75">
        <f t="shared" si="3"/>
        <v>1160139.24</v>
      </c>
    </row>
    <row r="55" spans="1:22" x14ac:dyDescent="0.25">
      <c r="A55" s="86"/>
      <c r="B55" s="176" t="s">
        <v>28</v>
      </c>
      <c r="C55" s="127" t="s">
        <v>220</v>
      </c>
      <c r="D55" s="86"/>
      <c r="E55" s="87"/>
      <c r="F55" s="87"/>
      <c r="G55" s="87"/>
      <c r="H55" s="87"/>
      <c r="I55" s="87"/>
      <c r="J55" s="75"/>
      <c r="K55" s="75"/>
      <c r="L55" s="162">
        <v>12248.94</v>
      </c>
      <c r="M55" s="75"/>
      <c r="N55" s="75"/>
      <c r="O55" s="75"/>
      <c r="P55" s="75"/>
      <c r="Q55" s="75"/>
      <c r="R55" s="75"/>
      <c r="S55" s="75">
        <f>L55*G54</f>
        <v>1396379.1600000001</v>
      </c>
      <c r="T55" s="75"/>
      <c r="U55" s="75"/>
      <c r="V55" s="75"/>
    </row>
    <row r="56" spans="1:22" x14ac:dyDescent="0.25">
      <c r="A56" s="113" t="s">
        <v>53</v>
      </c>
      <c r="B56" s="94"/>
      <c r="C56" s="94"/>
      <c r="D56" s="94"/>
      <c r="E56" s="92"/>
      <c r="F56" s="92"/>
      <c r="G56" s="92"/>
      <c r="H56" s="92"/>
      <c r="I56" s="92"/>
      <c r="J56" s="78"/>
      <c r="K56" s="78"/>
      <c r="L56" s="161"/>
      <c r="M56" s="78">
        <f t="shared" si="6"/>
        <v>0</v>
      </c>
      <c r="N56" s="78">
        <f>N57+N61</f>
        <v>6619023.6899999995</v>
      </c>
      <c r="O56" s="78">
        <f t="shared" ref="O56:V56" si="37">O57+O61</f>
        <v>1954971.48</v>
      </c>
      <c r="P56" s="78"/>
      <c r="Q56" s="181">
        <f t="shared" si="37"/>
        <v>6612600.0499999998</v>
      </c>
      <c r="R56" s="181"/>
      <c r="S56" s="78">
        <f>S55</f>
        <v>1396379.1600000001</v>
      </c>
      <c r="T56" s="78">
        <f t="shared" si="37"/>
        <v>15186595.220000001</v>
      </c>
      <c r="U56" s="78">
        <f t="shared" si="37"/>
        <v>15186595.219999999</v>
      </c>
      <c r="V56" s="78">
        <f t="shared" si="37"/>
        <v>15186595.219999999</v>
      </c>
    </row>
    <row r="57" spans="1:22" ht="85.5" x14ac:dyDescent="0.25">
      <c r="A57" s="83"/>
      <c r="B57" s="84" t="s">
        <v>76</v>
      </c>
      <c r="C57" s="128"/>
      <c r="D57" s="95"/>
      <c r="E57" s="68"/>
      <c r="F57" s="68"/>
      <c r="G57" s="68"/>
      <c r="H57" s="68"/>
      <c r="I57" s="68"/>
      <c r="J57" s="75"/>
      <c r="K57" s="75"/>
      <c r="L57" s="156"/>
      <c r="M57" s="75">
        <f t="shared" si="6"/>
        <v>0</v>
      </c>
      <c r="N57" s="75">
        <f>SUM(N58:N60)</f>
        <v>6619023.6899999995</v>
      </c>
      <c r="O57" s="75">
        <f t="shared" ref="O57:T57" si="38">SUM(O58:O60)</f>
        <v>1954971.48</v>
      </c>
      <c r="P57" s="75"/>
      <c r="Q57" s="75">
        <f t="shared" si="38"/>
        <v>4974157.79</v>
      </c>
      <c r="R57" s="75"/>
      <c r="S57" s="75"/>
      <c r="T57" s="75">
        <f t="shared" si="38"/>
        <v>13548152.960000001</v>
      </c>
      <c r="U57" s="75">
        <f>SUM(U58:U60)</f>
        <v>13548152.959999999</v>
      </c>
      <c r="V57" s="75">
        <f>SUM(V58:V60)</f>
        <v>13548152.959999999</v>
      </c>
    </row>
    <row r="58" spans="1:22" ht="105" x14ac:dyDescent="0.25">
      <c r="A58" s="83"/>
      <c r="B58" s="97" t="s">
        <v>19</v>
      </c>
      <c r="C58" s="93" t="s">
        <v>0</v>
      </c>
      <c r="D58" s="112" t="s">
        <v>20</v>
      </c>
      <c r="E58" s="87">
        <v>36</v>
      </c>
      <c r="F58" s="87">
        <v>36</v>
      </c>
      <c r="G58" s="87">
        <f t="shared" ref="G58:G60" si="39">(E58*8+F58*4)/12</f>
        <v>36</v>
      </c>
      <c r="H58" s="87">
        <v>36</v>
      </c>
      <c r="I58" s="87">
        <v>36</v>
      </c>
      <c r="J58" s="75">
        <v>43138.04</v>
      </c>
      <c r="K58" s="75">
        <v>12142.68</v>
      </c>
      <c r="L58" s="156">
        <v>30895.39</v>
      </c>
      <c r="M58" s="75">
        <f t="shared" si="6"/>
        <v>86176.11</v>
      </c>
      <c r="N58" s="75">
        <f>G58*J58</f>
        <v>1552969.44</v>
      </c>
      <c r="O58" s="75">
        <f>G58*K58</f>
        <v>437136.48</v>
      </c>
      <c r="P58" s="75"/>
      <c r="Q58" s="75">
        <f>G58*L58</f>
        <v>1112234.04</v>
      </c>
      <c r="R58" s="75"/>
      <c r="S58" s="75"/>
      <c r="T58" s="75">
        <f t="shared" si="1"/>
        <v>3102339.96</v>
      </c>
      <c r="U58" s="75">
        <f t="shared" si="2"/>
        <v>3102339.96</v>
      </c>
      <c r="V58" s="75">
        <f t="shared" si="3"/>
        <v>3102339.96</v>
      </c>
    </row>
    <row r="59" spans="1:22" x14ac:dyDescent="0.25">
      <c r="A59" s="88"/>
      <c r="B59" s="97" t="s">
        <v>24</v>
      </c>
      <c r="C59" s="97"/>
      <c r="D59" s="86" t="s">
        <v>20</v>
      </c>
      <c r="E59" s="87">
        <v>75</v>
      </c>
      <c r="F59" s="87">
        <v>75</v>
      </c>
      <c r="G59" s="87">
        <f t="shared" si="39"/>
        <v>75</v>
      </c>
      <c r="H59" s="87">
        <v>75</v>
      </c>
      <c r="I59" s="87">
        <v>75</v>
      </c>
      <c r="J59" s="75">
        <v>34198.17</v>
      </c>
      <c r="K59" s="75">
        <v>12142.68</v>
      </c>
      <c r="L59" s="156">
        <v>30895.39</v>
      </c>
      <c r="M59" s="75">
        <f t="shared" si="6"/>
        <v>77236.239999999991</v>
      </c>
      <c r="N59" s="75">
        <f>G59*J59</f>
        <v>2564862.75</v>
      </c>
      <c r="O59" s="75">
        <f t="shared" ref="O59:O61" si="40">G59*K59</f>
        <v>910701</v>
      </c>
      <c r="P59" s="75"/>
      <c r="Q59" s="75">
        <f t="shared" ref="Q59:Q60" si="41">G59*L59</f>
        <v>2317154.25</v>
      </c>
      <c r="R59" s="75"/>
      <c r="S59" s="75"/>
      <c r="T59" s="75">
        <f t="shared" si="1"/>
        <v>5792718</v>
      </c>
      <c r="U59" s="75">
        <f t="shared" si="2"/>
        <v>5792717.9999999991</v>
      </c>
      <c r="V59" s="75">
        <f t="shared" si="3"/>
        <v>5792717.9999999991</v>
      </c>
    </row>
    <row r="60" spans="1:22" ht="120" x14ac:dyDescent="0.25">
      <c r="A60" s="88"/>
      <c r="B60" s="97" t="s">
        <v>24</v>
      </c>
      <c r="C60" s="93" t="s">
        <v>162</v>
      </c>
      <c r="D60" s="112" t="s">
        <v>20</v>
      </c>
      <c r="E60" s="87">
        <v>50</v>
      </c>
      <c r="F60" s="87">
        <v>50</v>
      </c>
      <c r="G60" s="87">
        <f t="shared" si="39"/>
        <v>50</v>
      </c>
      <c r="H60" s="87">
        <v>50</v>
      </c>
      <c r="I60" s="87">
        <v>50</v>
      </c>
      <c r="J60" s="75">
        <v>50023.83</v>
      </c>
      <c r="K60" s="75">
        <v>12142.68</v>
      </c>
      <c r="L60" s="156">
        <v>30895.39</v>
      </c>
      <c r="M60" s="75">
        <f t="shared" si="6"/>
        <v>93061.9</v>
      </c>
      <c r="N60" s="75">
        <f>G60*J60</f>
        <v>2501191.5</v>
      </c>
      <c r="O60" s="75">
        <f t="shared" si="40"/>
        <v>607134</v>
      </c>
      <c r="P60" s="75"/>
      <c r="Q60" s="75">
        <f t="shared" si="41"/>
        <v>1544769.5</v>
      </c>
      <c r="R60" s="75"/>
      <c r="S60" s="75"/>
      <c r="T60" s="75">
        <f t="shared" si="1"/>
        <v>4653095</v>
      </c>
      <c r="U60" s="75">
        <f t="shared" si="2"/>
        <v>4653095</v>
      </c>
      <c r="V60" s="75">
        <f t="shared" si="3"/>
        <v>4653095</v>
      </c>
    </row>
    <row r="61" spans="1:22" x14ac:dyDescent="0.25">
      <c r="A61" s="86"/>
      <c r="B61" s="176" t="s">
        <v>28</v>
      </c>
      <c r="C61" s="127" t="s">
        <v>219</v>
      </c>
      <c r="D61" s="86" t="s">
        <v>20</v>
      </c>
      <c r="E61" s="87">
        <f>E60+E59+E58</f>
        <v>161</v>
      </c>
      <c r="F61" s="87">
        <f>F60+F59+F58</f>
        <v>161</v>
      </c>
      <c r="G61" s="87">
        <f t="shared" ref="G61" si="42">(E61*8+F61*4)/12</f>
        <v>161</v>
      </c>
      <c r="H61" s="87">
        <f>H60+H59+H58</f>
        <v>161</v>
      </c>
      <c r="I61" s="87">
        <f>I60+I59+I58</f>
        <v>161</v>
      </c>
      <c r="J61" s="75" t="s">
        <v>23</v>
      </c>
      <c r="K61" s="75"/>
      <c r="L61" s="162">
        <v>10176.66</v>
      </c>
      <c r="M61" s="75">
        <f t="shared" si="6"/>
        <v>10176.66</v>
      </c>
      <c r="N61" s="75">
        <f t="shared" si="14"/>
        <v>0</v>
      </c>
      <c r="O61" s="75">
        <f t="shared" si="40"/>
        <v>0</v>
      </c>
      <c r="P61" s="75"/>
      <c r="Q61" s="75">
        <f>G61*L61</f>
        <v>1638442.26</v>
      </c>
      <c r="R61" s="75"/>
      <c r="S61" s="75"/>
      <c r="T61" s="75">
        <f t="shared" si="1"/>
        <v>1638442.26</v>
      </c>
      <c r="U61" s="75">
        <f t="shared" si="2"/>
        <v>1638442.26</v>
      </c>
      <c r="V61" s="75">
        <f t="shared" si="3"/>
        <v>1638442.26</v>
      </c>
    </row>
    <row r="62" spans="1:22" x14ac:dyDescent="0.25">
      <c r="A62" s="86"/>
      <c r="B62" s="176" t="s">
        <v>28</v>
      </c>
      <c r="C62" s="127" t="s">
        <v>220</v>
      </c>
      <c r="D62" s="86"/>
      <c r="E62" s="87"/>
      <c r="F62" s="87"/>
      <c r="G62" s="87"/>
      <c r="H62" s="87"/>
      <c r="I62" s="87"/>
      <c r="J62" s="75"/>
      <c r="K62" s="75"/>
      <c r="L62" s="162">
        <v>12248.94</v>
      </c>
      <c r="M62" s="75"/>
      <c r="N62" s="75"/>
      <c r="O62" s="75"/>
      <c r="P62" s="75"/>
      <c r="Q62" s="75"/>
      <c r="R62" s="75"/>
      <c r="S62" s="75">
        <f>L62*G61</f>
        <v>1972079.34</v>
      </c>
      <c r="T62" s="75"/>
      <c r="U62" s="75"/>
      <c r="V62" s="75"/>
    </row>
    <row r="63" spans="1:22" x14ac:dyDescent="0.25">
      <c r="A63" s="113" t="s">
        <v>57</v>
      </c>
      <c r="B63" s="94"/>
      <c r="C63" s="94"/>
      <c r="D63" s="94"/>
      <c r="E63" s="92"/>
      <c r="F63" s="92"/>
      <c r="G63" s="92"/>
      <c r="H63" s="92"/>
      <c r="I63" s="92"/>
      <c r="J63" s="78"/>
      <c r="K63" s="78"/>
      <c r="L63" s="161"/>
      <c r="M63" s="78">
        <f t="shared" si="6"/>
        <v>0</v>
      </c>
      <c r="N63" s="78">
        <f t="shared" ref="N63:V63" si="43">N64+N71</f>
        <v>5077661.33</v>
      </c>
      <c r="O63" s="78">
        <f t="shared" si="43"/>
        <v>1384265.52</v>
      </c>
      <c r="P63" s="78"/>
      <c r="Q63" s="181">
        <f t="shared" si="43"/>
        <v>4682213.7</v>
      </c>
      <c r="R63" s="181"/>
      <c r="S63" s="78">
        <f>S62</f>
        <v>1972079.34</v>
      </c>
      <c r="T63" s="78">
        <f t="shared" si="43"/>
        <v>11144140.549999999</v>
      </c>
      <c r="U63" s="78">
        <f t="shared" si="43"/>
        <v>11144140.549999999</v>
      </c>
      <c r="V63" s="78">
        <f t="shared" si="43"/>
        <v>11144140.549999999</v>
      </c>
    </row>
    <row r="64" spans="1:22" ht="85.5" x14ac:dyDescent="0.25">
      <c r="A64" s="83"/>
      <c r="B64" s="84" t="s">
        <v>76</v>
      </c>
      <c r="C64" s="128"/>
      <c r="D64" s="95"/>
      <c r="E64" s="68"/>
      <c r="F64" s="68"/>
      <c r="G64" s="68"/>
      <c r="H64" s="68"/>
      <c r="I64" s="68"/>
      <c r="J64" s="75"/>
      <c r="K64" s="75"/>
      <c r="L64" s="156"/>
      <c r="M64" s="75">
        <f t="shared" si="6"/>
        <v>0</v>
      </c>
      <c r="N64" s="75">
        <f t="shared" ref="N64:V64" si="44">SUM(N65:N70)</f>
        <v>5077661.33</v>
      </c>
      <c r="O64" s="75">
        <f t="shared" si="44"/>
        <v>1384265.52</v>
      </c>
      <c r="P64" s="75"/>
      <c r="Q64" s="75">
        <f t="shared" si="44"/>
        <v>3522074.46</v>
      </c>
      <c r="R64" s="75"/>
      <c r="S64" s="75"/>
      <c r="T64" s="75">
        <f t="shared" si="44"/>
        <v>9984001.3099999987</v>
      </c>
      <c r="U64" s="75">
        <f t="shared" si="44"/>
        <v>9984001.3099999987</v>
      </c>
      <c r="V64" s="75">
        <f t="shared" si="44"/>
        <v>9984001.3099999987</v>
      </c>
    </row>
    <row r="65" spans="1:22" ht="105" x14ac:dyDescent="0.25">
      <c r="A65" s="83"/>
      <c r="B65" s="97" t="s">
        <v>19</v>
      </c>
      <c r="C65" s="93" t="s">
        <v>0</v>
      </c>
      <c r="D65" s="112" t="s">
        <v>20</v>
      </c>
      <c r="E65" s="87">
        <v>25</v>
      </c>
      <c r="F65" s="87">
        <v>25</v>
      </c>
      <c r="G65" s="87">
        <f t="shared" ref="G65:G66" si="45">(E65*8+F65*4)/12</f>
        <v>25</v>
      </c>
      <c r="H65" s="87">
        <v>25</v>
      </c>
      <c r="I65" s="87">
        <v>25</v>
      </c>
      <c r="J65" s="75">
        <v>43138.04</v>
      </c>
      <c r="K65" s="75">
        <v>12142.68</v>
      </c>
      <c r="L65" s="156">
        <v>30895.39</v>
      </c>
      <c r="M65" s="75">
        <f t="shared" si="6"/>
        <v>86176.11</v>
      </c>
      <c r="N65" s="75">
        <f t="shared" ref="N65:N71" si="46">G65*J65</f>
        <v>1078451</v>
      </c>
      <c r="O65" s="75">
        <f>G65*K65</f>
        <v>303567</v>
      </c>
      <c r="P65" s="75"/>
      <c r="Q65" s="75">
        <f>G65*L65</f>
        <v>772384.75</v>
      </c>
      <c r="R65" s="75"/>
      <c r="S65" s="75"/>
      <c r="T65" s="75">
        <f t="shared" si="1"/>
        <v>2154402.75</v>
      </c>
      <c r="U65" s="75">
        <f t="shared" si="2"/>
        <v>2154402.75</v>
      </c>
      <c r="V65" s="75">
        <f t="shared" si="3"/>
        <v>2154402.75</v>
      </c>
    </row>
    <row r="66" spans="1:22" x14ac:dyDescent="0.25">
      <c r="A66" s="88"/>
      <c r="B66" s="97" t="s">
        <v>24</v>
      </c>
      <c r="C66" s="97"/>
      <c r="D66" s="86" t="s">
        <v>20</v>
      </c>
      <c r="E66" s="87">
        <v>39</v>
      </c>
      <c r="F66" s="87">
        <v>39</v>
      </c>
      <c r="G66" s="87">
        <f t="shared" si="45"/>
        <v>39</v>
      </c>
      <c r="H66" s="87">
        <v>39</v>
      </c>
      <c r="I66" s="87">
        <v>39</v>
      </c>
      <c r="J66" s="75">
        <v>34198.17</v>
      </c>
      <c r="K66" s="75">
        <v>12142.68</v>
      </c>
      <c r="L66" s="156">
        <v>30895.39</v>
      </c>
      <c r="M66" s="75">
        <f t="shared" si="6"/>
        <v>77236.239999999991</v>
      </c>
      <c r="N66" s="75">
        <f t="shared" si="46"/>
        <v>1333728.6299999999</v>
      </c>
      <c r="O66" s="75">
        <f t="shared" ref="O66:O71" si="47">G66*K66</f>
        <v>473564.52</v>
      </c>
      <c r="P66" s="75"/>
      <c r="Q66" s="75">
        <f t="shared" ref="Q66" si="48">G66*L66</f>
        <v>1204920.21</v>
      </c>
      <c r="R66" s="75"/>
      <c r="S66" s="75"/>
      <c r="T66" s="75">
        <f t="shared" si="1"/>
        <v>3012213.36</v>
      </c>
      <c r="U66" s="75">
        <f t="shared" si="2"/>
        <v>3012213.3599999994</v>
      </c>
      <c r="V66" s="75">
        <f t="shared" si="3"/>
        <v>3012213.3599999994</v>
      </c>
    </row>
    <row r="67" spans="1:22" ht="120" x14ac:dyDescent="0.25">
      <c r="A67" s="83"/>
      <c r="B67" s="97" t="s">
        <v>24</v>
      </c>
      <c r="C67" s="93" t="s">
        <v>162</v>
      </c>
      <c r="D67" s="112" t="s">
        <v>20</v>
      </c>
      <c r="E67" s="87">
        <v>50</v>
      </c>
      <c r="F67" s="87">
        <v>50</v>
      </c>
      <c r="G67" s="87">
        <f>(E67*8+F67*4)/12</f>
        <v>50</v>
      </c>
      <c r="H67" s="87">
        <v>50</v>
      </c>
      <c r="I67" s="87">
        <v>50</v>
      </c>
      <c r="J67" s="75">
        <v>50023.83</v>
      </c>
      <c r="K67" s="75">
        <v>12142.68</v>
      </c>
      <c r="L67" s="156">
        <v>30895.39</v>
      </c>
      <c r="M67" s="75">
        <f t="shared" ref="M67" si="49">J67+K67+L67</f>
        <v>93061.9</v>
      </c>
      <c r="N67" s="75">
        <f>G67*J67</f>
        <v>2501191.5</v>
      </c>
      <c r="O67" s="75">
        <f>G67*K67</f>
        <v>607134</v>
      </c>
      <c r="P67" s="75"/>
      <c r="Q67" s="75">
        <f>G67*L67</f>
        <v>1544769.5</v>
      </c>
      <c r="R67" s="75"/>
      <c r="S67" s="75"/>
      <c r="T67" s="75">
        <f>SUM(N67:Q67)</f>
        <v>4653095</v>
      </c>
      <c r="U67" s="75">
        <f t="shared" ref="U67" si="50">H67*M67</f>
        <v>4653095</v>
      </c>
      <c r="V67" s="75">
        <f t="shared" ref="V67" si="51">I67*M67</f>
        <v>4653095</v>
      </c>
    </row>
    <row r="68" spans="1:22" ht="56.25" customHeight="1" x14ac:dyDescent="0.25">
      <c r="A68" s="83"/>
      <c r="B68" s="97" t="s">
        <v>180</v>
      </c>
      <c r="C68" s="255" t="s">
        <v>78</v>
      </c>
      <c r="D68" s="257" t="s">
        <v>20</v>
      </c>
      <c r="E68" s="87">
        <v>0</v>
      </c>
      <c r="F68" s="87">
        <v>0</v>
      </c>
      <c r="G68" s="87">
        <f>(E68*8+F68*4)/12</f>
        <v>0</v>
      </c>
      <c r="H68" s="87">
        <v>0</v>
      </c>
      <c r="I68" s="87">
        <v>0</v>
      </c>
      <c r="J68" s="75">
        <v>2073.06</v>
      </c>
      <c r="K68" s="75"/>
      <c r="L68" s="156"/>
      <c r="M68" s="75">
        <f>J68+K68+L68</f>
        <v>2073.06</v>
      </c>
      <c r="N68" s="75">
        <f t="shared" si="46"/>
        <v>0</v>
      </c>
      <c r="O68" s="75">
        <f>G68*K68</f>
        <v>0</v>
      </c>
      <c r="P68" s="75"/>
      <c r="Q68" s="75">
        <f>G68*L68</f>
        <v>0</v>
      </c>
      <c r="R68" s="75"/>
      <c r="S68" s="75"/>
      <c r="T68" s="75">
        <f>SUM(N68:Q68)</f>
        <v>0</v>
      </c>
      <c r="U68" s="75">
        <f>H68*M68</f>
        <v>0</v>
      </c>
      <c r="V68" s="75">
        <f>I68*M68</f>
        <v>0</v>
      </c>
    </row>
    <row r="69" spans="1:22" ht="21" customHeight="1" x14ac:dyDescent="0.25">
      <c r="A69" s="83"/>
      <c r="B69" s="97" t="s">
        <v>181</v>
      </c>
      <c r="C69" s="256"/>
      <c r="D69" s="258"/>
      <c r="E69" s="87">
        <v>39</v>
      </c>
      <c r="F69" s="87">
        <v>39</v>
      </c>
      <c r="G69" s="87">
        <f>(E69*8+F69*4)/12</f>
        <v>39</v>
      </c>
      <c r="H69" s="87">
        <v>39</v>
      </c>
      <c r="I69" s="87">
        <v>39</v>
      </c>
      <c r="J69" s="75">
        <v>1554.8</v>
      </c>
      <c r="K69" s="75"/>
      <c r="L69" s="156"/>
      <c r="M69" s="75">
        <f>J69+K69+L69</f>
        <v>1554.8</v>
      </c>
      <c r="N69" s="75">
        <f>G69*J69</f>
        <v>60637.2</v>
      </c>
      <c r="O69" s="75">
        <f>G69*K69</f>
        <v>0</v>
      </c>
      <c r="P69" s="75"/>
      <c r="Q69" s="75">
        <f>G69*L69</f>
        <v>0</v>
      </c>
      <c r="R69" s="75"/>
      <c r="S69" s="75"/>
      <c r="T69" s="75">
        <f>SUM(N69:Q69)</f>
        <v>60637.2</v>
      </c>
      <c r="U69" s="75">
        <f>H69*M69</f>
        <v>60637.2</v>
      </c>
      <c r="V69" s="75">
        <f>I69*M69</f>
        <v>60637.2</v>
      </c>
    </row>
    <row r="70" spans="1:22" ht="75" x14ac:dyDescent="0.25">
      <c r="A70" s="83"/>
      <c r="B70" s="97" t="s">
        <v>181</v>
      </c>
      <c r="C70" s="139" t="s">
        <v>182</v>
      </c>
      <c r="D70" s="86" t="s">
        <v>20</v>
      </c>
      <c r="E70" s="87">
        <v>50</v>
      </c>
      <c r="F70" s="87">
        <v>50</v>
      </c>
      <c r="G70" s="87">
        <f>(E70*8+F70*4)/12</f>
        <v>50</v>
      </c>
      <c r="H70" s="87">
        <v>50</v>
      </c>
      <c r="I70" s="87">
        <v>50</v>
      </c>
      <c r="J70" s="75">
        <v>2073.06</v>
      </c>
      <c r="K70" s="75"/>
      <c r="L70" s="156"/>
      <c r="M70" s="75">
        <f>J70+K70+L70</f>
        <v>2073.06</v>
      </c>
      <c r="N70" s="75">
        <f t="shared" si="46"/>
        <v>103653</v>
      </c>
      <c r="O70" s="75">
        <f>G70*K70</f>
        <v>0</v>
      </c>
      <c r="P70" s="75"/>
      <c r="Q70" s="75">
        <f>G70*L70</f>
        <v>0</v>
      </c>
      <c r="R70" s="75"/>
      <c r="S70" s="75"/>
      <c r="T70" s="75">
        <f>SUM(N70:Q70)</f>
        <v>103653</v>
      </c>
      <c r="U70" s="75">
        <f>H70*M70</f>
        <v>103653</v>
      </c>
      <c r="V70" s="75">
        <f>I70*M70</f>
        <v>103653</v>
      </c>
    </row>
    <row r="71" spans="1:22" x14ac:dyDescent="0.25">
      <c r="A71" s="86"/>
      <c r="B71" s="176" t="s">
        <v>28</v>
      </c>
      <c r="C71" s="127" t="s">
        <v>219</v>
      </c>
      <c r="D71" s="86" t="s">
        <v>20</v>
      </c>
      <c r="E71" s="87">
        <f>E67+E66+E65</f>
        <v>114</v>
      </c>
      <c r="F71" s="87">
        <f>F67+F66+F65</f>
        <v>114</v>
      </c>
      <c r="G71" s="87">
        <f>(E71*8+F71*4)/12</f>
        <v>114</v>
      </c>
      <c r="H71" s="87">
        <f>H67+H66+H65</f>
        <v>114</v>
      </c>
      <c r="I71" s="87">
        <f>I67+I66+I65</f>
        <v>114</v>
      </c>
      <c r="J71" s="75" t="s">
        <v>23</v>
      </c>
      <c r="K71" s="75"/>
      <c r="L71" s="162">
        <v>10176.66</v>
      </c>
      <c r="M71" s="75">
        <f t="shared" si="6"/>
        <v>10176.66</v>
      </c>
      <c r="N71" s="75">
        <f t="shared" si="46"/>
        <v>0</v>
      </c>
      <c r="O71" s="75">
        <f t="shared" si="47"/>
        <v>0</v>
      </c>
      <c r="P71" s="75"/>
      <c r="Q71" s="75">
        <f>G71*L71</f>
        <v>1160139.24</v>
      </c>
      <c r="R71" s="75"/>
      <c r="S71" s="75"/>
      <c r="T71" s="75">
        <f t="shared" si="1"/>
        <v>1160139.24</v>
      </c>
      <c r="U71" s="75">
        <f t="shared" si="2"/>
        <v>1160139.24</v>
      </c>
      <c r="V71" s="75">
        <f t="shared" si="3"/>
        <v>1160139.24</v>
      </c>
    </row>
    <row r="72" spans="1:22" x14ac:dyDescent="0.25">
      <c r="A72" s="86"/>
      <c r="B72" s="176" t="s">
        <v>28</v>
      </c>
      <c r="C72" s="127" t="s">
        <v>220</v>
      </c>
      <c r="D72" s="86"/>
      <c r="E72" s="87"/>
      <c r="F72" s="87"/>
      <c r="G72" s="87"/>
      <c r="H72" s="87"/>
      <c r="I72" s="87"/>
      <c r="J72" s="75"/>
      <c r="K72" s="75"/>
      <c r="L72" s="162">
        <v>12248.94</v>
      </c>
      <c r="M72" s="75"/>
      <c r="N72" s="75"/>
      <c r="O72" s="75"/>
      <c r="P72" s="75"/>
      <c r="Q72" s="75"/>
      <c r="R72" s="75"/>
      <c r="S72" s="75">
        <f>L72*G71</f>
        <v>1396379.1600000001</v>
      </c>
      <c r="T72" s="75"/>
      <c r="U72" s="75"/>
      <c r="V72" s="75"/>
    </row>
    <row r="73" spans="1:22" x14ac:dyDescent="0.25">
      <c r="A73" s="113" t="s">
        <v>61</v>
      </c>
      <c r="B73" s="94"/>
      <c r="C73" s="94"/>
      <c r="D73" s="94"/>
      <c r="E73" s="92"/>
      <c r="F73" s="92"/>
      <c r="G73" s="92"/>
      <c r="H73" s="92"/>
      <c r="I73" s="92"/>
      <c r="J73" s="78"/>
      <c r="K73" s="78"/>
      <c r="L73" s="78"/>
      <c r="M73" s="78">
        <f t="shared" si="6"/>
        <v>0</v>
      </c>
      <c r="N73" s="78">
        <f t="shared" ref="N73:V73" si="52">N74+N81</f>
        <v>11094680.750000002</v>
      </c>
      <c r="O73" s="78">
        <f t="shared" si="52"/>
        <v>2732103</v>
      </c>
      <c r="P73" s="78"/>
      <c r="Q73" s="181">
        <f t="shared" si="52"/>
        <v>9241211.25</v>
      </c>
      <c r="R73" s="181"/>
      <c r="S73" s="78">
        <f>S72</f>
        <v>1396379.1600000001</v>
      </c>
      <c r="T73" s="78">
        <f t="shared" si="52"/>
        <v>23067995</v>
      </c>
      <c r="U73" s="78">
        <f t="shared" si="52"/>
        <v>23067995</v>
      </c>
      <c r="V73" s="78">
        <f t="shared" si="52"/>
        <v>23067995</v>
      </c>
    </row>
    <row r="74" spans="1:22" ht="85.5" x14ac:dyDescent="0.25">
      <c r="A74" s="83"/>
      <c r="B74" s="84" t="s">
        <v>76</v>
      </c>
      <c r="C74" s="128"/>
      <c r="D74" s="95"/>
      <c r="E74" s="68"/>
      <c r="F74" s="68"/>
      <c r="G74" s="68"/>
      <c r="H74" s="68"/>
      <c r="I74" s="68"/>
      <c r="J74" s="75"/>
      <c r="K74" s="75"/>
      <c r="L74" s="156"/>
      <c r="M74" s="75">
        <f>J74+K74+L74</f>
        <v>0</v>
      </c>
      <c r="N74" s="75">
        <f t="shared" ref="N74:V74" si="53">SUM(N75:N80)</f>
        <v>11094680.750000002</v>
      </c>
      <c r="O74" s="75">
        <f t="shared" si="53"/>
        <v>2732103</v>
      </c>
      <c r="P74" s="75"/>
      <c r="Q74" s="75">
        <f t="shared" si="53"/>
        <v>6951462.75</v>
      </c>
      <c r="R74" s="75"/>
      <c r="S74" s="75"/>
      <c r="T74" s="75">
        <f t="shared" si="53"/>
        <v>20778246.5</v>
      </c>
      <c r="U74" s="75">
        <f t="shared" si="53"/>
        <v>20778246.5</v>
      </c>
      <c r="V74" s="75">
        <f t="shared" si="53"/>
        <v>20778246.5</v>
      </c>
    </row>
    <row r="75" spans="1:22" ht="105" x14ac:dyDescent="0.25">
      <c r="A75" s="83"/>
      <c r="B75" s="97" t="s">
        <v>19</v>
      </c>
      <c r="C75" s="93" t="s">
        <v>0</v>
      </c>
      <c r="D75" s="112" t="s">
        <v>20</v>
      </c>
      <c r="E75" s="87">
        <v>70</v>
      </c>
      <c r="F75" s="87">
        <v>70</v>
      </c>
      <c r="G75" s="87">
        <f t="shared" ref="G75:G80" si="54">(E75*8+F75*4)/12</f>
        <v>70</v>
      </c>
      <c r="H75" s="87">
        <v>70</v>
      </c>
      <c r="I75" s="87">
        <v>70</v>
      </c>
      <c r="J75" s="75">
        <v>43138.04</v>
      </c>
      <c r="K75" s="75">
        <v>12142.68</v>
      </c>
      <c r="L75" s="156">
        <v>30895.39</v>
      </c>
      <c r="M75" s="75">
        <f t="shared" si="6"/>
        <v>86176.11</v>
      </c>
      <c r="N75" s="75">
        <f>G75*J75</f>
        <v>3019662.8000000003</v>
      </c>
      <c r="O75" s="75">
        <f>G75*K75</f>
        <v>849987.6</v>
      </c>
      <c r="P75" s="75"/>
      <c r="Q75" s="75">
        <f>G75*L75</f>
        <v>2162677.2999999998</v>
      </c>
      <c r="R75" s="75"/>
      <c r="S75" s="75"/>
      <c r="T75" s="75">
        <f t="shared" si="1"/>
        <v>6032327.7000000002</v>
      </c>
      <c r="U75" s="75">
        <f t="shared" si="2"/>
        <v>6032327.7000000002</v>
      </c>
      <c r="V75" s="75">
        <f t="shared" si="3"/>
        <v>6032327.7000000002</v>
      </c>
    </row>
    <row r="76" spans="1:22" x14ac:dyDescent="0.25">
      <c r="A76" s="88"/>
      <c r="B76" s="97" t="s">
        <v>24</v>
      </c>
      <c r="C76" s="97"/>
      <c r="D76" s="86" t="s">
        <v>20</v>
      </c>
      <c r="E76" s="87">
        <v>0</v>
      </c>
      <c r="F76" s="87">
        <v>0</v>
      </c>
      <c r="G76" s="87">
        <f t="shared" si="54"/>
        <v>0</v>
      </c>
      <c r="H76" s="87">
        <v>0</v>
      </c>
      <c r="I76" s="87">
        <v>0</v>
      </c>
      <c r="J76" s="75">
        <v>34198.17</v>
      </c>
      <c r="K76" s="75">
        <v>12142.68</v>
      </c>
      <c r="L76" s="156">
        <v>30895.39</v>
      </c>
      <c r="M76" s="75">
        <f>J76+K76+L76</f>
        <v>77236.239999999991</v>
      </c>
      <c r="N76" s="75">
        <f>G76*J76</f>
        <v>0</v>
      </c>
      <c r="O76" s="75">
        <f t="shared" ref="O76:O81" si="55">G76*K76</f>
        <v>0</v>
      </c>
      <c r="P76" s="75"/>
      <c r="Q76" s="75">
        <f t="shared" ref="Q76:Q78" si="56">G76*L76</f>
        <v>0</v>
      </c>
      <c r="R76" s="75"/>
      <c r="S76" s="75"/>
      <c r="T76" s="75">
        <f t="shared" si="1"/>
        <v>0</v>
      </c>
      <c r="U76" s="75">
        <f t="shared" si="2"/>
        <v>0</v>
      </c>
      <c r="V76" s="75">
        <f t="shared" si="3"/>
        <v>0</v>
      </c>
    </row>
    <row r="77" spans="1:22" ht="120" x14ac:dyDescent="0.25">
      <c r="A77" s="88"/>
      <c r="B77" s="97" t="s">
        <v>24</v>
      </c>
      <c r="C77" s="125" t="s">
        <v>162</v>
      </c>
      <c r="D77" s="112" t="s">
        <v>20</v>
      </c>
      <c r="E77" s="87">
        <v>155</v>
      </c>
      <c r="F77" s="87">
        <v>155</v>
      </c>
      <c r="G77" s="87">
        <f t="shared" si="54"/>
        <v>155</v>
      </c>
      <c r="H77" s="87">
        <v>155</v>
      </c>
      <c r="I77" s="87">
        <v>155</v>
      </c>
      <c r="J77" s="75">
        <v>50023.83</v>
      </c>
      <c r="K77" s="75">
        <v>12142.68</v>
      </c>
      <c r="L77" s="156">
        <v>30895.39</v>
      </c>
      <c r="M77" s="75">
        <f t="shared" si="6"/>
        <v>93061.9</v>
      </c>
      <c r="N77" s="75">
        <f t="shared" ref="N77:N78" si="57">G77*J77</f>
        <v>7753693.6500000004</v>
      </c>
      <c r="O77" s="75">
        <f t="shared" si="55"/>
        <v>1882115.4000000001</v>
      </c>
      <c r="P77" s="75"/>
      <c r="Q77" s="75">
        <f t="shared" si="56"/>
        <v>4788785.45</v>
      </c>
      <c r="R77" s="75"/>
      <c r="S77" s="75"/>
      <c r="T77" s="75">
        <f t="shared" si="1"/>
        <v>14424594.5</v>
      </c>
      <c r="U77" s="75">
        <f t="shared" si="2"/>
        <v>14424594.5</v>
      </c>
      <c r="V77" s="75">
        <f t="shared" si="3"/>
        <v>14424594.5</v>
      </c>
    </row>
    <row r="78" spans="1:22" ht="75" x14ac:dyDescent="0.25">
      <c r="A78" s="83"/>
      <c r="B78" s="97" t="s">
        <v>180</v>
      </c>
      <c r="C78" s="93" t="s">
        <v>78</v>
      </c>
      <c r="D78" s="112" t="s">
        <v>20</v>
      </c>
      <c r="E78" s="87"/>
      <c r="F78" s="87"/>
      <c r="G78" s="87">
        <f t="shared" si="54"/>
        <v>0</v>
      </c>
      <c r="H78" s="87"/>
      <c r="I78" s="87"/>
      <c r="J78" s="75">
        <v>2073.06</v>
      </c>
      <c r="K78" s="75"/>
      <c r="L78" s="156"/>
      <c r="M78" s="75">
        <f t="shared" si="6"/>
        <v>2073.06</v>
      </c>
      <c r="N78" s="75">
        <f t="shared" si="57"/>
        <v>0</v>
      </c>
      <c r="O78" s="75">
        <f t="shared" si="55"/>
        <v>0</v>
      </c>
      <c r="P78" s="75"/>
      <c r="Q78" s="75">
        <f t="shared" si="56"/>
        <v>0</v>
      </c>
      <c r="R78" s="75"/>
      <c r="S78" s="75"/>
      <c r="T78" s="75">
        <f t="shared" si="1"/>
        <v>0</v>
      </c>
      <c r="U78" s="75">
        <f t="shared" si="2"/>
        <v>0</v>
      </c>
      <c r="V78" s="75">
        <f t="shared" si="3"/>
        <v>0</v>
      </c>
    </row>
    <row r="79" spans="1:22" x14ac:dyDescent="0.25">
      <c r="A79" s="83"/>
      <c r="B79" s="97" t="s">
        <v>181</v>
      </c>
      <c r="C79" s="93"/>
      <c r="D79" s="126" t="s">
        <v>20</v>
      </c>
      <c r="E79" s="87"/>
      <c r="F79" s="87"/>
      <c r="G79" s="87">
        <f t="shared" si="54"/>
        <v>0</v>
      </c>
      <c r="H79" s="87"/>
      <c r="I79" s="87"/>
      <c r="J79" s="75">
        <v>1554.8</v>
      </c>
      <c r="K79" s="75"/>
      <c r="L79" s="156"/>
      <c r="M79" s="75">
        <f t="shared" ref="M79:M80" si="58">J79+K79+L79</f>
        <v>1554.8</v>
      </c>
      <c r="N79" s="75">
        <f t="shared" ref="N79:N80" si="59">G79*J79</f>
        <v>0</v>
      </c>
      <c r="O79" s="75">
        <f t="shared" ref="O79:O80" si="60">G79*K79</f>
        <v>0</v>
      </c>
      <c r="P79" s="75"/>
      <c r="Q79" s="75">
        <f t="shared" ref="Q79:Q80" si="61">G79*L79</f>
        <v>0</v>
      </c>
      <c r="R79" s="75"/>
      <c r="S79" s="75"/>
      <c r="T79" s="75">
        <f t="shared" ref="T79:T80" si="62">SUM(N79:Q79)</f>
        <v>0</v>
      </c>
      <c r="U79" s="75">
        <f t="shared" ref="U79:U80" si="63">H79*M79</f>
        <v>0</v>
      </c>
      <c r="V79" s="75">
        <f t="shared" ref="V79:V80" si="64">I79*M79</f>
        <v>0</v>
      </c>
    </row>
    <row r="80" spans="1:22" ht="75" x14ac:dyDescent="0.25">
      <c r="A80" s="83"/>
      <c r="B80" s="97" t="s">
        <v>181</v>
      </c>
      <c r="C80" s="129" t="s">
        <v>182</v>
      </c>
      <c r="D80" s="126" t="s">
        <v>20</v>
      </c>
      <c r="E80" s="87">
        <v>155</v>
      </c>
      <c r="F80" s="87">
        <v>155</v>
      </c>
      <c r="G80" s="87">
        <f t="shared" si="54"/>
        <v>155</v>
      </c>
      <c r="H80" s="87">
        <v>155</v>
      </c>
      <c r="I80" s="87">
        <v>155</v>
      </c>
      <c r="J80" s="75">
        <v>2073.06</v>
      </c>
      <c r="K80" s="75"/>
      <c r="L80" s="156"/>
      <c r="M80" s="75">
        <f t="shared" si="58"/>
        <v>2073.06</v>
      </c>
      <c r="N80" s="75">
        <f t="shared" si="59"/>
        <v>321324.3</v>
      </c>
      <c r="O80" s="75">
        <f t="shared" si="60"/>
        <v>0</v>
      </c>
      <c r="P80" s="75"/>
      <c r="Q80" s="75">
        <f t="shared" si="61"/>
        <v>0</v>
      </c>
      <c r="R80" s="75"/>
      <c r="S80" s="75"/>
      <c r="T80" s="75">
        <f t="shared" si="62"/>
        <v>321324.3</v>
      </c>
      <c r="U80" s="75">
        <f t="shared" si="63"/>
        <v>321324.3</v>
      </c>
      <c r="V80" s="75">
        <f t="shared" si="64"/>
        <v>321324.3</v>
      </c>
    </row>
    <row r="81" spans="1:22" x14ac:dyDescent="0.25">
      <c r="A81" s="86"/>
      <c r="B81" s="176" t="s">
        <v>28</v>
      </c>
      <c r="C81" s="127" t="s">
        <v>219</v>
      </c>
      <c r="D81" s="86" t="s">
        <v>20</v>
      </c>
      <c r="E81" s="87">
        <f>E77+E76+E75</f>
        <v>225</v>
      </c>
      <c r="F81" s="87">
        <f>F77+F76+F75</f>
        <v>225</v>
      </c>
      <c r="G81" s="87">
        <f>(E81*8+F81*4)/12</f>
        <v>225</v>
      </c>
      <c r="H81" s="87">
        <f>H77+H76+H75</f>
        <v>225</v>
      </c>
      <c r="I81" s="87">
        <f>I77+I76+I75</f>
        <v>225</v>
      </c>
      <c r="J81" s="75" t="s">
        <v>23</v>
      </c>
      <c r="K81" s="75"/>
      <c r="L81" s="162">
        <v>10176.66</v>
      </c>
      <c r="M81" s="75">
        <f t="shared" si="6"/>
        <v>10176.66</v>
      </c>
      <c r="N81" s="75">
        <f>G81*J81</f>
        <v>0</v>
      </c>
      <c r="O81" s="75">
        <f t="shared" si="55"/>
        <v>0</v>
      </c>
      <c r="P81" s="75"/>
      <c r="Q81" s="75">
        <f>G81*L81</f>
        <v>2289748.5</v>
      </c>
      <c r="R81" s="75"/>
      <c r="S81" s="75"/>
      <c r="T81" s="75">
        <f t="shared" si="1"/>
        <v>2289748.5</v>
      </c>
      <c r="U81" s="75">
        <f t="shared" si="2"/>
        <v>2289748.5</v>
      </c>
      <c r="V81" s="75">
        <f t="shared" si="3"/>
        <v>2289748.5</v>
      </c>
    </row>
    <row r="82" spans="1:22" x14ac:dyDescent="0.25">
      <c r="A82" s="86"/>
      <c r="B82" s="176" t="s">
        <v>28</v>
      </c>
      <c r="C82" s="127" t="s">
        <v>220</v>
      </c>
      <c r="D82" s="86"/>
      <c r="E82" s="87"/>
      <c r="F82" s="87"/>
      <c r="G82" s="87"/>
      <c r="H82" s="87"/>
      <c r="I82" s="87"/>
      <c r="J82" s="75"/>
      <c r="K82" s="75"/>
      <c r="L82" s="162">
        <v>12248.94</v>
      </c>
      <c r="M82" s="75"/>
      <c r="N82" s="75"/>
      <c r="O82" s="75"/>
      <c r="P82" s="75"/>
      <c r="Q82" s="75"/>
      <c r="R82" s="75"/>
      <c r="S82" s="75">
        <f>L82*G81</f>
        <v>2756011.5</v>
      </c>
      <c r="T82" s="75"/>
      <c r="U82" s="75"/>
      <c r="V82" s="75"/>
    </row>
    <row r="83" spans="1:22" x14ac:dyDescent="0.25">
      <c r="A83" s="113" t="s">
        <v>65</v>
      </c>
      <c r="B83" s="94"/>
      <c r="C83" s="94"/>
      <c r="D83" s="94"/>
      <c r="E83" s="92"/>
      <c r="F83" s="92"/>
      <c r="G83" s="92"/>
      <c r="H83" s="92"/>
      <c r="I83" s="92"/>
      <c r="J83" s="78"/>
      <c r="K83" s="78"/>
      <c r="L83" s="78"/>
      <c r="M83" s="78">
        <f t="shared" si="6"/>
        <v>0</v>
      </c>
      <c r="N83" s="78">
        <f>N84+N88</f>
        <v>6224984.6600000001</v>
      </c>
      <c r="O83" s="78">
        <f t="shared" ref="O83:V83" si="65">O84+O88</f>
        <v>1699975.2000000002</v>
      </c>
      <c r="P83" s="78"/>
      <c r="Q83" s="181">
        <f t="shared" si="65"/>
        <v>5750087</v>
      </c>
      <c r="R83" s="181"/>
      <c r="S83" s="78">
        <f>S82</f>
        <v>2756011.5</v>
      </c>
      <c r="T83" s="78">
        <f t="shared" si="65"/>
        <v>13675046.860000001</v>
      </c>
      <c r="U83" s="78">
        <f t="shared" si="65"/>
        <v>13675046.860000001</v>
      </c>
      <c r="V83" s="78">
        <f t="shared" si="65"/>
        <v>13675046.860000001</v>
      </c>
    </row>
    <row r="84" spans="1:22" ht="85.5" x14ac:dyDescent="0.25">
      <c r="A84" s="83"/>
      <c r="B84" s="84" t="s">
        <v>76</v>
      </c>
      <c r="C84" s="128"/>
      <c r="D84" s="95"/>
      <c r="E84" s="68"/>
      <c r="F84" s="68"/>
      <c r="G84" s="68"/>
      <c r="H84" s="68"/>
      <c r="I84" s="68"/>
      <c r="J84" s="75"/>
      <c r="K84" s="75"/>
      <c r="L84" s="156"/>
      <c r="M84" s="75">
        <f t="shared" si="6"/>
        <v>0</v>
      </c>
      <c r="N84" s="75">
        <f>SUM(N85:N87)</f>
        <v>6224984.6600000001</v>
      </c>
      <c r="O84" s="75">
        <f t="shared" ref="O84:V84" si="66">SUM(O85:O87)</f>
        <v>1699975.2000000002</v>
      </c>
      <c r="P84" s="75"/>
      <c r="Q84" s="75">
        <f t="shared" si="66"/>
        <v>4325354.5999999996</v>
      </c>
      <c r="R84" s="75"/>
      <c r="S84" s="75"/>
      <c r="T84" s="75">
        <f t="shared" si="66"/>
        <v>12250314.460000001</v>
      </c>
      <c r="U84" s="75">
        <f t="shared" si="66"/>
        <v>12250314.460000001</v>
      </c>
      <c r="V84" s="75">
        <f t="shared" si="66"/>
        <v>12250314.460000001</v>
      </c>
    </row>
    <row r="85" spans="1:22" ht="105" x14ac:dyDescent="0.25">
      <c r="A85" s="83"/>
      <c r="B85" s="97" t="s">
        <v>19</v>
      </c>
      <c r="C85" s="93" t="s">
        <v>0</v>
      </c>
      <c r="D85" s="86" t="s">
        <v>20</v>
      </c>
      <c r="E85" s="87">
        <v>28</v>
      </c>
      <c r="F85" s="87">
        <v>28</v>
      </c>
      <c r="G85" s="87">
        <f t="shared" ref="G85:G88" si="67">(E85*8+F85*4)/12</f>
        <v>28</v>
      </c>
      <c r="H85" s="87">
        <v>28</v>
      </c>
      <c r="I85" s="87">
        <v>28</v>
      </c>
      <c r="J85" s="75">
        <v>43138.04</v>
      </c>
      <c r="K85" s="75">
        <v>12142.68</v>
      </c>
      <c r="L85" s="156">
        <v>30895.39</v>
      </c>
      <c r="M85" s="75">
        <f t="shared" si="6"/>
        <v>86176.11</v>
      </c>
      <c r="N85" s="75">
        <f>G85*J85</f>
        <v>1207865.1200000001</v>
      </c>
      <c r="O85" s="75">
        <f>G85*K85</f>
        <v>339995.04000000004</v>
      </c>
      <c r="P85" s="75"/>
      <c r="Q85" s="75">
        <f>G85*L85</f>
        <v>865070.91999999993</v>
      </c>
      <c r="R85" s="75"/>
      <c r="S85" s="75"/>
      <c r="T85" s="75">
        <f t="shared" si="1"/>
        <v>2412931.08</v>
      </c>
      <c r="U85" s="75">
        <f t="shared" si="2"/>
        <v>2412931.08</v>
      </c>
      <c r="V85" s="75">
        <f t="shared" si="3"/>
        <v>2412931.08</v>
      </c>
    </row>
    <row r="86" spans="1:22" x14ac:dyDescent="0.25">
      <c r="A86" s="88"/>
      <c r="B86" s="97" t="s">
        <v>24</v>
      </c>
      <c r="C86" s="97"/>
      <c r="D86" s="86" t="s">
        <v>20</v>
      </c>
      <c r="E86" s="87">
        <v>37</v>
      </c>
      <c r="F86" s="87">
        <v>37</v>
      </c>
      <c r="G86" s="87">
        <f t="shared" si="67"/>
        <v>37</v>
      </c>
      <c r="H86" s="87">
        <v>37</v>
      </c>
      <c r="I86" s="87">
        <v>37</v>
      </c>
      <c r="J86" s="75">
        <v>34198.17</v>
      </c>
      <c r="K86" s="75">
        <v>12142.68</v>
      </c>
      <c r="L86" s="156">
        <v>30895.39</v>
      </c>
      <c r="M86" s="75">
        <f t="shared" si="6"/>
        <v>77236.239999999991</v>
      </c>
      <c r="N86" s="75">
        <f t="shared" ref="N86:N88" si="68">G86*J86</f>
        <v>1265332.29</v>
      </c>
      <c r="O86" s="75">
        <f t="shared" ref="O86:O88" si="69">G86*K86</f>
        <v>449279.16000000003</v>
      </c>
      <c r="P86" s="75"/>
      <c r="Q86" s="75">
        <f t="shared" ref="Q86:Q87" si="70">G86*L86</f>
        <v>1143129.43</v>
      </c>
      <c r="R86" s="75"/>
      <c r="S86" s="75"/>
      <c r="T86" s="75">
        <f t="shared" si="1"/>
        <v>2857740.88</v>
      </c>
      <c r="U86" s="75">
        <f t="shared" si="2"/>
        <v>2857740.88</v>
      </c>
      <c r="V86" s="75">
        <f t="shared" si="3"/>
        <v>2857740.88</v>
      </c>
    </row>
    <row r="87" spans="1:22" ht="120" x14ac:dyDescent="0.25">
      <c r="A87" s="88"/>
      <c r="B87" s="97" t="s">
        <v>24</v>
      </c>
      <c r="C87" s="125" t="s">
        <v>162</v>
      </c>
      <c r="D87" s="112" t="s">
        <v>20</v>
      </c>
      <c r="E87" s="87">
        <v>75</v>
      </c>
      <c r="F87" s="87">
        <v>75</v>
      </c>
      <c r="G87" s="87">
        <f t="shared" si="67"/>
        <v>75</v>
      </c>
      <c r="H87" s="87">
        <v>75</v>
      </c>
      <c r="I87" s="87">
        <v>75</v>
      </c>
      <c r="J87" s="75">
        <v>50023.83</v>
      </c>
      <c r="K87" s="75">
        <v>12142.68</v>
      </c>
      <c r="L87" s="156">
        <v>30895.39</v>
      </c>
      <c r="M87" s="75">
        <f t="shared" ref="M87" si="71">J87+K87+L87</f>
        <v>93061.9</v>
      </c>
      <c r="N87" s="75">
        <f t="shared" si="68"/>
        <v>3751787.25</v>
      </c>
      <c r="O87" s="75">
        <f t="shared" si="69"/>
        <v>910701</v>
      </c>
      <c r="P87" s="75"/>
      <c r="Q87" s="75">
        <f t="shared" si="70"/>
        <v>2317154.25</v>
      </c>
      <c r="R87" s="75"/>
      <c r="S87" s="75"/>
      <c r="T87" s="75">
        <f t="shared" ref="T87" si="72">SUM(N87:Q87)</f>
        <v>6979642.5</v>
      </c>
      <c r="U87" s="75">
        <f t="shared" ref="U87" si="73">H87*M87</f>
        <v>6979642.5</v>
      </c>
      <c r="V87" s="75">
        <f t="shared" ref="V87" si="74">I87*M87</f>
        <v>6979642.5</v>
      </c>
    </row>
    <row r="88" spans="1:22" x14ac:dyDescent="0.25">
      <c r="A88" s="86"/>
      <c r="B88" s="176" t="s">
        <v>28</v>
      </c>
      <c r="C88" s="127" t="s">
        <v>219</v>
      </c>
      <c r="D88" s="86" t="s">
        <v>20</v>
      </c>
      <c r="E88" s="87">
        <f>E87+E86+E85</f>
        <v>140</v>
      </c>
      <c r="F88" s="87">
        <f>F87+F86+F85</f>
        <v>140</v>
      </c>
      <c r="G88" s="87">
        <f t="shared" si="67"/>
        <v>140</v>
      </c>
      <c r="H88" s="87">
        <f>H87+H86+H85</f>
        <v>140</v>
      </c>
      <c r="I88" s="87">
        <f>I87+I86+I85</f>
        <v>140</v>
      </c>
      <c r="J88" s="75" t="s">
        <v>23</v>
      </c>
      <c r="K88" s="75"/>
      <c r="L88" s="162">
        <v>10176.66</v>
      </c>
      <c r="M88" s="75">
        <f t="shared" si="6"/>
        <v>10176.66</v>
      </c>
      <c r="N88" s="75">
        <f t="shared" si="68"/>
        <v>0</v>
      </c>
      <c r="O88" s="75">
        <f t="shared" si="69"/>
        <v>0</v>
      </c>
      <c r="P88" s="75"/>
      <c r="Q88" s="75">
        <f>G88*L88</f>
        <v>1424732.4</v>
      </c>
      <c r="R88" s="75"/>
      <c r="S88" s="75"/>
      <c r="T88" s="75">
        <f t="shared" si="1"/>
        <v>1424732.4</v>
      </c>
      <c r="U88" s="75">
        <f t="shared" si="2"/>
        <v>1424732.4</v>
      </c>
      <c r="V88" s="75">
        <f t="shared" si="3"/>
        <v>1424732.4</v>
      </c>
    </row>
    <row r="89" spans="1:22" x14ac:dyDescent="0.25">
      <c r="A89" s="86"/>
      <c r="B89" s="176" t="s">
        <v>28</v>
      </c>
      <c r="C89" s="127" t="s">
        <v>220</v>
      </c>
      <c r="D89" s="86"/>
      <c r="E89" s="87"/>
      <c r="F89" s="87"/>
      <c r="G89" s="87"/>
      <c r="H89" s="87"/>
      <c r="I89" s="87"/>
      <c r="J89" s="75"/>
      <c r="K89" s="75"/>
      <c r="L89" s="162">
        <v>12248.94</v>
      </c>
      <c r="M89" s="75"/>
      <c r="N89" s="75"/>
      <c r="O89" s="75"/>
      <c r="P89" s="75"/>
      <c r="Q89" s="75"/>
      <c r="R89" s="75"/>
      <c r="S89" s="75">
        <f>L89*G88</f>
        <v>1714851.6</v>
      </c>
      <c r="T89" s="75"/>
      <c r="U89" s="75"/>
      <c r="V89" s="75"/>
    </row>
    <row r="90" spans="1:22" x14ac:dyDescent="0.25">
      <c r="A90" s="113" t="s">
        <v>68</v>
      </c>
      <c r="B90" s="94"/>
      <c r="C90" s="94"/>
      <c r="D90" s="94"/>
      <c r="E90" s="92"/>
      <c r="F90" s="92"/>
      <c r="G90" s="92"/>
      <c r="H90" s="92"/>
      <c r="I90" s="92"/>
      <c r="J90" s="78"/>
      <c r="K90" s="78"/>
      <c r="L90" s="78"/>
      <c r="M90" s="78">
        <f t="shared" si="6"/>
        <v>0</v>
      </c>
      <c r="N90" s="78">
        <f>N91+N95</f>
        <v>5861980.0199999996</v>
      </c>
      <c r="O90" s="78">
        <f t="shared" ref="O90:V90" si="75">O91+O95</f>
        <v>1724260.56</v>
      </c>
      <c r="P90" s="78"/>
      <c r="Q90" s="181">
        <f t="shared" si="75"/>
        <v>5832231.0999999996</v>
      </c>
      <c r="R90" s="181"/>
      <c r="S90" s="78">
        <f>S89</f>
        <v>1714851.6</v>
      </c>
      <c r="T90" s="78">
        <f t="shared" si="75"/>
        <v>13418471.680000002</v>
      </c>
      <c r="U90" s="78">
        <f t="shared" si="75"/>
        <v>13418471.68</v>
      </c>
      <c r="V90" s="78">
        <f t="shared" si="75"/>
        <v>13418471.68</v>
      </c>
    </row>
    <row r="91" spans="1:22" ht="85.5" x14ac:dyDescent="0.25">
      <c r="A91" s="83"/>
      <c r="B91" s="84" t="s">
        <v>76</v>
      </c>
      <c r="C91" s="128"/>
      <c r="D91" s="95"/>
      <c r="E91" s="68"/>
      <c r="F91" s="68"/>
      <c r="G91" s="68"/>
      <c r="H91" s="68"/>
      <c r="I91" s="68"/>
      <c r="J91" s="75"/>
      <c r="K91" s="75"/>
      <c r="L91" s="75"/>
      <c r="M91" s="75">
        <f t="shared" si="6"/>
        <v>0</v>
      </c>
      <c r="N91" s="75">
        <f>SUM(N92:N94)</f>
        <v>5861980.0199999996</v>
      </c>
      <c r="O91" s="75">
        <f>SUM(O92:O94)</f>
        <v>1724260.56</v>
      </c>
      <c r="P91" s="75"/>
      <c r="Q91" s="75">
        <f t="shared" ref="Q91:V91" si="76">SUM(Q92:Q94)</f>
        <v>4387145.38</v>
      </c>
      <c r="R91" s="75"/>
      <c r="S91" s="75"/>
      <c r="T91" s="75">
        <f t="shared" si="76"/>
        <v>11973385.960000001</v>
      </c>
      <c r="U91" s="75">
        <f t="shared" si="76"/>
        <v>11973385.959999999</v>
      </c>
      <c r="V91" s="75">
        <f t="shared" si="76"/>
        <v>11973385.959999999</v>
      </c>
    </row>
    <row r="92" spans="1:22" ht="105" x14ac:dyDescent="0.25">
      <c r="A92" s="83"/>
      <c r="B92" s="97" t="s">
        <v>19</v>
      </c>
      <c r="C92" s="93" t="s">
        <v>0</v>
      </c>
      <c r="D92" s="112" t="s">
        <v>20</v>
      </c>
      <c r="E92" s="87">
        <v>24</v>
      </c>
      <c r="F92" s="87">
        <v>24</v>
      </c>
      <c r="G92" s="87">
        <f t="shared" ref="G92:G95" si="77">(E92*8+F92*4)/12</f>
        <v>24</v>
      </c>
      <c r="H92" s="87">
        <v>24</v>
      </c>
      <c r="I92" s="87">
        <v>24</v>
      </c>
      <c r="J92" s="75">
        <v>43138.04</v>
      </c>
      <c r="K92" s="75">
        <v>12142.68</v>
      </c>
      <c r="L92" s="156">
        <v>30895.39</v>
      </c>
      <c r="M92" s="75">
        <f t="shared" si="6"/>
        <v>86176.11</v>
      </c>
      <c r="N92" s="75">
        <f>G92*J92</f>
        <v>1035312.96</v>
      </c>
      <c r="O92" s="75">
        <f>G92*K92</f>
        <v>291424.32</v>
      </c>
      <c r="P92" s="75"/>
      <c r="Q92" s="75">
        <f>G92*L92</f>
        <v>741489.36</v>
      </c>
      <c r="R92" s="75"/>
      <c r="S92" s="75"/>
      <c r="T92" s="75">
        <f t="shared" si="1"/>
        <v>2068226.6400000001</v>
      </c>
      <c r="U92" s="75">
        <f t="shared" si="2"/>
        <v>2068226.6400000001</v>
      </c>
      <c r="V92" s="75">
        <f t="shared" si="3"/>
        <v>2068226.6400000001</v>
      </c>
    </row>
    <row r="93" spans="1:22" x14ac:dyDescent="0.25">
      <c r="A93" s="88"/>
      <c r="B93" s="97" t="s">
        <v>24</v>
      </c>
      <c r="C93" s="97"/>
      <c r="D93" s="86" t="s">
        <v>20</v>
      </c>
      <c r="E93" s="87">
        <v>68</v>
      </c>
      <c r="F93" s="87">
        <v>68</v>
      </c>
      <c r="G93" s="87">
        <f t="shared" si="77"/>
        <v>68</v>
      </c>
      <c r="H93" s="87">
        <v>68</v>
      </c>
      <c r="I93" s="87">
        <v>68</v>
      </c>
      <c r="J93" s="75">
        <v>34198.17</v>
      </c>
      <c r="K93" s="75">
        <v>12142.68</v>
      </c>
      <c r="L93" s="156">
        <v>30895.39</v>
      </c>
      <c r="M93" s="75">
        <f t="shared" si="6"/>
        <v>77236.239999999991</v>
      </c>
      <c r="N93" s="75">
        <f t="shared" ref="N93:N95" si="78">G93*J93</f>
        <v>2325475.56</v>
      </c>
      <c r="O93" s="75">
        <f>G93*K93</f>
        <v>825702.24</v>
      </c>
      <c r="P93" s="75"/>
      <c r="Q93" s="75">
        <f t="shared" ref="Q93:Q94" si="79">G93*L93</f>
        <v>2100886.52</v>
      </c>
      <c r="R93" s="75"/>
      <c r="S93" s="75"/>
      <c r="T93" s="75">
        <f t="shared" si="1"/>
        <v>5252064.32</v>
      </c>
      <c r="U93" s="75">
        <f t="shared" si="2"/>
        <v>5252064.3199999994</v>
      </c>
      <c r="V93" s="75">
        <f t="shared" si="3"/>
        <v>5252064.3199999994</v>
      </c>
    </row>
    <row r="94" spans="1:22" ht="120" x14ac:dyDescent="0.25">
      <c r="A94" s="88"/>
      <c r="B94" s="97" t="s">
        <v>24</v>
      </c>
      <c r="C94" s="93" t="s">
        <v>162</v>
      </c>
      <c r="D94" s="112" t="s">
        <v>20</v>
      </c>
      <c r="E94" s="87">
        <v>50</v>
      </c>
      <c r="F94" s="87">
        <v>50</v>
      </c>
      <c r="G94" s="87">
        <f t="shared" si="77"/>
        <v>50</v>
      </c>
      <c r="H94" s="87">
        <v>50</v>
      </c>
      <c r="I94" s="87">
        <v>50</v>
      </c>
      <c r="J94" s="75">
        <v>50023.83</v>
      </c>
      <c r="K94" s="75">
        <v>12142.68</v>
      </c>
      <c r="L94" s="156">
        <v>30895.39</v>
      </c>
      <c r="M94" s="75">
        <f t="shared" si="6"/>
        <v>93061.9</v>
      </c>
      <c r="N94" s="75">
        <f t="shared" si="78"/>
        <v>2501191.5</v>
      </c>
      <c r="O94" s="75">
        <f>G94*K94</f>
        <v>607134</v>
      </c>
      <c r="P94" s="75"/>
      <c r="Q94" s="75">
        <f t="shared" si="79"/>
        <v>1544769.5</v>
      </c>
      <c r="R94" s="75"/>
      <c r="S94" s="75"/>
      <c r="T94" s="75">
        <f t="shared" si="1"/>
        <v>4653095</v>
      </c>
      <c r="U94" s="75">
        <f t="shared" si="2"/>
        <v>4653095</v>
      </c>
      <c r="V94" s="75">
        <f t="shared" si="3"/>
        <v>4653095</v>
      </c>
    </row>
    <row r="95" spans="1:22" x14ac:dyDescent="0.25">
      <c r="A95" s="86"/>
      <c r="B95" s="176" t="s">
        <v>28</v>
      </c>
      <c r="C95" s="127" t="s">
        <v>219</v>
      </c>
      <c r="D95" s="86" t="s">
        <v>20</v>
      </c>
      <c r="E95" s="87">
        <f>E94+E93+E92</f>
        <v>142</v>
      </c>
      <c r="F95" s="87">
        <f>F94+F93+F92</f>
        <v>142</v>
      </c>
      <c r="G95" s="87">
        <f t="shared" si="77"/>
        <v>142</v>
      </c>
      <c r="H95" s="87">
        <f>H94+H93+H92</f>
        <v>142</v>
      </c>
      <c r="I95" s="87">
        <f>I94+I93+I92</f>
        <v>142</v>
      </c>
      <c r="J95" s="75" t="s">
        <v>23</v>
      </c>
      <c r="K95" s="75"/>
      <c r="L95" s="162">
        <v>10176.66</v>
      </c>
      <c r="M95" s="75">
        <f t="shared" si="6"/>
        <v>10176.66</v>
      </c>
      <c r="N95" s="75">
        <f t="shared" si="78"/>
        <v>0</v>
      </c>
      <c r="O95" s="75">
        <f t="shared" ref="O95" si="80">G95*K95</f>
        <v>0</v>
      </c>
      <c r="P95" s="75"/>
      <c r="Q95" s="75">
        <f>G95*L95</f>
        <v>1445085.72</v>
      </c>
      <c r="R95" s="75"/>
      <c r="S95" s="75"/>
      <c r="T95" s="75">
        <f t="shared" si="1"/>
        <v>1445085.72</v>
      </c>
      <c r="U95" s="75">
        <f t="shared" si="2"/>
        <v>1445085.72</v>
      </c>
      <c r="V95" s="75">
        <f t="shared" si="3"/>
        <v>1445085.72</v>
      </c>
    </row>
    <row r="96" spans="1:22" x14ac:dyDescent="0.25">
      <c r="A96" s="86"/>
      <c r="B96" s="176" t="s">
        <v>28</v>
      </c>
      <c r="C96" s="127" t="s">
        <v>220</v>
      </c>
      <c r="D96" s="86"/>
      <c r="E96" s="87"/>
      <c r="F96" s="87"/>
      <c r="G96" s="87"/>
      <c r="H96" s="87"/>
      <c r="I96" s="87"/>
      <c r="J96" s="75"/>
      <c r="K96" s="75"/>
      <c r="L96" s="162">
        <v>12248.94</v>
      </c>
      <c r="M96" s="75"/>
      <c r="N96" s="75"/>
      <c r="O96" s="75"/>
      <c r="P96" s="75"/>
      <c r="Q96" s="75"/>
      <c r="R96" s="75"/>
      <c r="S96" s="75">
        <f>L96*G95</f>
        <v>1739349.48</v>
      </c>
      <c r="T96" s="75"/>
      <c r="U96" s="75"/>
      <c r="V96" s="75"/>
    </row>
    <row r="97" spans="1:22" s="96" customFormat="1" ht="14.25" x14ac:dyDescent="0.2">
      <c r="A97" s="113" t="s">
        <v>71</v>
      </c>
      <c r="B97" s="94"/>
      <c r="C97" s="94"/>
      <c r="D97" s="94"/>
      <c r="E97" s="92"/>
      <c r="F97" s="92"/>
      <c r="G97" s="92"/>
      <c r="H97" s="92"/>
      <c r="I97" s="92"/>
      <c r="J97" s="78"/>
      <c r="K97" s="78"/>
      <c r="L97" s="78"/>
      <c r="M97" s="78">
        <f t="shared" si="6"/>
        <v>0</v>
      </c>
      <c r="N97" s="78">
        <f>N98+N102</f>
        <v>10839512.129999999</v>
      </c>
      <c r="O97" s="78">
        <f t="shared" ref="O97:V97" si="81">O98+O102</f>
        <v>2974956.6</v>
      </c>
      <c r="P97" s="78"/>
      <c r="Q97" s="181">
        <f t="shared" si="81"/>
        <v>9611389.5999999996</v>
      </c>
      <c r="R97" s="181"/>
      <c r="S97" s="78">
        <f>S96</f>
        <v>1739349.48</v>
      </c>
      <c r="T97" s="78">
        <f t="shared" si="81"/>
        <v>23425858.330000002</v>
      </c>
      <c r="U97" s="78">
        <f t="shared" si="81"/>
        <v>23425867.73</v>
      </c>
      <c r="V97" s="78">
        <f t="shared" si="81"/>
        <v>23425867.73</v>
      </c>
    </row>
    <row r="98" spans="1:22" ht="85.5" x14ac:dyDescent="0.25">
      <c r="A98" s="83"/>
      <c r="B98" s="84" t="s">
        <v>76</v>
      </c>
      <c r="C98" s="128"/>
      <c r="D98" s="95"/>
      <c r="E98" s="68"/>
      <c r="F98" s="68"/>
      <c r="G98" s="68"/>
      <c r="H98" s="68"/>
      <c r="I98" s="68"/>
      <c r="J98" s="75"/>
      <c r="K98" s="75"/>
      <c r="L98" s="75"/>
      <c r="M98" s="75">
        <f t="shared" ref="M98:M102" si="82">J98+K98+L98</f>
        <v>0</v>
      </c>
      <c r="N98" s="75">
        <f>SUM(N99:N101)</f>
        <v>10839512.129999999</v>
      </c>
      <c r="O98" s="75">
        <f t="shared" ref="O98:V98" si="83">SUM(O99:O101)</f>
        <v>2974956.6</v>
      </c>
      <c r="P98" s="75"/>
      <c r="Q98" s="75">
        <f t="shared" si="83"/>
        <v>7075462.7999999998</v>
      </c>
      <c r="R98" s="75"/>
      <c r="S98" s="75"/>
      <c r="T98" s="75">
        <f>SUM(T99:T101)</f>
        <v>20889931.530000001</v>
      </c>
      <c r="U98" s="75">
        <f t="shared" si="83"/>
        <v>20889931.530000001</v>
      </c>
      <c r="V98" s="75">
        <f t="shared" si="83"/>
        <v>20889931.530000001</v>
      </c>
    </row>
    <row r="99" spans="1:22" ht="105" x14ac:dyDescent="0.25">
      <c r="A99" s="83"/>
      <c r="B99" s="97" t="s">
        <v>19</v>
      </c>
      <c r="C99" s="93" t="s">
        <v>0</v>
      </c>
      <c r="D99" s="112" t="s">
        <v>20</v>
      </c>
      <c r="E99" s="87">
        <v>54</v>
      </c>
      <c r="F99" s="87">
        <v>54</v>
      </c>
      <c r="G99" s="87">
        <f t="shared" ref="G99:G102" si="84">(E99*8+F99*4)/12</f>
        <v>54</v>
      </c>
      <c r="H99" s="87">
        <v>54</v>
      </c>
      <c r="I99" s="87">
        <v>54</v>
      </c>
      <c r="J99" s="75">
        <v>43138.04</v>
      </c>
      <c r="K99" s="75">
        <v>12142.68</v>
      </c>
      <c r="L99" s="156">
        <v>28879.439999999999</v>
      </c>
      <c r="M99" s="75">
        <f t="shared" si="82"/>
        <v>84160.16</v>
      </c>
      <c r="N99" s="75">
        <f>G99*J99</f>
        <v>2329454.16</v>
      </c>
      <c r="O99" s="75">
        <f>G99*K99</f>
        <v>655704.72</v>
      </c>
      <c r="P99" s="75"/>
      <c r="Q99" s="75">
        <f>G99*L99</f>
        <v>1559489.76</v>
      </c>
      <c r="R99" s="75"/>
      <c r="S99" s="75"/>
      <c r="T99" s="75">
        <f t="shared" ref="T99:T102" si="85">SUM(N99:Q99)</f>
        <v>4544648.6399999997</v>
      </c>
      <c r="U99" s="75">
        <f t="shared" ref="U99:U102" si="86">H99*M99</f>
        <v>4544648.6400000006</v>
      </c>
      <c r="V99" s="75">
        <f t="shared" ref="V99:V102" si="87">I99*M99</f>
        <v>4544648.6400000006</v>
      </c>
    </row>
    <row r="100" spans="1:22" x14ac:dyDescent="0.25">
      <c r="A100" s="88"/>
      <c r="B100" s="97" t="s">
        <v>24</v>
      </c>
      <c r="C100" s="97"/>
      <c r="D100" s="86" t="s">
        <v>20</v>
      </c>
      <c r="E100" s="87">
        <v>66</v>
      </c>
      <c r="F100" s="87">
        <v>66</v>
      </c>
      <c r="G100" s="87">
        <f t="shared" si="84"/>
        <v>66</v>
      </c>
      <c r="H100" s="87">
        <v>66</v>
      </c>
      <c r="I100" s="87">
        <v>66</v>
      </c>
      <c r="J100" s="75">
        <v>34198.17</v>
      </c>
      <c r="K100" s="75">
        <v>12142.68</v>
      </c>
      <c r="L100" s="156">
        <v>28879.439999999999</v>
      </c>
      <c r="M100" s="75">
        <f t="shared" si="82"/>
        <v>75220.289999999994</v>
      </c>
      <c r="N100" s="75">
        <f t="shared" ref="N100:N102" si="88">G100*J100</f>
        <v>2257079.2199999997</v>
      </c>
      <c r="O100" s="75">
        <f t="shared" ref="O100:O102" si="89">G100*K100</f>
        <v>801416.88</v>
      </c>
      <c r="P100" s="75"/>
      <c r="Q100" s="75">
        <f t="shared" ref="Q100:Q101" si="90">G100*L100</f>
        <v>1906043.0399999998</v>
      </c>
      <c r="R100" s="75"/>
      <c r="S100" s="75"/>
      <c r="T100" s="75">
        <f t="shared" si="85"/>
        <v>4964539.1399999997</v>
      </c>
      <c r="U100" s="75">
        <f t="shared" si="86"/>
        <v>4964539.1399999997</v>
      </c>
      <c r="V100" s="75">
        <f t="shared" si="87"/>
        <v>4964539.1399999997</v>
      </c>
    </row>
    <row r="101" spans="1:22" ht="120" x14ac:dyDescent="0.25">
      <c r="A101" s="88"/>
      <c r="B101" s="97" t="s">
        <v>24</v>
      </c>
      <c r="C101" s="93" t="s">
        <v>162</v>
      </c>
      <c r="D101" s="112" t="s">
        <v>20</v>
      </c>
      <c r="E101" s="87">
        <v>125</v>
      </c>
      <c r="F101" s="87">
        <v>125</v>
      </c>
      <c r="G101" s="87">
        <f t="shared" si="84"/>
        <v>125</v>
      </c>
      <c r="H101" s="87">
        <v>125</v>
      </c>
      <c r="I101" s="87">
        <v>125</v>
      </c>
      <c r="J101" s="75">
        <v>50023.83</v>
      </c>
      <c r="K101" s="75">
        <v>12142.68</v>
      </c>
      <c r="L101" s="156">
        <v>28879.439999999999</v>
      </c>
      <c r="M101" s="75">
        <f t="shared" si="82"/>
        <v>91045.95</v>
      </c>
      <c r="N101" s="75">
        <f t="shared" si="88"/>
        <v>6252978.75</v>
      </c>
      <c r="O101" s="75">
        <f t="shared" si="89"/>
        <v>1517835</v>
      </c>
      <c r="P101" s="75"/>
      <c r="Q101" s="75">
        <f t="shared" si="90"/>
        <v>3609930</v>
      </c>
      <c r="R101" s="75"/>
      <c r="S101" s="75"/>
      <c r="T101" s="75">
        <f t="shared" si="85"/>
        <v>11380743.75</v>
      </c>
      <c r="U101" s="75">
        <f t="shared" si="86"/>
        <v>11380743.75</v>
      </c>
      <c r="V101" s="75">
        <f t="shared" si="87"/>
        <v>11380743.75</v>
      </c>
    </row>
    <row r="102" spans="1:22" x14ac:dyDescent="0.25">
      <c r="A102" s="86"/>
      <c r="B102" s="176" t="s">
        <v>28</v>
      </c>
      <c r="C102" s="127" t="s">
        <v>219</v>
      </c>
      <c r="D102" s="86" t="s">
        <v>20</v>
      </c>
      <c r="E102" s="87">
        <f>E101+E100+E99</f>
        <v>245</v>
      </c>
      <c r="F102" s="87">
        <f>F101+F100+F99</f>
        <v>245</v>
      </c>
      <c r="G102" s="87">
        <f t="shared" si="84"/>
        <v>245</v>
      </c>
      <c r="H102" s="87">
        <f>H101+H100+H99</f>
        <v>245</v>
      </c>
      <c r="I102" s="87">
        <f>I101+I100+I99</f>
        <v>245</v>
      </c>
      <c r="J102" s="75" t="s">
        <v>23</v>
      </c>
      <c r="K102" s="75"/>
      <c r="L102" s="162">
        <v>10350.76</v>
      </c>
      <c r="M102" s="75">
        <f t="shared" si="82"/>
        <v>10350.76</v>
      </c>
      <c r="N102" s="75">
        <f t="shared" si="88"/>
        <v>0</v>
      </c>
      <c r="O102" s="75">
        <f t="shared" si="89"/>
        <v>0</v>
      </c>
      <c r="P102" s="75"/>
      <c r="Q102" s="75">
        <f>G102*L102-9.4</f>
        <v>2535926.8000000003</v>
      </c>
      <c r="R102" s="75"/>
      <c r="S102" s="75"/>
      <c r="T102" s="75">
        <f t="shared" si="85"/>
        <v>2535926.8000000003</v>
      </c>
      <c r="U102" s="75">
        <f t="shared" si="86"/>
        <v>2535936.2000000002</v>
      </c>
      <c r="V102" s="75">
        <f t="shared" si="87"/>
        <v>2535936.2000000002</v>
      </c>
    </row>
    <row r="103" spans="1:22" x14ac:dyDescent="0.25">
      <c r="A103" s="86"/>
      <c r="B103" s="176" t="s">
        <v>28</v>
      </c>
      <c r="C103" s="127" t="s">
        <v>220</v>
      </c>
      <c r="D103" s="86"/>
      <c r="E103" s="87"/>
      <c r="F103" s="87"/>
      <c r="G103" s="87"/>
      <c r="H103" s="87"/>
      <c r="I103" s="87"/>
      <c r="J103" s="75"/>
      <c r="K103" s="75"/>
      <c r="L103" s="162">
        <v>12248.94</v>
      </c>
      <c r="M103" s="75"/>
      <c r="N103" s="75"/>
      <c r="O103" s="75"/>
      <c r="P103" s="75"/>
      <c r="Q103" s="75"/>
      <c r="R103" s="75"/>
      <c r="S103" s="75">
        <f>L103*G102</f>
        <v>3000990.3000000003</v>
      </c>
      <c r="T103" s="75"/>
      <c r="U103" s="75"/>
      <c r="V103" s="75"/>
    </row>
    <row r="104" spans="1:22" x14ac:dyDescent="0.25">
      <c r="A104" s="247" t="s">
        <v>154</v>
      </c>
      <c r="B104" s="247"/>
      <c r="C104" s="247"/>
      <c r="D104" s="86"/>
      <c r="E104" s="87"/>
      <c r="F104" s="87"/>
      <c r="G104" s="87"/>
      <c r="H104" s="87"/>
      <c r="I104" s="87"/>
      <c r="J104" s="75"/>
      <c r="K104" s="75"/>
      <c r="L104" s="75"/>
      <c r="M104" s="75"/>
      <c r="N104" s="75"/>
      <c r="O104" s="75"/>
      <c r="P104" s="75"/>
      <c r="Q104" s="162">
        <f>Q97+Q90+Q83+Q73+Q63+Q56+Q48+Q40+Q33+Q25+Q20+Q12</f>
        <v>70726600</v>
      </c>
      <c r="R104" s="162"/>
      <c r="S104" s="75"/>
      <c r="T104" s="75"/>
      <c r="U104" s="75"/>
      <c r="V104" s="75"/>
    </row>
    <row r="105" spans="1:22" ht="30" x14ac:dyDescent="0.25">
      <c r="A105" s="251" t="s">
        <v>3</v>
      </c>
      <c r="B105" s="251" t="s">
        <v>86</v>
      </c>
      <c r="C105" s="114" t="s">
        <v>87</v>
      </c>
      <c r="D105" s="251" t="s">
        <v>4</v>
      </c>
      <c r="E105" s="252" t="s">
        <v>5</v>
      </c>
      <c r="F105" s="252"/>
      <c r="G105" s="252"/>
      <c r="H105" s="252"/>
      <c r="I105" s="252"/>
      <c r="J105" s="240" t="s">
        <v>6</v>
      </c>
      <c r="K105" s="240"/>
      <c r="L105" s="240"/>
      <c r="M105" s="240"/>
      <c r="N105" s="240" t="s">
        <v>7</v>
      </c>
      <c r="O105" s="240"/>
      <c r="P105" s="240"/>
      <c r="Q105" s="240"/>
      <c r="R105" s="240"/>
      <c r="S105" s="240"/>
      <c r="T105" s="240"/>
      <c r="U105" s="240"/>
      <c r="V105" s="240"/>
    </row>
    <row r="106" spans="1:22" ht="120" x14ac:dyDescent="0.25">
      <c r="A106" s="251"/>
      <c r="B106" s="251"/>
      <c r="C106" s="114"/>
      <c r="D106" s="251"/>
      <c r="E106" s="155" t="s">
        <v>176</v>
      </c>
      <c r="F106" s="155" t="s">
        <v>208</v>
      </c>
      <c r="G106" s="158" t="s">
        <v>212</v>
      </c>
      <c r="H106" s="155" t="s">
        <v>183</v>
      </c>
      <c r="I106" s="155" t="s">
        <v>205</v>
      </c>
      <c r="J106" s="141" t="s">
        <v>88</v>
      </c>
      <c r="K106" s="141" t="s">
        <v>89</v>
      </c>
      <c r="L106" s="141" t="s">
        <v>90</v>
      </c>
      <c r="M106" s="141" t="s">
        <v>91</v>
      </c>
      <c r="N106" s="152" t="s">
        <v>209</v>
      </c>
      <c r="O106" s="131" t="s">
        <v>93</v>
      </c>
      <c r="P106" s="177"/>
      <c r="Q106" s="119" t="s">
        <v>94</v>
      </c>
      <c r="R106" s="177"/>
      <c r="S106" s="175"/>
      <c r="T106" s="115" t="s">
        <v>95</v>
      </c>
      <c r="U106" s="152" t="s">
        <v>184</v>
      </c>
      <c r="V106" s="152" t="s">
        <v>210</v>
      </c>
    </row>
    <row r="107" spans="1:22" ht="45" x14ac:dyDescent="0.25">
      <c r="A107" s="98" t="s">
        <v>13</v>
      </c>
      <c r="B107" s="98" t="s">
        <v>13</v>
      </c>
      <c r="C107" s="98"/>
      <c r="D107" s="98" t="s">
        <v>15</v>
      </c>
      <c r="E107" s="99" t="s">
        <v>16</v>
      </c>
      <c r="F107" s="99" t="s">
        <v>16</v>
      </c>
      <c r="G107" s="99"/>
      <c r="H107" s="99" t="s">
        <v>16</v>
      </c>
      <c r="I107" s="99" t="s">
        <v>16</v>
      </c>
      <c r="J107" s="141" t="s">
        <v>17</v>
      </c>
      <c r="K107" s="141" t="s">
        <v>17</v>
      </c>
      <c r="L107" s="141" t="s">
        <v>17</v>
      </c>
      <c r="M107" s="141" t="s">
        <v>17</v>
      </c>
      <c r="N107" s="140" t="s">
        <v>17</v>
      </c>
      <c r="O107" s="131" t="s">
        <v>17</v>
      </c>
      <c r="P107" s="177"/>
      <c r="Q107" s="119" t="s">
        <v>17</v>
      </c>
      <c r="R107" s="177"/>
      <c r="S107" s="175"/>
      <c r="T107" s="115" t="s">
        <v>17</v>
      </c>
      <c r="U107" s="111" t="s">
        <v>17</v>
      </c>
      <c r="V107" s="111" t="s">
        <v>17</v>
      </c>
    </row>
    <row r="108" spans="1:22" ht="90" x14ac:dyDescent="0.25">
      <c r="A108" s="235" t="s">
        <v>98</v>
      </c>
      <c r="B108" s="237" t="s">
        <v>99</v>
      </c>
      <c r="C108" s="61" t="s">
        <v>100</v>
      </c>
      <c r="D108" s="62" t="s">
        <v>101</v>
      </c>
      <c r="E108" s="59">
        <v>268</v>
      </c>
      <c r="F108" s="59">
        <v>268</v>
      </c>
      <c r="G108" s="59">
        <f>((E108*8)+(F108*4))/12</f>
        <v>268</v>
      </c>
      <c r="H108" s="59">
        <v>268</v>
      </c>
      <c r="I108" s="59">
        <v>268</v>
      </c>
      <c r="J108" s="107">
        <f>SUM(K108:M108)</f>
        <v>40097.97</v>
      </c>
      <c r="K108" s="147">
        <f>23119.12+1351.63</f>
        <v>24470.75</v>
      </c>
      <c r="L108" s="70">
        <v>4001.99</v>
      </c>
      <c r="M108" s="163">
        <v>11625.23</v>
      </c>
      <c r="N108" s="71">
        <f>SUM(O108:T108)</f>
        <v>10746255.960000001</v>
      </c>
      <c r="O108" s="146">
        <f>G108*K108</f>
        <v>6558161</v>
      </c>
      <c r="P108" s="146"/>
      <c r="Q108" s="71">
        <f>G108*L108</f>
        <v>1072533.3199999998</v>
      </c>
      <c r="R108" s="71"/>
      <c r="S108" s="71"/>
      <c r="T108" s="156">
        <f>G108*M108</f>
        <v>3115561.6399999997</v>
      </c>
      <c r="U108" s="75">
        <f>H108*J108</f>
        <v>10746255.960000001</v>
      </c>
      <c r="V108" s="75">
        <f>I108*J108</f>
        <v>10746255.960000001</v>
      </c>
    </row>
    <row r="109" spans="1:22" ht="120.75" customHeight="1" x14ac:dyDescent="0.25">
      <c r="A109" s="235"/>
      <c r="B109" s="238"/>
      <c r="C109" s="63" t="s">
        <v>163</v>
      </c>
      <c r="D109" s="64" t="s">
        <v>101</v>
      </c>
      <c r="E109" s="59" t="s">
        <v>104</v>
      </c>
      <c r="F109" s="59" t="s">
        <v>104</v>
      </c>
      <c r="G109" s="59"/>
      <c r="H109" s="59" t="s">
        <v>104</v>
      </c>
      <c r="I109" s="59" t="s">
        <v>104</v>
      </c>
      <c r="J109" s="59" t="s">
        <v>104</v>
      </c>
      <c r="K109" s="59" t="s">
        <v>104</v>
      </c>
      <c r="L109" s="72" t="s">
        <v>104</v>
      </c>
      <c r="M109" s="72" t="s">
        <v>104</v>
      </c>
      <c r="N109" s="140"/>
      <c r="O109" s="71"/>
      <c r="P109" s="71"/>
      <c r="Q109" s="72" t="s">
        <v>104</v>
      </c>
      <c r="R109" s="72"/>
      <c r="S109" s="72"/>
      <c r="T109" s="72" t="s">
        <v>104</v>
      </c>
      <c r="U109" s="100"/>
      <c r="V109" s="100"/>
    </row>
    <row r="110" spans="1:22" x14ac:dyDescent="0.25">
      <c r="A110" s="235"/>
      <c r="B110" s="238"/>
      <c r="C110" s="63" t="s">
        <v>164</v>
      </c>
      <c r="D110" s="64"/>
      <c r="E110" s="123"/>
      <c r="F110" s="59"/>
      <c r="G110" s="59">
        <f>((E110*8)+(F110*4))/12</f>
        <v>0</v>
      </c>
      <c r="H110" s="123"/>
      <c r="I110" s="123"/>
      <c r="J110" s="71">
        <f>K110</f>
        <v>25589.72</v>
      </c>
      <c r="K110" s="75">
        <v>25589.72</v>
      </c>
      <c r="L110" s="72" t="s">
        <v>104</v>
      </c>
      <c r="M110" s="72" t="s">
        <v>104</v>
      </c>
      <c r="N110" s="140">
        <f>O110</f>
        <v>0</v>
      </c>
      <c r="O110" s="146">
        <f>G110*K110</f>
        <v>0</v>
      </c>
      <c r="P110" s="146"/>
      <c r="Q110" s="72" t="s">
        <v>104</v>
      </c>
      <c r="R110" s="72"/>
      <c r="S110" s="72"/>
      <c r="T110" s="72" t="s">
        <v>104</v>
      </c>
      <c r="U110" s="100">
        <f>H110*K110</f>
        <v>0</v>
      </c>
      <c r="V110" s="100">
        <f>I110*K110</f>
        <v>0</v>
      </c>
    </row>
    <row r="111" spans="1:22" x14ac:dyDescent="0.25">
      <c r="A111" s="235"/>
      <c r="B111" s="238"/>
      <c r="C111" s="15" t="s">
        <v>169</v>
      </c>
      <c r="D111" s="64"/>
      <c r="E111" s="59">
        <v>7</v>
      </c>
      <c r="F111" s="59">
        <v>7</v>
      </c>
      <c r="G111" s="59">
        <f t="shared" ref="G111:G118" si="91">((E111*8)+(F111*4))/12</f>
        <v>7</v>
      </c>
      <c r="H111" s="59">
        <v>7</v>
      </c>
      <c r="I111" s="59">
        <v>7</v>
      </c>
      <c r="J111" s="71">
        <f>K111</f>
        <v>69362.66</v>
      </c>
      <c r="K111" s="71">
        <v>69362.66</v>
      </c>
      <c r="L111" s="72" t="s">
        <v>104</v>
      </c>
      <c r="M111" s="72" t="s">
        <v>104</v>
      </c>
      <c r="N111" s="140">
        <f>O111</f>
        <v>485538.62</v>
      </c>
      <c r="O111" s="146">
        <f t="shared" ref="O111:O117" si="92">G111*K111</f>
        <v>485538.62</v>
      </c>
      <c r="P111" s="146"/>
      <c r="Q111" s="72" t="s">
        <v>104</v>
      </c>
      <c r="R111" s="72"/>
      <c r="S111" s="72"/>
      <c r="T111" s="72" t="s">
        <v>104</v>
      </c>
      <c r="U111" s="100">
        <f>H111*K111</f>
        <v>485538.62</v>
      </c>
      <c r="V111" s="100">
        <f>I111*K111</f>
        <v>485538.62</v>
      </c>
    </row>
    <row r="112" spans="1:22" x14ac:dyDescent="0.25">
      <c r="A112" s="235"/>
      <c r="B112" s="238"/>
      <c r="C112" s="15" t="s">
        <v>165</v>
      </c>
      <c r="D112" s="64"/>
      <c r="E112" s="59">
        <v>4</v>
      </c>
      <c r="F112" s="59">
        <v>4</v>
      </c>
      <c r="G112" s="59">
        <f t="shared" si="91"/>
        <v>4</v>
      </c>
      <c r="H112" s="59">
        <v>4</v>
      </c>
      <c r="I112" s="59">
        <v>4</v>
      </c>
      <c r="J112" s="71">
        <f t="shared" ref="J112:J117" si="93">K112</f>
        <v>92468.25</v>
      </c>
      <c r="K112" s="75">
        <v>92468.25</v>
      </c>
      <c r="L112" s="72" t="s">
        <v>104</v>
      </c>
      <c r="M112" s="72" t="s">
        <v>104</v>
      </c>
      <c r="N112" s="140">
        <f t="shared" ref="N112:N117" si="94">O112</f>
        <v>369873</v>
      </c>
      <c r="O112" s="146">
        <f t="shared" si="92"/>
        <v>369873</v>
      </c>
      <c r="P112" s="146"/>
      <c r="Q112" s="72" t="s">
        <v>104</v>
      </c>
      <c r="R112" s="72"/>
      <c r="S112" s="72"/>
      <c r="T112" s="72" t="s">
        <v>104</v>
      </c>
      <c r="U112" s="100">
        <f t="shared" ref="U112:U117" si="95">H112*K112</f>
        <v>369873</v>
      </c>
      <c r="V112" s="100">
        <f t="shared" ref="V112:V117" si="96">I112*K112</f>
        <v>369873</v>
      </c>
    </row>
    <row r="113" spans="1:25" x14ac:dyDescent="0.25">
      <c r="A113" s="235"/>
      <c r="B113" s="238"/>
      <c r="C113" s="15" t="s">
        <v>166</v>
      </c>
      <c r="D113" s="64"/>
      <c r="E113" s="59">
        <v>17</v>
      </c>
      <c r="F113" s="59">
        <v>17</v>
      </c>
      <c r="G113" s="59">
        <f t="shared" si="91"/>
        <v>17</v>
      </c>
      <c r="H113" s="59">
        <v>17</v>
      </c>
      <c r="I113" s="59">
        <v>17</v>
      </c>
      <c r="J113" s="71">
        <f t="shared" si="93"/>
        <v>66361.320000000007</v>
      </c>
      <c r="K113" s="75">
        <v>66361.320000000007</v>
      </c>
      <c r="L113" s="72" t="s">
        <v>104</v>
      </c>
      <c r="M113" s="72" t="s">
        <v>104</v>
      </c>
      <c r="N113" s="140">
        <f t="shared" si="94"/>
        <v>1128142.4400000002</v>
      </c>
      <c r="O113" s="146">
        <f t="shared" si="92"/>
        <v>1128142.4400000002</v>
      </c>
      <c r="P113" s="146"/>
      <c r="Q113" s="72" t="s">
        <v>104</v>
      </c>
      <c r="R113" s="72"/>
      <c r="S113" s="72"/>
      <c r="T113" s="72" t="s">
        <v>104</v>
      </c>
      <c r="U113" s="100">
        <f t="shared" si="95"/>
        <v>1128142.4400000002</v>
      </c>
      <c r="V113" s="100">
        <f t="shared" si="96"/>
        <v>1128142.4400000002</v>
      </c>
    </row>
    <row r="114" spans="1:25" x14ac:dyDescent="0.25">
      <c r="A114" s="235"/>
      <c r="B114" s="238"/>
      <c r="C114" s="15" t="s">
        <v>167</v>
      </c>
      <c r="D114" s="64"/>
      <c r="E114" s="59">
        <v>1</v>
      </c>
      <c r="F114" s="59">
        <v>1</v>
      </c>
      <c r="G114" s="59">
        <f t="shared" si="91"/>
        <v>1</v>
      </c>
      <c r="H114" s="59">
        <v>1</v>
      </c>
      <c r="I114" s="59">
        <v>1</v>
      </c>
      <c r="J114" s="71">
        <f t="shared" si="93"/>
        <v>174890.83</v>
      </c>
      <c r="K114" s="75">
        <v>174890.83</v>
      </c>
      <c r="L114" s="72" t="s">
        <v>104</v>
      </c>
      <c r="M114" s="72" t="s">
        <v>104</v>
      </c>
      <c r="N114" s="140">
        <f t="shared" si="94"/>
        <v>174890.83</v>
      </c>
      <c r="O114" s="146">
        <f t="shared" si="92"/>
        <v>174890.83</v>
      </c>
      <c r="P114" s="146"/>
      <c r="Q114" s="72" t="s">
        <v>104</v>
      </c>
      <c r="R114" s="72"/>
      <c r="S114" s="72"/>
      <c r="T114" s="72" t="s">
        <v>104</v>
      </c>
      <c r="U114" s="100">
        <f t="shared" si="95"/>
        <v>174890.83</v>
      </c>
      <c r="V114" s="100">
        <f t="shared" si="96"/>
        <v>174890.83</v>
      </c>
    </row>
    <row r="115" spans="1:25" x14ac:dyDescent="0.25">
      <c r="A115" s="235"/>
      <c r="B115" s="238"/>
      <c r="C115" s="15" t="s">
        <v>190</v>
      </c>
      <c r="D115" s="64"/>
      <c r="E115" s="59">
        <v>1</v>
      </c>
      <c r="F115" s="59">
        <v>1</v>
      </c>
      <c r="G115" s="157">
        <f t="shared" si="91"/>
        <v>1</v>
      </c>
      <c r="H115" s="59">
        <v>1</v>
      </c>
      <c r="I115" s="59">
        <v>1</v>
      </c>
      <c r="J115" s="71">
        <f t="shared" si="93"/>
        <v>178794.98</v>
      </c>
      <c r="K115" s="75">
        <v>178794.98</v>
      </c>
      <c r="L115" s="72"/>
      <c r="M115" s="72"/>
      <c r="N115" s="145">
        <f t="shared" si="94"/>
        <v>178794.98</v>
      </c>
      <c r="O115" s="146">
        <f t="shared" si="92"/>
        <v>178794.98</v>
      </c>
      <c r="P115" s="146"/>
      <c r="Q115" s="72" t="s">
        <v>104</v>
      </c>
      <c r="R115" s="72"/>
      <c r="S115" s="72"/>
      <c r="T115" s="72" t="s">
        <v>104</v>
      </c>
      <c r="U115" s="100">
        <f t="shared" si="95"/>
        <v>178794.98</v>
      </c>
      <c r="V115" s="100">
        <f t="shared" si="96"/>
        <v>178794.98</v>
      </c>
    </row>
    <row r="116" spans="1:25" x14ac:dyDescent="0.25">
      <c r="A116" s="235"/>
      <c r="B116" s="238"/>
      <c r="C116" s="15" t="s">
        <v>170</v>
      </c>
      <c r="D116" s="64"/>
      <c r="E116" s="59">
        <v>1</v>
      </c>
      <c r="F116" s="59">
        <v>1</v>
      </c>
      <c r="G116" s="59">
        <f t="shared" si="91"/>
        <v>1</v>
      </c>
      <c r="H116" s="59">
        <v>1</v>
      </c>
      <c r="I116" s="59">
        <v>1</v>
      </c>
      <c r="J116" s="71">
        <f t="shared" si="93"/>
        <v>99648.29</v>
      </c>
      <c r="K116" s="75">
        <v>99648.29</v>
      </c>
      <c r="L116" s="72" t="s">
        <v>104</v>
      </c>
      <c r="M116" s="72" t="s">
        <v>104</v>
      </c>
      <c r="N116" s="140">
        <f t="shared" si="94"/>
        <v>99648.29</v>
      </c>
      <c r="O116" s="146">
        <f t="shared" si="92"/>
        <v>99648.29</v>
      </c>
      <c r="P116" s="146"/>
      <c r="Q116" s="72" t="s">
        <v>104</v>
      </c>
      <c r="R116" s="72"/>
      <c r="S116" s="72"/>
      <c r="T116" s="72" t="s">
        <v>104</v>
      </c>
      <c r="U116" s="100">
        <f t="shared" si="95"/>
        <v>99648.29</v>
      </c>
      <c r="V116" s="100">
        <f t="shared" si="96"/>
        <v>99648.29</v>
      </c>
    </row>
    <row r="117" spans="1:25" x14ac:dyDescent="0.25">
      <c r="A117" s="235"/>
      <c r="B117" s="238"/>
      <c r="C117" s="63" t="s">
        <v>168</v>
      </c>
      <c r="D117" s="64"/>
      <c r="E117" s="59">
        <v>1</v>
      </c>
      <c r="F117" s="59">
        <v>1</v>
      </c>
      <c r="G117" s="157">
        <f t="shared" si="91"/>
        <v>1</v>
      </c>
      <c r="H117" s="59">
        <v>1</v>
      </c>
      <c r="I117" s="59">
        <v>1</v>
      </c>
      <c r="J117" s="71">
        <f t="shared" si="93"/>
        <v>23553.439999999999</v>
      </c>
      <c r="K117" s="75">
        <v>23553.439999999999</v>
      </c>
      <c r="L117" s="72" t="s">
        <v>104</v>
      </c>
      <c r="M117" s="72" t="s">
        <v>104</v>
      </c>
      <c r="N117" s="140">
        <f t="shared" si="94"/>
        <v>23553.439999999999</v>
      </c>
      <c r="O117" s="146">
        <f t="shared" si="92"/>
        <v>23553.439999999999</v>
      </c>
      <c r="P117" s="146"/>
      <c r="Q117" s="72" t="s">
        <v>104</v>
      </c>
      <c r="R117" s="72"/>
      <c r="S117" s="72"/>
      <c r="T117" s="72" t="s">
        <v>104</v>
      </c>
      <c r="U117" s="100">
        <f t="shared" si="95"/>
        <v>23553.439999999999</v>
      </c>
      <c r="V117" s="100">
        <f t="shared" si="96"/>
        <v>23553.439999999999</v>
      </c>
    </row>
    <row r="118" spans="1:25" ht="120" x14ac:dyDescent="0.25">
      <c r="A118" s="235"/>
      <c r="B118" s="238"/>
      <c r="C118" s="61" t="s">
        <v>105</v>
      </c>
      <c r="D118" s="64" t="s">
        <v>101</v>
      </c>
      <c r="E118" s="59">
        <v>4</v>
      </c>
      <c r="F118" s="59">
        <v>4</v>
      </c>
      <c r="G118" s="59">
        <f t="shared" si="91"/>
        <v>4</v>
      </c>
      <c r="H118" s="123">
        <v>4</v>
      </c>
      <c r="I118" s="123">
        <v>4</v>
      </c>
      <c r="J118" s="75">
        <f>SUM(K118:M118)</f>
        <v>138391.77000000002</v>
      </c>
      <c r="K118" s="148">
        <f>121412.92+1351.63</f>
        <v>122764.55</v>
      </c>
      <c r="L118" s="72">
        <v>4001.99</v>
      </c>
      <c r="M118" s="163">
        <v>11625.23</v>
      </c>
      <c r="N118" s="71">
        <f>SUM(O118:T118)</f>
        <v>553567.08000000007</v>
      </c>
      <c r="O118" s="146">
        <f>G118*K118</f>
        <v>491058.2</v>
      </c>
      <c r="P118" s="146"/>
      <c r="Q118" s="71">
        <f>G118*L118</f>
        <v>16007.96</v>
      </c>
      <c r="R118" s="71"/>
      <c r="S118" s="71"/>
      <c r="T118" s="156">
        <f>G118*M118</f>
        <v>46500.92</v>
      </c>
      <c r="U118" s="100">
        <f t="shared" ref="U118:U212" si="97">H118*J118</f>
        <v>553567.08000000007</v>
      </c>
      <c r="V118" s="100">
        <f t="shared" ref="V118:V212" si="98">I118*J118</f>
        <v>553567.08000000007</v>
      </c>
    </row>
    <row r="119" spans="1:25" x14ac:dyDescent="0.25">
      <c r="A119" s="235"/>
      <c r="B119" s="239"/>
      <c r="C119" s="66" t="s">
        <v>106</v>
      </c>
      <c r="D119" s="67"/>
      <c r="E119" s="59">
        <f>E108+E118</f>
        <v>272</v>
      </c>
      <c r="F119" s="59">
        <f>F108+F118</f>
        <v>272</v>
      </c>
      <c r="G119" s="59">
        <f>G108+G118</f>
        <v>272</v>
      </c>
      <c r="H119" s="123">
        <f t="shared" ref="H119:I119" si="99">H108+H118</f>
        <v>272</v>
      </c>
      <c r="I119" s="123">
        <f t="shared" si="99"/>
        <v>272</v>
      </c>
      <c r="J119" s="71" t="s">
        <v>104</v>
      </c>
      <c r="K119" s="71" t="s">
        <v>104</v>
      </c>
      <c r="L119" s="71" t="s">
        <v>104</v>
      </c>
      <c r="M119" s="71" t="s">
        <v>104</v>
      </c>
      <c r="N119" s="71">
        <f>SUM(N108:N118)</f>
        <v>13760264.639999999</v>
      </c>
      <c r="O119" s="71">
        <f t="shared" ref="O119:T119" si="100">SUM(O108:O118)</f>
        <v>9509660.7999999989</v>
      </c>
      <c r="P119" s="71"/>
      <c r="Q119" s="71">
        <f t="shared" si="100"/>
        <v>1088541.2799999998</v>
      </c>
      <c r="R119" s="71"/>
      <c r="S119" s="71"/>
      <c r="T119" s="71">
        <f t="shared" si="100"/>
        <v>3162062.5599999996</v>
      </c>
      <c r="U119" s="75">
        <f>SUM(U108:U118)</f>
        <v>13760264.639999999</v>
      </c>
      <c r="V119" s="75">
        <f>SUM(V108:V118)</f>
        <v>13760264.639999999</v>
      </c>
    </row>
    <row r="120" spans="1:25" ht="90" x14ac:dyDescent="0.25">
      <c r="A120" s="235"/>
      <c r="B120" s="236" t="s">
        <v>107</v>
      </c>
      <c r="C120" s="61" t="s">
        <v>100</v>
      </c>
      <c r="D120" s="62" t="s">
        <v>101</v>
      </c>
      <c r="E120" s="123">
        <v>226</v>
      </c>
      <c r="F120" s="59">
        <v>226</v>
      </c>
      <c r="G120" s="59">
        <f>((E120*8)+(F120*4))/12</f>
        <v>226</v>
      </c>
      <c r="H120" s="123">
        <v>226</v>
      </c>
      <c r="I120" s="123">
        <v>226</v>
      </c>
      <c r="J120" s="107">
        <f>SUM(K120:M120)</f>
        <v>51622.92</v>
      </c>
      <c r="K120" s="147">
        <f>34346.05+1649.65</f>
        <v>35995.700000000004</v>
      </c>
      <c r="L120" s="70">
        <v>4001.99</v>
      </c>
      <c r="M120" s="163">
        <v>11625.23</v>
      </c>
      <c r="N120" s="71">
        <f>SUM(O120:T120)</f>
        <v>11666779.920000002</v>
      </c>
      <c r="O120" s="146">
        <f>G120*K120</f>
        <v>8135028.2000000011</v>
      </c>
      <c r="P120" s="146"/>
      <c r="Q120" s="73">
        <f>G120*L120</f>
        <v>904449.74</v>
      </c>
      <c r="R120" s="73"/>
      <c r="S120" s="73"/>
      <c r="T120" s="156">
        <f>G120*M120</f>
        <v>2627301.98</v>
      </c>
      <c r="U120" s="75">
        <f t="shared" si="97"/>
        <v>11666779.92</v>
      </c>
      <c r="V120" s="75">
        <f t="shared" si="98"/>
        <v>11666779.92</v>
      </c>
      <c r="Y120" s="85"/>
    </row>
    <row r="121" spans="1:25" ht="111.75" customHeight="1" x14ac:dyDescent="0.25">
      <c r="A121" s="235"/>
      <c r="B121" s="236"/>
      <c r="C121" s="63" t="s">
        <v>102</v>
      </c>
      <c r="D121" s="64" t="s">
        <v>101</v>
      </c>
      <c r="E121" s="59" t="s">
        <v>104</v>
      </c>
      <c r="F121" s="59" t="s">
        <v>104</v>
      </c>
      <c r="G121" s="59" t="s">
        <v>104</v>
      </c>
      <c r="H121" s="59" t="s">
        <v>104</v>
      </c>
      <c r="I121" s="59" t="s">
        <v>104</v>
      </c>
      <c r="J121" s="59" t="s">
        <v>104</v>
      </c>
      <c r="K121" s="59" t="s">
        <v>104</v>
      </c>
      <c r="L121" s="59" t="s">
        <v>104</v>
      </c>
      <c r="M121" s="59" t="s">
        <v>104</v>
      </c>
      <c r="N121" s="71"/>
      <c r="O121" s="71"/>
      <c r="P121" s="71"/>
      <c r="Q121" s="59" t="s">
        <v>104</v>
      </c>
      <c r="R121" s="59"/>
      <c r="S121" s="59"/>
      <c r="T121" s="59" t="s">
        <v>104</v>
      </c>
      <c r="U121" s="75"/>
      <c r="V121" s="75"/>
    </row>
    <row r="122" spans="1:25" ht="20.25" customHeight="1" x14ac:dyDescent="0.25">
      <c r="A122" s="235"/>
      <c r="B122" s="236"/>
      <c r="C122" s="63" t="s">
        <v>165</v>
      </c>
      <c r="D122" s="64" t="s">
        <v>101</v>
      </c>
      <c r="E122" s="60">
        <v>2</v>
      </c>
      <c r="F122" s="60">
        <v>2</v>
      </c>
      <c r="G122" s="59">
        <f>((E122*8)+(F122*4))/12</f>
        <v>2</v>
      </c>
      <c r="H122" s="60">
        <v>2</v>
      </c>
      <c r="I122" s="60">
        <v>2</v>
      </c>
      <c r="J122" s="71">
        <f>K122</f>
        <v>92468.25</v>
      </c>
      <c r="K122" s="75">
        <v>92468.25</v>
      </c>
      <c r="L122" s="59" t="s">
        <v>104</v>
      </c>
      <c r="M122" s="59" t="s">
        <v>104</v>
      </c>
      <c r="N122" s="71">
        <f>O122</f>
        <v>184936.5</v>
      </c>
      <c r="O122" s="146">
        <f>G122*K122</f>
        <v>184936.5</v>
      </c>
      <c r="P122" s="146"/>
      <c r="Q122" s="59" t="s">
        <v>104</v>
      </c>
      <c r="R122" s="59"/>
      <c r="S122" s="59"/>
      <c r="T122" s="59" t="s">
        <v>104</v>
      </c>
      <c r="U122" s="75">
        <f>H122*K122</f>
        <v>184936.5</v>
      </c>
      <c r="V122" s="75">
        <f>I122*K122</f>
        <v>184936.5</v>
      </c>
    </row>
    <row r="123" spans="1:25" ht="21" customHeight="1" x14ac:dyDescent="0.25">
      <c r="A123" s="235"/>
      <c r="B123" s="236"/>
      <c r="C123" s="63" t="s">
        <v>167</v>
      </c>
      <c r="D123" s="64" t="s">
        <v>101</v>
      </c>
      <c r="E123" s="60">
        <v>1</v>
      </c>
      <c r="F123" s="60">
        <v>1</v>
      </c>
      <c r="G123" s="157">
        <f t="shared" ref="G123:G125" si="101">((E123*8)+(F123*4))/12</f>
        <v>1</v>
      </c>
      <c r="H123" s="60">
        <v>1</v>
      </c>
      <c r="I123" s="60">
        <v>1</v>
      </c>
      <c r="J123" s="71">
        <f t="shared" ref="J123:J124" si="102">K123</f>
        <v>266106.15000000002</v>
      </c>
      <c r="K123" s="75">
        <v>266106.15000000002</v>
      </c>
      <c r="L123" s="59" t="s">
        <v>104</v>
      </c>
      <c r="M123" s="59" t="s">
        <v>104</v>
      </c>
      <c r="N123" s="71">
        <f t="shared" ref="N123:N124" si="103">O123</f>
        <v>266106.15000000002</v>
      </c>
      <c r="O123" s="146">
        <f t="shared" ref="O123:O124" si="104">G123*K123</f>
        <v>266106.15000000002</v>
      </c>
      <c r="P123" s="146"/>
      <c r="Q123" s="59" t="s">
        <v>104</v>
      </c>
      <c r="R123" s="59"/>
      <c r="S123" s="59"/>
      <c r="T123" s="59" t="s">
        <v>104</v>
      </c>
      <c r="U123" s="75">
        <f t="shared" ref="U123:U124" si="105">H123*K123</f>
        <v>266106.15000000002</v>
      </c>
      <c r="V123" s="75">
        <f t="shared" ref="V123:V124" si="106">I123*K123</f>
        <v>266106.15000000002</v>
      </c>
    </row>
    <row r="124" spans="1:25" ht="21" customHeight="1" x14ac:dyDescent="0.25">
      <c r="A124" s="235"/>
      <c r="B124" s="236"/>
      <c r="C124" s="63" t="s">
        <v>168</v>
      </c>
      <c r="D124" s="64" t="s">
        <v>101</v>
      </c>
      <c r="E124" s="60">
        <v>3</v>
      </c>
      <c r="F124" s="60">
        <v>3</v>
      </c>
      <c r="G124" s="59">
        <f t="shared" si="101"/>
        <v>3</v>
      </c>
      <c r="H124" s="60">
        <v>3</v>
      </c>
      <c r="I124" s="60">
        <v>3</v>
      </c>
      <c r="J124" s="71">
        <f t="shared" si="102"/>
        <v>23553.439999999999</v>
      </c>
      <c r="K124" s="75">
        <v>23553.439999999999</v>
      </c>
      <c r="L124" s="59" t="s">
        <v>104</v>
      </c>
      <c r="M124" s="59" t="s">
        <v>104</v>
      </c>
      <c r="N124" s="71">
        <f t="shared" si="103"/>
        <v>70660.319999999992</v>
      </c>
      <c r="O124" s="146">
        <f t="shared" si="104"/>
        <v>70660.319999999992</v>
      </c>
      <c r="P124" s="146"/>
      <c r="Q124" s="59" t="s">
        <v>104</v>
      </c>
      <c r="R124" s="59"/>
      <c r="S124" s="59"/>
      <c r="T124" s="59" t="s">
        <v>104</v>
      </c>
      <c r="U124" s="75">
        <f t="shared" si="105"/>
        <v>70660.319999999992</v>
      </c>
      <c r="V124" s="75">
        <f t="shared" si="106"/>
        <v>70660.319999999992</v>
      </c>
    </row>
    <row r="125" spans="1:25" ht="120" x14ac:dyDescent="0.25">
      <c r="A125" s="235"/>
      <c r="B125" s="236"/>
      <c r="C125" s="61" t="s">
        <v>105</v>
      </c>
      <c r="D125" s="64" t="s">
        <v>101</v>
      </c>
      <c r="E125" s="60"/>
      <c r="F125" s="60">
        <v>0</v>
      </c>
      <c r="G125" s="59">
        <f t="shared" si="101"/>
        <v>0</v>
      </c>
      <c r="H125" s="122"/>
      <c r="I125" s="122"/>
      <c r="J125" s="71">
        <f>K125</f>
        <v>153057.28</v>
      </c>
      <c r="K125" s="149">
        <f>151407.63+1649.65</f>
        <v>153057.28</v>
      </c>
      <c r="L125" s="70">
        <v>4001.99</v>
      </c>
      <c r="M125" s="163">
        <v>11625.23</v>
      </c>
      <c r="N125" s="71">
        <f>SUM(O125:T125)</f>
        <v>0</v>
      </c>
      <c r="O125" s="146">
        <f>G125*K125</f>
        <v>0</v>
      </c>
      <c r="P125" s="146"/>
      <c r="Q125" s="73">
        <f>G125*L125</f>
        <v>0</v>
      </c>
      <c r="R125" s="73"/>
      <c r="S125" s="73"/>
      <c r="T125" s="156">
        <f>G125*M125</f>
        <v>0</v>
      </c>
      <c r="U125" s="75">
        <f>N125</f>
        <v>0</v>
      </c>
      <c r="V125" s="75">
        <f>U125</f>
        <v>0</v>
      </c>
    </row>
    <row r="126" spans="1:25" x14ac:dyDescent="0.25">
      <c r="A126" s="235"/>
      <c r="B126" s="110"/>
      <c r="C126" s="66" t="s">
        <v>106</v>
      </c>
      <c r="D126" s="64"/>
      <c r="E126" s="60">
        <f>E120+E125</f>
        <v>226</v>
      </c>
      <c r="F126" s="60">
        <f>F120+F125</f>
        <v>226</v>
      </c>
      <c r="G126" s="60">
        <f>G120+G125</f>
        <v>226</v>
      </c>
      <c r="H126" s="122">
        <f t="shared" ref="H126:I126" si="107">H120+H125</f>
        <v>226</v>
      </c>
      <c r="I126" s="122">
        <f t="shared" si="107"/>
        <v>226</v>
      </c>
      <c r="J126" s="59" t="s">
        <v>104</v>
      </c>
      <c r="K126" s="59" t="s">
        <v>104</v>
      </c>
      <c r="L126" s="59" t="s">
        <v>104</v>
      </c>
      <c r="M126" s="59" t="s">
        <v>104</v>
      </c>
      <c r="N126" s="74">
        <f>SUM(N120:N125)</f>
        <v>12188482.890000002</v>
      </c>
      <c r="O126" s="74">
        <f t="shared" ref="O126:V126" si="108">SUM(O120:O125)</f>
        <v>8656731.1700000018</v>
      </c>
      <c r="P126" s="74"/>
      <c r="Q126" s="74">
        <f t="shared" si="108"/>
        <v>904449.74</v>
      </c>
      <c r="R126" s="74"/>
      <c r="S126" s="74"/>
      <c r="T126" s="74">
        <f t="shared" si="108"/>
        <v>2627301.98</v>
      </c>
      <c r="U126" s="74">
        <f t="shared" si="108"/>
        <v>12188482.890000001</v>
      </c>
      <c r="V126" s="74">
        <f t="shared" si="108"/>
        <v>12188482.890000001</v>
      </c>
    </row>
    <row r="127" spans="1:25" ht="90" x14ac:dyDescent="0.25">
      <c r="A127" s="235"/>
      <c r="B127" s="236" t="s">
        <v>108</v>
      </c>
      <c r="C127" s="61" t="s">
        <v>100</v>
      </c>
      <c r="D127" s="62" t="s">
        <v>101</v>
      </c>
      <c r="E127" s="122">
        <v>50</v>
      </c>
      <c r="F127" s="60">
        <v>50</v>
      </c>
      <c r="G127" s="59">
        <f>((E127*8)+(F127*4))/12</f>
        <v>50</v>
      </c>
      <c r="H127" s="122">
        <v>50</v>
      </c>
      <c r="I127" s="122">
        <v>50</v>
      </c>
      <c r="J127" s="107">
        <f>SUM(K127:M127)</f>
        <v>58731.119999999995</v>
      </c>
      <c r="K127" s="147">
        <f>41105.12+1998.78</f>
        <v>43103.9</v>
      </c>
      <c r="L127" s="70">
        <v>4001.99</v>
      </c>
      <c r="M127" s="163">
        <v>11625.23</v>
      </c>
      <c r="N127" s="73">
        <f>SUM(O127:T127)</f>
        <v>2936556</v>
      </c>
      <c r="O127" s="149">
        <f>G127*K127</f>
        <v>2155195</v>
      </c>
      <c r="P127" s="149"/>
      <c r="Q127" s="73">
        <f>G127*L127</f>
        <v>200099.5</v>
      </c>
      <c r="R127" s="73"/>
      <c r="S127" s="73"/>
      <c r="T127" s="156">
        <f>G127*M127</f>
        <v>581261.5</v>
      </c>
      <c r="U127" s="75">
        <f t="shared" si="97"/>
        <v>2936556</v>
      </c>
      <c r="V127" s="75">
        <f t="shared" si="98"/>
        <v>2936556</v>
      </c>
    </row>
    <row r="128" spans="1:25" ht="120" x14ac:dyDescent="0.25">
      <c r="A128" s="235"/>
      <c r="B128" s="236"/>
      <c r="C128" s="63" t="s">
        <v>102</v>
      </c>
      <c r="D128" s="64" t="s">
        <v>101</v>
      </c>
      <c r="E128" s="59" t="s">
        <v>104</v>
      </c>
      <c r="F128" s="59" t="s">
        <v>104</v>
      </c>
      <c r="G128" s="59" t="s">
        <v>104</v>
      </c>
      <c r="H128" s="59" t="s">
        <v>104</v>
      </c>
      <c r="I128" s="59" t="s">
        <v>104</v>
      </c>
      <c r="J128" s="59" t="s">
        <v>104</v>
      </c>
      <c r="K128" s="59" t="s">
        <v>104</v>
      </c>
      <c r="L128" s="59" t="s">
        <v>104</v>
      </c>
      <c r="M128" s="59" t="s">
        <v>104</v>
      </c>
      <c r="N128" s="71"/>
      <c r="O128" s="71"/>
      <c r="P128" s="71"/>
      <c r="Q128" s="59" t="s">
        <v>104</v>
      </c>
      <c r="R128" s="59"/>
      <c r="S128" s="59"/>
      <c r="T128" s="59" t="s">
        <v>104</v>
      </c>
      <c r="U128" s="75"/>
      <c r="V128" s="75"/>
    </row>
    <row r="129" spans="1:22" x14ac:dyDescent="0.25">
      <c r="A129" s="235"/>
      <c r="B129" s="236"/>
      <c r="C129" s="63" t="s">
        <v>168</v>
      </c>
      <c r="D129" s="64" t="s">
        <v>101</v>
      </c>
      <c r="E129" s="123"/>
      <c r="F129" s="59"/>
      <c r="G129" s="59">
        <f>((E129*8)+(F129*4))/12</f>
        <v>0</v>
      </c>
      <c r="H129" s="123"/>
      <c r="I129" s="123"/>
      <c r="J129" s="71">
        <f t="shared" ref="J129" si="109">K129</f>
        <v>23553.439999999999</v>
      </c>
      <c r="K129" s="75">
        <v>23553.439999999999</v>
      </c>
      <c r="L129" s="59" t="s">
        <v>104</v>
      </c>
      <c r="M129" s="59" t="s">
        <v>104</v>
      </c>
      <c r="N129" s="71">
        <f t="shared" ref="N129" si="110">O129</f>
        <v>0</v>
      </c>
      <c r="O129" s="146">
        <f>G129*K129</f>
        <v>0</v>
      </c>
      <c r="P129" s="146"/>
      <c r="Q129" s="59" t="s">
        <v>104</v>
      </c>
      <c r="R129" s="59"/>
      <c r="S129" s="59"/>
      <c r="T129" s="59" t="s">
        <v>104</v>
      </c>
      <c r="U129" s="75">
        <f t="shared" ref="U129" si="111">H129*K129</f>
        <v>0</v>
      </c>
      <c r="V129" s="75">
        <f t="shared" ref="V129" si="112">I129*K129</f>
        <v>0</v>
      </c>
    </row>
    <row r="130" spans="1:22" ht="120" x14ac:dyDescent="0.25">
      <c r="A130" s="235"/>
      <c r="B130" s="236"/>
      <c r="C130" s="61" t="s">
        <v>105</v>
      </c>
      <c r="D130" s="64" t="s">
        <v>101</v>
      </c>
      <c r="E130" s="60"/>
      <c r="F130" s="60"/>
      <c r="G130" s="60"/>
      <c r="H130" s="60"/>
      <c r="I130" s="60"/>
      <c r="J130" s="73"/>
      <c r="K130" s="73"/>
      <c r="L130" s="74"/>
      <c r="M130" s="73"/>
      <c r="N130" s="73"/>
      <c r="O130" s="73"/>
      <c r="P130" s="73"/>
      <c r="Q130" s="73"/>
      <c r="R130" s="73"/>
      <c r="S130" s="73"/>
      <c r="T130" s="73"/>
      <c r="U130" s="75">
        <f t="shared" si="97"/>
        <v>0</v>
      </c>
      <c r="V130" s="75">
        <f t="shared" si="98"/>
        <v>0</v>
      </c>
    </row>
    <row r="131" spans="1:22" x14ac:dyDescent="0.25">
      <c r="A131" s="235"/>
      <c r="B131" s="110"/>
      <c r="C131" s="66" t="s">
        <v>106</v>
      </c>
      <c r="D131" s="64"/>
      <c r="E131" s="60">
        <f>E127</f>
        <v>50</v>
      </c>
      <c r="F131" s="60">
        <f>F127</f>
        <v>50</v>
      </c>
      <c r="G131" s="59">
        <f t="shared" ref="G131" si="113">((E131*8)+(F131*4))/12</f>
        <v>50</v>
      </c>
      <c r="H131" s="60">
        <f>H127</f>
        <v>50</v>
      </c>
      <c r="I131" s="60">
        <f>I127</f>
        <v>50</v>
      </c>
      <c r="J131" s="73" t="s">
        <v>104</v>
      </c>
      <c r="K131" s="73" t="s">
        <v>104</v>
      </c>
      <c r="L131" s="73" t="s">
        <v>104</v>
      </c>
      <c r="M131" s="73" t="s">
        <v>104</v>
      </c>
      <c r="N131" s="74">
        <f t="shared" ref="N131:V131" si="114">SUM(N127:N130)</f>
        <v>2936556</v>
      </c>
      <c r="O131" s="74">
        <f t="shared" si="114"/>
        <v>2155195</v>
      </c>
      <c r="P131" s="74"/>
      <c r="Q131" s="74">
        <f t="shared" si="114"/>
        <v>200099.5</v>
      </c>
      <c r="R131" s="74"/>
      <c r="S131" s="74"/>
      <c r="T131" s="74">
        <f t="shared" si="114"/>
        <v>581261.5</v>
      </c>
      <c r="U131" s="74">
        <f t="shared" si="114"/>
        <v>2936556</v>
      </c>
      <c r="V131" s="74">
        <f t="shared" si="114"/>
        <v>2936556</v>
      </c>
    </row>
    <row r="132" spans="1:22" ht="105" x14ac:dyDescent="0.25">
      <c r="A132" s="235"/>
      <c r="B132" s="137" t="s">
        <v>109</v>
      </c>
      <c r="C132" s="61" t="s">
        <v>187</v>
      </c>
      <c r="D132" s="64" t="s">
        <v>101</v>
      </c>
      <c r="E132" s="122">
        <v>653</v>
      </c>
      <c r="F132" s="60">
        <v>653</v>
      </c>
      <c r="G132" s="59">
        <f>((E132*8)+(F132*4))/12</f>
        <v>653</v>
      </c>
      <c r="H132" s="122">
        <v>653</v>
      </c>
      <c r="I132" s="122">
        <v>653</v>
      </c>
      <c r="J132" s="75">
        <f>K132</f>
        <v>3978.76</v>
      </c>
      <c r="K132" s="75">
        <v>3978.76</v>
      </c>
      <c r="L132" s="73" t="s">
        <v>104</v>
      </c>
      <c r="M132" s="73" t="s">
        <v>104</v>
      </c>
      <c r="N132" s="73">
        <f>SUM(O132:T132)</f>
        <v>2598130.2800000003</v>
      </c>
      <c r="O132" s="73">
        <f>J132*G132</f>
        <v>2598130.2800000003</v>
      </c>
      <c r="P132" s="73"/>
      <c r="Q132" s="73" t="s">
        <v>104</v>
      </c>
      <c r="R132" s="73"/>
      <c r="S132" s="73"/>
      <c r="T132" s="73" t="s">
        <v>104</v>
      </c>
      <c r="U132" s="75">
        <f t="shared" si="97"/>
        <v>2598130.2800000003</v>
      </c>
      <c r="V132" s="75">
        <f t="shared" si="98"/>
        <v>2598130.2800000003</v>
      </c>
    </row>
    <row r="133" spans="1:22" x14ac:dyDescent="0.25">
      <c r="A133" s="235"/>
      <c r="B133" s="69"/>
      <c r="C133" s="66" t="s">
        <v>106</v>
      </c>
      <c r="D133" s="69"/>
      <c r="E133" s="60">
        <f>SUM(E132:E132)</f>
        <v>653</v>
      </c>
      <c r="F133" s="60">
        <f>SUM(F132:F132)</f>
        <v>653</v>
      </c>
      <c r="G133" s="59">
        <f>G132</f>
        <v>653</v>
      </c>
      <c r="H133" s="60">
        <f>SUM(H132:H132)</f>
        <v>653</v>
      </c>
      <c r="I133" s="60">
        <f>SUM(I132:I132)</f>
        <v>653</v>
      </c>
      <c r="J133" s="73" t="s">
        <v>104</v>
      </c>
      <c r="K133" s="73" t="s">
        <v>104</v>
      </c>
      <c r="L133" s="73" t="s">
        <v>104</v>
      </c>
      <c r="M133" s="74">
        <f t="shared" ref="M133:V133" si="115">SUM(M132:M132)</f>
        <v>0</v>
      </c>
      <c r="N133" s="74">
        <f t="shared" si="115"/>
        <v>2598130.2800000003</v>
      </c>
      <c r="O133" s="74">
        <f t="shared" si="115"/>
        <v>2598130.2800000003</v>
      </c>
      <c r="P133" s="74"/>
      <c r="Q133" s="74">
        <f t="shared" si="115"/>
        <v>0</v>
      </c>
      <c r="R133" s="74"/>
      <c r="S133" s="74"/>
      <c r="T133" s="74">
        <f t="shared" si="115"/>
        <v>0</v>
      </c>
      <c r="U133" s="74">
        <f t="shared" si="115"/>
        <v>2598130.2800000003</v>
      </c>
      <c r="V133" s="74">
        <f t="shared" si="115"/>
        <v>2598130.2800000003</v>
      </c>
    </row>
    <row r="134" spans="1:22" x14ac:dyDescent="0.25">
      <c r="A134" s="235"/>
      <c r="B134" s="101" t="s">
        <v>112</v>
      </c>
      <c r="C134" s="101"/>
      <c r="D134" s="69"/>
      <c r="E134" s="102"/>
      <c r="F134" s="102"/>
      <c r="G134" s="102"/>
      <c r="H134" s="102"/>
      <c r="I134" s="102"/>
      <c r="J134" s="104"/>
      <c r="K134" s="104"/>
      <c r="L134" s="103"/>
      <c r="M134" s="103"/>
      <c r="N134" s="103">
        <f>SUM(O134:T134)</f>
        <v>31483433.809999999</v>
      </c>
      <c r="O134" s="103">
        <f>O119+O126+O131+O133</f>
        <v>22919717.25</v>
      </c>
      <c r="P134" s="103"/>
      <c r="Q134" s="103">
        <f>Q119+Q126+Q131+Q133</f>
        <v>2193090.5199999996</v>
      </c>
      <c r="R134" s="103"/>
      <c r="S134" s="103"/>
      <c r="T134" s="103">
        <f>T119+T126+T131+T133</f>
        <v>6370626.0399999991</v>
      </c>
      <c r="U134" s="103">
        <f>U119+U126+U131+U133</f>
        <v>31483433.810000002</v>
      </c>
      <c r="V134" s="103">
        <f>V119+V126+V131+V133</f>
        <v>31483433.810000002</v>
      </c>
    </row>
    <row r="135" spans="1:22" ht="90" x14ac:dyDescent="0.25">
      <c r="A135" s="235" t="s">
        <v>113</v>
      </c>
      <c r="B135" s="236" t="s">
        <v>99</v>
      </c>
      <c r="C135" s="61" t="s">
        <v>100</v>
      </c>
      <c r="D135" s="62" t="s">
        <v>101</v>
      </c>
      <c r="E135" s="59">
        <v>261</v>
      </c>
      <c r="F135" s="59">
        <v>261</v>
      </c>
      <c r="G135" s="59">
        <f>((E135*8)+(F135*4))/12</f>
        <v>261</v>
      </c>
      <c r="H135" s="123">
        <v>261</v>
      </c>
      <c r="I135" s="123">
        <v>261</v>
      </c>
      <c r="J135" s="107">
        <f>SUM(K135:M135)</f>
        <v>40097.97</v>
      </c>
      <c r="K135" s="147">
        <f>23119.12+1351.63</f>
        <v>24470.75</v>
      </c>
      <c r="L135" s="70">
        <v>4001.99</v>
      </c>
      <c r="M135" s="163">
        <v>11625.23</v>
      </c>
      <c r="N135" s="71">
        <f>SUM(O135:T135)</f>
        <v>10465570.17</v>
      </c>
      <c r="O135" s="146">
        <f>G135*K135</f>
        <v>6386865.75</v>
      </c>
      <c r="P135" s="146"/>
      <c r="Q135" s="71">
        <f>G135*L135</f>
        <v>1044519.3899999999</v>
      </c>
      <c r="R135" s="71"/>
      <c r="S135" s="71"/>
      <c r="T135" s="156">
        <f>G135*M135</f>
        <v>3034185.03</v>
      </c>
      <c r="U135" s="75">
        <f t="shared" si="97"/>
        <v>10465570.17</v>
      </c>
      <c r="V135" s="75">
        <f t="shared" si="98"/>
        <v>10465570.17</v>
      </c>
    </row>
    <row r="136" spans="1:22" ht="135" x14ac:dyDescent="0.25">
      <c r="A136" s="235"/>
      <c r="B136" s="236"/>
      <c r="C136" s="63" t="s">
        <v>163</v>
      </c>
      <c r="D136" s="64" t="s">
        <v>101</v>
      </c>
      <c r="E136" s="59" t="s">
        <v>104</v>
      </c>
      <c r="F136" s="59" t="s">
        <v>104</v>
      </c>
      <c r="G136" s="59" t="s">
        <v>104</v>
      </c>
      <c r="H136" s="123" t="s">
        <v>104</v>
      </c>
      <c r="I136" s="123" t="s">
        <v>104</v>
      </c>
      <c r="J136" s="59" t="s">
        <v>104</v>
      </c>
      <c r="K136" s="59" t="s">
        <v>104</v>
      </c>
      <c r="L136" s="59" t="s">
        <v>104</v>
      </c>
      <c r="M136" s="59" t="s">
        <v>104</v>
      </c>
      <c r="N136" s="71"/>
      <c r="O136" s="71"/>
      <c r="P136" s="71"/>
      <c r="Q136" s="59" t="s">
        <v>104</v>
      </c>
      <c r="R136" s="59"/>
      <c r="S136" s="59"/>
      <c r="T136" s="59" t="s">
        <v>104</v>
      </c>
      <c r="U136" s="75"/>
      <c r="V136" s="75"/>
    </row>
    <row r="137" spans="1:22" x14ac:dyDescent="0.25">
      <c r="A137" s="235"/>
      <c r="B137" s="236"/>
      <c r="C137" s="63" t="s">
        <v>169</v>
      </c>
      <c r="D137" s="64" t="s">
        <v>101</v>
      </c>
      <c r="E137" s="59">
        <v>6</v>
      </c>
      <c r="F137" s="59">
        <v>6</v>
      </c>
      <c r="G137" s="59">
        <f>((E137*8)+(F137*4))/12</f>
        <v>6</v>
      </c>
      <c r="H137" s="59">
        <v>6</v>
      </c>
      <c r="I137" s="59">
        <v>6</v>
      </c>
      <c r="J137" s="75">
        <f t="shared" ref="J137:J141" si="116">K137</f>
        <v>69362.66</v>
      </c>
      <c r="K137" s="71">
        <v>69362.66</v>
      </c>
      <c r="L137" s="59"/>
      <c r="M137" s="59"/>
      <c r="N137" s="71">
        <f t="shared" ref="N137:N141" si="117">O137</f>
        <v>416175.96</v>
      </c>
      <c r="O137" s="146">
        <f t="shared" ref="O137:O142" si="118">G137*K137</f>
        <v>416175.96</v>
      </c>
      <c r="P137" s="146"/>
      <c r="Q137" s="59" t="s">
        <v>104</v>
      </c>
      <c r="R137" s="59"/>
      <c r="S137" s="59"/>
      <c r="T137" s="59" t="s">
        <v>104</v>
      </c>
      <c r="U137" s="75">
        <f t="shared" ref="U137:U141" si="119">H137*K137</f>
        <v>416175.96</v>
      </c>
      <c r="V137" s="75">
        <f t="shared" ref="V137:V141" si="120">I137*K137</f>
        <v>416175.96</v>
      </c>
    </row>
    <row r="138" spans="1:22" x14ac:dyDescent="0.25">
      <c r="A138" s="235"/>
      <c r="B138" s="236"/>
      <c r="C138" s="63" t="s">
        <v>166</v>
      </c>
      <c r="D138" s="64" t="s">
        <v>101</v>
      </c>
      <c r="E138" s="59">
        <v>8</v>
      </c>
      <c r="F138" s="59">
        <v>8</v>
      </c>
      <c r="G138" s="59">
        <f t="shared" ref="G138:G141" si="121">((E138*8)+(F138*4))/12</f>
        <v>8</v>
      </c>
      <c r="H138" s="59">
        <v>8</v>
      </c>
      <c r="I138" s="59">
        <v>8</v>
      </c>
      <c r="J138" s="75">
        <f t="shared" si="116"/>
        <v>66361.320000000007</v>
      </c>
      <c r="K138" s="75">
        <v>66361.320000000007</v>
      </c>
      <c r="L138" s="59" t="s">
        <v>104</v>
      </c>
      <c r="M138" s="59" t="s">
        <v>104</v>
      </c>
      <c r="N138" s="71">
        <f>O138</f>
        <v>530890.56000000006</v>
      </c>
      <c r="O138" s="146">
        <f t="shared" si="118"/>
        <v>530890.56000000006</v>
      </c>
      <c r="P138" s="146"/>
      <c r="Q138" s="59" t="s">
        <v>104</v>
      </c>
      <c r="R138" s="59"/>
      <c r="S138" s="59"/>
      <c r="T138" s="59" t="s">
        <v>104</v>
      </c>
      <c r="U138" s="75">
        <f t="shared" si="119"/>
        <v>530890.56000000006</v>
      </c>
      <c r="V138" s="75">
        <f t="shared" si="120"/>
        <v>530890.56000000006</v>
      </c>
    </row>
    <row r="139" spans="1:22" x14ac:dyDescent="0.25">
      <c r="A139" s="235"/>
      <c r="B139" s="236"/>
      <c r="C139" s="63" t="s">
        <v>167</v>
      </c>
      <c r="D139" s="64" t="s">
        <v>101</v>
      </c>
      <c r="E139" s="59">
        <v>4</v>
      </c>
      <c r="F139" s="59">
        <v>4</v>
      </c>
      <c r="G139" s="59">
        <f t="shared" si="121"/>
        <v>4</v>
      </c>
      <c r="H139" s="59">
        <v>4</v>
      </c>
      <c r="I139" s="59">
        <v>4</v>
      </c>
      <c r="J139" s="75">
        <f t="shared" si="116"/>
        <v>174890.83</v>
      </c>
      <c r="K139" s="75">
        <v>174890.83</v>
      </c>
      <c r="L139" s="59" t="s">
        <v>104</v>
      </c>
      <c r="M139" s="59" t="s">
        <v>104</v>
      </c>
      <c r="N139" s="71">
        <f t="shared" si="117"/>
        <v>699563.32</v>
      </c>
      <c r="O139" s="146">
        <f t="shared" si="118"/>
        <v>699563.32</v>
      </c>
      <c r="P139" s="146"/>
      <c r="Q139" s="59" t="s">
        <v>104</v>
      </c>
      <c r="R139" s="59"/>
      <c r="S139" s="59"/>
      <c r="T139" s="59" t="s">
        <v>104</v>
      </c>
      <c r="U139" s="75">
        <f t="shared" si="119"/>
        <v>699563.32</v>
      </c>
      <c r="V139" s="75">
        <f t="shared" si="120"/>
        <v>699563.32</v>
      </c>
    </row>
    <row r="140" spans="1:22" x14ac:dyDescent="0.25">
      <c r="A140" s="235"/>
      <c r="B140" s="236"/>
      <c r="C140" s="63" t="s">
        <v>170</v>
      </c>
      <c r="D140" s="64" t="s">
        <v>101</v>
      </c>
      <c r="E140" s="59">
        <v>1</v>
      </c>
      <c r="F140" s="59">
        <v>1</v>
      </c>
      <c r="G140" s="59">
        <f t="shared" si="121"/>
        <v>1</v>
      </c>
      <c r="H140" s="59">
        <v>1</v>
      </c>
      <c r="I140" s="59">
        <v>1</v>
      </c>
      <c r="J140" s="75">
        <f t="shared" si="116"/>
        <v>99648.29</v>
      </c>
      <c r="K140" s="75">
        <v>99648.29</v>
      </c>
      <c r="L140" s="59"/>
      <c r="M140" s="59"/>
      <c r="N140" s="71">
        <f t="shared" si="117"/>
        <v>99648.29</v>
      </c>
      <c r="O140" s="146">
        <f t="shared" si="118"/>
        <v>99648.29</v>
      </c>
      <c r="P140" s="146"/>
      <c r="Q140" s="59" t="s">
        <v>104</v>
      </c>
      <c r="R140" s="59"/>
      <c r="S140" s="59"/>
      <c r="T140" s="59" t="s">
        <v>104</v>
      </c>
      <c r="U140" s="75">
        <f t="shared" si="119"/>
        <v>99648.29</v>
      </c>
      <c r="V140" s="75">
        <f t="shared" si="120"/>
        <v>99648.29</v>
      </c>
    </row>
    <row r="141" spans="1:22" x14ac:dyDescent="0.25">
      <c r="A141" s="235"/>
      <c r="B141" s="236"/>
      <c r="C141" s="63" t="s">
        <v>168</v>
      </c>
      <c r="D141" s="64" t="s">
        <v>101</v>
      </c>
      <c r="E141" s="59">
        <v>1</v>
      </c>
      <c r="F141" s="59">
        <v>1</v>
      </c>
      <c r="G141" s="59">
        <f t="shared" si="121"/>
        <v>1</v>
      </c>
      <c r="H141" s="59">
        <v>1</v>
      </c>
      <c r="I141" s="59">
        <v>1</v>
      </c>
      <c r="J141" s="75">
        <f t="shared" si="116"/>
        <v>23553.439999999999</v>
      </c>
      <c r="K141" s="75">
        <v>23553.439999999999</v>
      </c>
      <c r="L141" s="59" t="s">
        <v>104</v>
      </c>
      <c r="M141" s="59" t="s">
        <v>104</v>
      </c>
      <c r="N141" s="71">
        <f t="shared" si="117"/>
        <v>23553.439999999999</v>
      </c>
      <c r="O141" s="146">
        <f t="shared" si="118"/>
        <v>23553.439999999999</v>
      </c>
      <c r="P141" s="146"/>
      <c r="Q141" s="59" t="s">
        <v>104</v>
      </c>
      <c r="R141" s="59"/>
      <c r="S141" s="59"/>
      <c r="T141" s="59" t="s">
        <v>104</v>
      </c>
      <c r="U141" s="75">
        <f t="shared" si="119"/>
        <v>23553.439999999999</v>
      </c>
      <c r="V141" s="75">
        <f t="shared" si="120"/>
        <v>23553.439999999999</v>
      </c>
    </row>
    <row r="142" spans="1:22" ht="120" x14ac:dyDescent="0.25">
      <c r="A142" s="235"/>
      <c r="B142" s="236"/>
      <c r="C142" s="61" t="s">
        <v>105</v>
      </c>
      <c r="D142" s="64" t="s">
        <v>101</v>
      </c>
      <c r="E142" s="59"/>
      <c r="F142" s="59"/>
      <c r="G142" s="59"/>
      <c r="H142" s="123"/>
      <c r="I142" s="123"/>
      <c r="J142" s="75">
        <f>SUM(K142:M142)</f>
        <v>138391.77000000002</v>
      </c>
      <c r="K142" s="148">
        <f>121412.92+1351.63</f>
        <v>122764.55</v>
      </c>
      <c r="L142" s="72">
        <v>4001.99</v>
      </c>
      <c r="M142" s="164">
        <v>11625.23</v>
      </c>
      <c r="N142" s="71">
        <f>SUM(O142:T142)</f>
        <v>0</v>
      </c>
      <c r="O142" s="71">
        <f t="shared" si="118"/>
        <v>0</v>
      </c>
      <c r="P142" s="71"/>
      <c r="Q142" s="71">
        <f>G142*L142</f>
        <v>0</v>
      </c>
      <c r="R142" s="71"/>
      <c r="S142" s="71"/>
      <c r="T142" s="75">
        <f>G142*M142</f>
        <v>0</v>
      </c>
      <c r="U142" s="75">
        <f t="shared" si="97"/>
        <v>0</v>
      </c>
      <c r="V142" s="75">
        <f t="shared" si="98"/>
        <v>0</v>
      </c>
    </row>
    <row r="143" spans="1:22" x14ac:dyDescent="0.25">
      <c r="A143" s="235"/>
      <c r="B143" s="236"/>
      <c r="C143" s="66" t="s">
        <v>106</v>
      </c>
      <c r="D143" s="67"/>
      <c r="E143" s="59">
        <f>E135+E142</f>
        <v>261</v>
      </c>
      <c r="F143" s="59">
        <f>F135+F142</f>
        <v>261</v>
      </c>
      <c r="G143" s="59">
        <f>G135+G142</f>
        <v>261</v>
      </c>
      <c r="H143" s="123">
        <f>H135+H142</f>
        <v>261</v>
      </c>
      <c r="I143" s="123">
        <f>I135+I142</f>
        <v>261</v>
      </c>
      <c r="J143" s="71" t="s">
        <v>104</v>
      </c>
      <c r="K143" s="71" t="s">
        <v>104</v>
      </c>
      <c r="L143" s="71" t="s">
        <v>104</v>
      </c>
      <c r="M143" s="71" t="s">
        <v>104</v>
      </c>
      <c r="N143" s="71">
        <f t="shared" ref="N143:T143" si="122">SUM(N135:N142)</f>
        <v>12235401.74</v>
      </c>
      <c r="O143" s="71">
        <f t="shared" si="122"/>
        <v>8156697.3200000003</v>
      </c>
      <c r="P143" s="71"/>
      <c r="Q143" s="71">
        <f>SUM(Q135:Q142)</f>
        <v>1044519.3899999999</v>
      </c>
      <c r="R143" s="71"/>
      <c r="S143" s="71"/>
      <c r="T143" s="71">
        <f t="shared" si="122"/>
        <v>3034185.03</v>
      </c>
      <c r="U143" s="75">
        <f>SUM(U135:U142)</f>
        <v>12235401.74</v>
      </c>
      <c r="V143" s="75">
        <f>SUM(V135:V142)</f>
        <v>12235401.74</v>
      </c>
    </row>
    <row r="144" spans="1:22" ht="90" x14ac:dyDescent="0.25">
      <c r="A144" s="235"/>
      <c r="B144" s="236" t="s">
        <v>107</v>
      </c>
      <c r="C144" s="61" t="s">
        <v>100</v>
      </c>
      <c r="D144" s="62" t="s">
        <v>101</v>
      </c>
      <c r="E144" s="59">
        <v>224</v>
      </c>
      <c r="F144" s="59">
        <v>224</v>
      </c>
      <c r="G144" s="59">
        <f t="shared" ref="G144" si="123">((E144*8)+(F144*4))/12</f>
        <v>224</v>
      </c>
      <c r="H144" s="123">
        <v>224</v>
      </c>
      <c r="I144" s="123">
        <v>224</v>
      </c>
      <c r="J144" s="107">
        <f>SUM(K144:M144)</f>
        <v>51622.92</v>
      </c>
      <c r="K144" s="147">
        <f>34346.05+1649.65</f>
        <v>35995.700000000004</v>
      </c>
      <c r="L144" s="70">
        <v>4001.99</v>
      </c>
      <c r="M144" s="164">
        <v>11625.23</v>
      </c>
      <c r="N144" s="71">
        <f>SUM(O144:T144)</f>
        <v>11563534.08</v>
      </c>
      <c r="O144" s="146">
        <f>G144*K144</f>
        <v>8063036.8000000007</v>
      </c>
      <c r="P144" s="146"/>
      <c r="Q144" s="71">
        <f>G144*L144</f>
        <v>896445.76</v>
      </c>
      <c r="R144" s="71"/>
      <c r="S144" s="71"/>
      <c r="T144" s="156">
        <f>G144*M144</f>
        <v>2604051.52</v>
      </c>
      <c r="U144" s="75">
        <f t="shared" si="97"/>
        <v>11563534.08</v>
      </c>
      <c r="V144" s="75">
        <f t="shared" si="98"/>
        <v>11563534.08</v>
      </c>
    </row>
    <row r="145" spans="1:24" ht="120" x14ac:dyDescent="0.25">
      <c r="A145" s="235"/>
      <c r="B145" s="236"/>
      <c r="C145" s="63" t="s">
        <v>102</v>
      </c>
      <c r="D145" s="64" t="s">
        <v>101</v>
      </c>
      <c r="E145" s="59" t="s">
        <v>104</v>
      </c>
      <c r="F145" s="59" t="s">
        <v>104</v>
      </c>
      <c r="G145" s="59" t="s">
        <v>104</v>
      </c>
      <c r="H145" s="123" t="s">
        <v>104</v>
      </c>
      <c r="I145" s="123" t="s">
        <v>104</v>
      </c>
      <c r="J145" s="59" t="s">
        <v>104</v>
      </c>
      <c r="K145" s="59" t="s">
        <v>191</v>
      </c>
      <c r="L145" s="59" t="s">
        <v>104</v>
      </c>
      <c r="M145" s="59" t="s">
        <v>104</v>
      </c>
      <c r="N145" s="71"/>
      <c r="O145" s="71"/>
      <c r="P145" s="71"/>
      <c r="Q145" s="59" t="s">
        <v>104</v>
      </c>
      <c r="R145" s="59"/>
      <c r="S145" s="59"/>
      <c r="T145" s="59" t="s">
        <v>104</v>
      </c>
      <c r="U145" s="75"/>
      <c r="V145" s="75"/>
    </row>
    <row r="146" spans="1:24" x14ac:dyDescent="0.25">
      <c r="A146" s="235"/>
      <c r="B146" s="236"/>
      <c r="C146" s="63" t="s">
        <v>167</v>
      </c>
      <c r="D146" s="64" t="s">
        <v>101</v>
      </c>
      <c r="E146" s="60">
        <v>1</v>
      </c>
      <c r="F146" s="60">
        <v>1</v>
      </c>
      <c r="G146" s="59">
        <f t="shared" ref="G146:G153" si="124">((E146*8)+(F146*4))/12</f>
        <v>1</v>
      </c>
      <c r="H146" s="60">
        <v>1</v>
      </c>
      <c r="I146" s="60">
        <v>1</v>
      </c>
      <c r="J146" s="75">
        <f t="shared" ref="J146:J148" si="125">K146</f>
        <v>266106.15000000002</v>
      </c>
      <c r="K146" s="75">
        <v>266106.15000000002</v>
      </c>
      <c r="L146" s="59" t="s">
        <v>104</v>
      </c>
      <c r="M146" s="59" t="s">
        <v>104</v>
      </c>
      <c r="N146" s="71">
        <f t="shared" ref="N146:N148" si="126">O146</f>
        <v>266106.15000000002</v>
      </c>
      <c r="O146" s="146">
        <f>G146*K146</f>
        <v>266106.15000000002</v>
      </c>
      <c r="P146" s="146"/>
      <c r="Q146" s="59" t="s">
        <v>104</v>
      </c>
      <c r="R146" s="59"/>
      <c r="S146" s="59"/>
      <c r="T146" s="59" t="s">
        <v>104</v>
      </c>
      <c r="U146" s="75">
        <f t="shared" ref="U146:U148" si="127">H146*K146</f>
        <v>266106.15000000002</v>
      </c>
      <c r="V146" s="75">
        <f t="shared" ref="V146:V148" si="128">I146*K146</f>
        <v>266106.15000000002</v>
      </c>
    </row>
    <row r="147" spans="1:24" x14ac:dyDescent="0.25">
      <c r="A147" s="235"/>
      <c r="B147" s="236"/>
      <c r="C147" s="63" t="s">
        <v>170</v>
      </c>
      <c r="D147" s="64" t="s">
        <v>101</v>
      </c>
      <c r="E147" s="60">
        <v>2</v>
      </c>
      <c r="F147" s="60">
        <v>2</v>
      </c>
      <c r="G147" s="59">
        <f t="shared" si="124"/>
        <v>2</v>
      </c>
      <c r="H147" s="60">
        <v>2</v>
      </c>
      <c r="I147" s="60">
        <v>2</v>
      </c>
      <c r="J147" s="75">
        <f t="shared" si="125"/>
        <v>32769.75</v>
      </c>
      <c r="K147" s="75">
        <v>32769.75</v>
      </c>
      <c r="L147" s="59" t="s">
        <v>104</v>
      </c>
      <c r="M147" s="59" t="s">
        <v>104</v>
      </c>
      <c r="N147" s="71">
        <f t="shared" si="126"/>
        <v>65539.5</v>
      </c>
      <c r="O147" s="146">
        <f t="shared" ref="O147:O148" si="129">G147*K147</f>
        <v>65539.5</v>
      </c>
      <c r="P147" s="146"/>
      <c r="Q147" s="59" t="s">
        <v>104</v>
      </c>
      <c r="R147" s="59"/>
      <c r="S147" s="59"/>
      <c r="T147" s="59" t="s">
        <v>104</v>
      </c>
      <c r="U147" s="75">
        <f t="shared" si="127"/>
        <v>65539.5</v>
      </c>
      <c r="V147" s="75">
        <f t="shared" si="128"/>
        <v>65539.5</v>
      </c>
    </row>
    <row r="148" spans="1:24" x14ac:dyDescent="0.25">
      <c r="A148" s="235"/>
      <c r="B148" s="236"/>
      <c r="C148" s="63" t="s">
        <v>168</v>
      </c>
      <c r="D148" s="64" t="s">
        <v>101</v>
      </c>
      <c r="E148" s="60">
        <v>5</v>
      </c>
      <c r="F148" s="60">
        <v>5</v>
      </c>
      <c r="G148" s="59">
        <f t="shared" si="124"/>
        <v>5</v>
      </c>
      <c r="H148" s="60">
        <v>5</v>
      </c>
      <c r="I148" s="60">
        <v>5</v>
      </c>
      <c r="J148" s="75">
        <f t="shared" si="125"/>
        <v>23553.439999999999</v>
      </c>
      <c r="K148" s="75">
        <v>23553.439999999999</v>
      </c>
      <c r="L148" s="59" t="s">
        <v>104</v>
      </c>
      <c r="M148" s="59" t="s">
        <v>104</v>
      </c>
      <c r="N148" s="71">
        <f t="shared" si="126"/>
        <v>117767.2</v>
      </c>
      <c r="O148" s="146">
        <f t="shared" si="129"/>
        <v>117767.2</v>
      </c>
      <c r="P148" s="146"/>
      <c r="Q148" s="59" t="s">
        <v>104</v>
      </c>
      <c r="R148" s="59"/>
      <c r="S148" s="59"/>
      <c r="T148" s="59" t="s">
        <v>104</v>
      </c>
      <c r="U148" s="75">
        <f t="shared" si="127"/>
        <v>117767.2</v>
      </c>
      <c r="V148" s="75">
        <f t="shared" si="128"/>
        <v>117767.2</v>
      </c>
    </row>
    <row r="149" spans="1:24" ht="120" x14ac:dyDescent="0.25">
      <c r="A149" s="235"/>
      <c r="B149" s="236"/>
      <c r="C149" s="61" t="s">
        <v>105</v>
      </c>
      <c r="D149" s="64" t="s">
        <v>101</v>
      </c>
      <c r="E149" s="60">
        <v>2</v>
      </c>
      <c r="F149" s="60">
        <v>2</v>
      </c>
      <c r="G149" s="59">
        <f t="shared" si="124"/>
        <v>2</v>
      </c>
      <c r="H149" s="122">
        <v>2</v>
      </c>
      <c r="I149" s="122">
        <v>2</v>
      </c>
      <c r="J149" s="75">
        <f>SUM(K149:M149)</f>
        <v>168684.5</v>
      </c>
      <c r="K149" s="148">
        <f>151407.63+1649.65</f>
        <v>153057.28</v>
      </c>
      <c r="L149" s="72">
        <v>4001.99</v>
      </c>
      <c r="M149" s="163">
        <v>11625.23</v>
      </c>
      <c r="N149" s="71">
        <f>SUM(O149:T149)</f>
        <v>337369</v>
      </c>
      <c r="O149" s="146">
        <f>G149*K149</f>
        <v>306114.56</v>
      </c>
      <c r="P149" s="146"/>
      <c r="Q149" s="73">
        <f>G149*L149</f>
        <v>8003.98</v>
      </c>
      <c r="R149" s="73"/>
      <c r="S149" s="73"/>
      <c r="T149" s="156">
        <f>G149*M149</f>
        <v>23250.46</v>
      </c>
      <c r="U149" s="75">
        <f t="shared" si="97"/>
        <v>337369</v>
      </c>
      <c r="V149" s="75">
        <f t="shared" si="98"/>
        <v>337369</v>
      </c>
    </row>
    <row r="150" spans="1:24" x14ac:dyDescent="0.25">
      <c r="A150" s="235"/>
      <c r="B150" s="110"/>
      <c r="C150" s="66" t="s">
        <v>106</v>
      </c>
      <c r="D150" s="64"/>
      <c r="E150" s="60">
        <f>E144+E149</f>
        <v>226</v>
      </c>
      <c r="F150" s="60">
        <f>F144+F149</f>
        <v>226</v>
      </c>
      <c r="G150" s="60">
        <f>G144+G149</f>
        <v>226</v>
      </c>
      <c r="H150" s="122">
        <f>H144+H149</f>
        <v>226</v>
      </c>
      <c r="I150" s="122">
        <f>I144+I149</f>
        <v>226</v>
      </c>
      <c r="J150" s="73" t="s">
        <v>104</v>
      </c>
      <c r="K150" s="73" t="s">
        <v>104</v>
      </c>
      <c r="L150" s="74" t="s">
        <v>104</v>
      </c>
      <c r="M150" s="74" t="s">
        <v>104</v>
      </c>
      <c r="N150" s="74">
        <f t="shared" ref="N150:V150" si="130">SUM(N144:N149)</f>
        <v>12350315.93</v>
      </c>
      <c r="O150" s="74">
        <f t="shared" si="130"/>
        <v>8818564.2100000009</v>
      </c>
      <c r="P150" s="74"/>
      <c r="Q150" s="74">
        <f t="shared" si="130"/>
        <v>904449.74</v>
      </c>
      <c r="R150" s="74"/>
      <c r="S150" s="74"/>
      <c r="T150" s="74">
        <f t="shared" si="130"/>
        <v>2627301.98</v>
      </c>
      <c r="U150" s="75">
        <f t="shared" si="130"/>
        <v>12350315.93</v>
      </c>
      <c r="V150" s="75">
        <f t="shared" si="130"/>
        <v>12350315.93</v>
      </c>
    </row>
    <row r="151" spans="1:24" ht="90" x14ac:dyDescent="0.25">
      <c r="A151" s="235"/>
      <c r="B151" s="236" t="s">
        <v>108</v>
      </c>
      <c r="C151" s="61" t="s">
        <v>100</v>
      </c>
      <c r="D151" s="62" t="s">
        <v>101</v>
      </c>
      <c r="E151" s="60">
        <v>39</v>
      </c>
      <c r="F151" s="60">
        <v>39</v>
      </c>
      <c r="G151" s="59">
        <f t="shared" si="124"/>
        <v>39</v>
      </c>
      <c r="H151" s="122">
        <v>39</v>
      </c>
      <c r="I151" s="122">
        <v>39</v>
      </c>
      <c r="J151" s="107">
        <f>SUM(K151:M151)</f>
        <v>58731.119999999995</v>
      </c>
      <c r="K151" s="147">
        <f>41105.12+1998.78</f>
        <v>43103.9</v>
      </c>
      <c r="L151" s="70">
        <v>4001.99</v>
      </c>
      <c r="M151" s="163">
        <v>11625.23</v>
      </c>
      <c r="N151" s="73">
        <f>SUM(O151:T151)</f>
        <v>2290513.6799999997</v>
      </c>
      <c r="O151" s="149">
        <f>G151*K151</f>
        <v>1681052.1</v>
      </c>
      <c r="P151" s="149"/>
      <c r="Q151" s="73">
        <f>G151*L151</f>
        <v>156077.60999999999</v>
      </c>
      <c r="R151" s="73"/>
      <c r="S151" s="73"/>
      <c r="T151" s="156">
        <f>G151*M151</f>
        <v>453383.97</v>
      </c>
      <c r="U151" s="75">
        <f t="shared" si="97"/>
        <v>2290513.6799999997</v>
      </c>
      <c r="V151" s="75">
        <f t="shared" si="98"/>
        <v>2290513.6799999997</v>
      </c>
    </row>
    <row r="152" spans="1:24" ht="120" x14ac:dyDescent="0.25">
      <c r="A152" s="235"/>
      <c r="B152" s="236"/>
      <c r="C152" s="63" t="s">
        <v>102</v>
      </c>
      <c r="D152" s="64" t="s">
        <v>101</v>
      </c>
      <c r="E152" s="59" t="s">
        <v>104</v>
      </c>
      <c r="F152" s="59" t="s">
        <v>104</v>
      </c>
      <c r="G152" s="59" t="s">
        <v>104</v>
      </c>
      <c r="H152" s="59" t="s">
        <v>104</v>
      </c>
      <c r="I152" s="59" t="s">
        <v>104</v>
      </c>
      <c r="J152" s="59" t="s">
        <v>104</v>
      </c>
      <c r="K152" s="59" t="s">
        <v>104</v>
      </c>
      <c r="L152" s="59" t="s">
        <v>104</v>
      </c>
      <c r="M152" s="59" t="s">
        <v>104</v>
      </c>
      <c r="N152" s="71"/>
      <c r="O152" s="71"/>
      <c r="P152" s="71"/>
      <c r="Q152" s="59" t="s">
        <v>104</v>
      </c>
      <c r="R152" s="59"/>
      <c r="S152" s="59"/>
      <c r="T152" s="59" t="s">
        <v>104</v>
      </c>
      <c r="U152" s="75"/>
      <c r="V152" s="75"/>
    </row>
    <row r="153" spans="1:24" x14ac:dyDescent="0.25">
      <c r="A153" s="235"/>
      <c r="B153" s="236"/>
      <c r="C153" s="63" t="s">
        <v>168</v>
      </c>
      <c r="D153" s="64" t="s">
        <v>101</v>
      </c>
      <c r="E153" s="60">
        <v>1</v>
      </c>
      <c r="F153" s="60">
        <v>1</v>
      </c>
      <c r="G153" s="59">
        <f t="shared" si="124"/>
        <v>1</v>
      </c>
      <c r="H153" s="60">
        <v>1</v>
      </c>
      <c r="I153" s="60">
        <v>1</v>
      </c>
      <c r="J153" s="75">
        <f>K153</f>
        <v>23553.439999999999</v>
      </c>
      <c r="K153" s="75">
        <v>23553.439999999999</v>
      </c>
      <c r="L153" s="59" t="s">
        <v>104</v>
      </c>
      <c r="M153" s="59" t="s">
        <v>104</v>
      </c>
      <c r="N153" s="71">
        <f>O153</f>
        <v>23553.439999999999</v>
      </c>
      <c r="O153" s="146">
        <f>G153*K153</f>
        <v>23553.439999999999</v>
      </c>
      <c r="P153" s="146"/>
      <c r="Q153" s="59" t="s">
        <v>104</v>
      </c>
      <c r="R153" s="59"/>
      <c r="S153" s="59"/>
      <c r="T153" s="59" t="s">
        <v>104</v>
      </c>
      <c r="U153" s="75">
        <f>H153*K153</f>
        <v>23553.439999999999</v>
      </c>
      <c r="V153" s="75">
        <f>I153*K153</f>
        <v>23553.439999999999</v>
      </c>
    </row>
    <row r="154" spans="1:24" ht="120" x14ac:dyDescent="0.25">
      <c r="A154" s="235"/>
      <c r="B154" s="236"/>
      <c r="C154" s="61" t="s">
        <v>105</v>
      </c>
      <c r="D154" s="64" t="s">
        <v>101</v>
      </c>
      <c r="E154" s="60">
        <v>0</v>
      </c>
      <c r="F154" s="60"/>
      <c r="G154" s="60"/>
      <c r="H154" s="122">
        <v>0</v>
      </c>
      <c r="I154" s="122">
        <v>0</v>
      </c>
      <c r="J154" s="73">
        <f>K154</f>
        <v>183401.13</v>
      </c>
      <c r="K154" s="149">
        <f>181402.35+1998.78</f>
        <v>183401.13</v>
      </c>
      <c r="L154" s="70">
        <v>4001.99</v>
      </c>
      <c r="M154" s="163">
        <v>11625.23</v>
      </c>
      <c r="N154" s="71">
        <f>SUM(O154:T154)</f>
        <v>0</v>
      </c>
      <c r="O154" s="149">
        <f>G154*K154</f>
        <v>0</v>
      </c>
      <c r="P154" s="149"/>
      <c r="Q154" s="73">
        <f>E154*L154</f>
        <v>0</v>
      </c>
      <c r="R154" s="73"/>
      <c r="S154" s="73"/>
      <c r="T154" s="75">
        <f>G154*M154</f>
        <v>0</v>
      </c>
      <c r="U154" s="75">
        <f>H154*K154</f>
        <v>0</v>
      </c>
      <c r="V154" s="75">
        <f>I154*K154</f>
        <v>0</v>
      </c>
    </row>
    <row r="155" spans="1:24" x14ac:dyDescent="0.25">
      <c r="A155" s="235"/>
      <c r="B155" s="110"/>
      <c r="C155" s="66" t="s">
        <v>106</v>
      </c>
      <c r="D155" s="64"/>
      <c r="E155" s="60">
        <f>E151+E154</f>
        <v>39</v>
      </c>
      <c r="F155" s="60">
        <f>F151+F154</f>
        <v>39</v>
      </c>
      <c r="G155" s="60">
        <f>G151+G154</f>
        <v>39</v>
      </c>
      <c r="H155" s="60">
        <f>H151+H154</f>
        <v>39</v>
      </c>
      <c r="I155" s="60">
        <f>I151+I154</f>
        <v>39</v>
      </c>
      <c r="J155" s="73" t="s">
        <v>104</v>
      </c>
      <c r="K155" s="73" t="s">
        <v>104</v>
      </c>
      <c r="L155" s="74" t="s">
        <v>104</v>
      </c>
      <c r="M155" s="74" t="s">
        <v>104</v>
      </c>
      <c r="N155" s="74">
        <f t="shared" ref="N155:T155" si="131">SUM(N151:N154)</f>
        <v>2314067.1199999996</v>
      </c>
      <c r="O155" s="74">
        <f t="shared" si="131"/>
        <v>1704605.54</v>
      </c>
      <c r="P155" s="74"/>
      <c r="Q155" s="74">
        <f t="shared" si="131"/>
        <v>156077.60999999999</v>
      </c>
      <c r="R155" s="74"/>
      <c r="S155" s="74"/>
      <c r="T155" s="74">
        <f t="shared" si="131"/>
        <v>453383.97</v>
      </c>
      <c r="U155" s="75">
        <f>SUM(U151:U154)</f>
        <v>2314067.1199999996</v>
      </c>
      <c r="V155" s="75">
        <f>SUM(V151:V154)</f>
        <v>2314067.1199999996</v>
      </c>
    </row>
    <row r="156" spans="1:24" ht="105" x14ac:dyDescent="0.25">
      <c r="A156" s="235"/>
      <c r="B156" s="137" t="s">
        <v>109</v>
      </c>
      <c r="C156" s="61" t="s">
        <v>187</v>
      </c>
      <c r="D156" s="64" t="s">
        <v>101</v>
      </c>
      <c r="E156" s="60">
        <v>776</v>
      </c>
      <c r="F156" s="60">
        <v>776</v>
      </c>
      <c r="G156" s="59">
        <f t="shared" ref="G156" si="132">((E156*8)+(F156*4))/12</f>
        <v>776</v>
      </c>
      <c r="H156" s="122">
        <v>776</v>
      </c>
      <c r="I156" s="122">
        <v>776</v>
      </c>
      <c r="J156" s="75">
        <f>K156</f>
        <v>3978.76</v>
      </c>
      <c r="K156" s="75">
        <v>3978.76</v>
      </c>
      <c r="L156" s="72" t="s">
        <v>104</v>
      </c>
      <c r="M156" s="72" t="s">
        <v>104</v>
      </c>
      <c r="N156" s="73">
        <f>SUM(O156:T156)</f>
        <v>3087517.7600000002</v>
      </c>
      <c r="O156" s="149">
        <f>K156*G156</f>
        <v>3087517.7600000002</v>
      </c>
      <c r="P156" s="149"/>
      <c r="Q156" s="73" t="s">
        <v>104</v>
      </c>
      <c r="R156" s="73"/>
      <c r="S156" s="73"/>
      <c r="T156" s="73" t="s">
        <v>104</v>
      </c>
      <c r="U156" s="75">
        <f t="shared" si="97"/>
        <v>3087517.7600000002</v>
      </c>
      <c r="V156" s="75">
        <f t="shared" si="98"/>
        <v>3087517.7600000002</v>
      </c>
    </row>
    <row r="157" spans="1:24" x14ac:dyDescent="0.25">
      <c r="A157" s="235"/>
      <c r="B157" s="69"/>
      <c r="C157" s="66" t="s">
        <v>106</v>
      </c>
      <c r="D157" s="69"/>
      <c r="E157" s="60">
        <f>SUM(E156:E156)</f>
        <v>776</v>
      </c>
      <c r="F157" s="60">
        <f>SUM(F156:F156)</f>
        <v>776</v>
      </c>
      <c r="G157" s="60">
        <f>SUM(G156:G156)</f>
        <v>776</v>
      </c>
      <c r="H157" s="60">
        <f>SUM(H156:H156)</f>
        <v>776</v>
      </c>
      <c r="I157" s="60">
        <f>SUM(I156:I156)</f>
        <v>776</v>
      </c>
      <c r="J157" s="73" t="s">
        <v>104</v>
      </c>
      <c r="K157" s="73" t="s">
        <v>104</v>
      </c>
      <c r="L157" s="74" t="s">
        <v>104</v>
      </c>
      <c r="M157" s="74">
        <f t="shared" ref="M157:V157" si="133">SUM(M156:M156)</f>
        <v>0</v>
      </c>
      <c r="N157" s="74">
        <f t="shared" si="133"/>
        <v>3087517.7600000002</v>
      </c>
      <c r="O157" s="74">
        <f t="shared" si="133"/>
        <v>3087517.7600000002</v>
      </c>
      <c r="P157" s="74"/>
      <c r="Q157" s="74">
        <f t="shared" si="133"/>
        <v>0</v>
      </c>
      <c r="R157" s="74"/>
      <c r="S157" s="74"/>
      <c r="T157" s="74">
        <f t="shared" si="133"/>
        <v>0</v>
      </c>
      <c r="U157" s="75">
        <f t="shared" si="133"/>
        <v>3087517.7600000002</v>
      </c>
      <c r="V157" s="75">
        <f t="shared" si="133"/>
        <v>3087517.7600000002</v>
      </c>
    </row>
    <row r="158" spans="1:24" x14ac:dyDescent="0.25">
      <c r="A158" s="235"/>
      <c r="B158" s="101" t="s">
        <v>112</v>
      </c>
      <c r="C158" s="101"/>
      <c r="D158" s="69"/>
      <c r="E158" s="102"/>
      <c r="F158" s="102"/>
      <c r="G158" s="102"/>
      <c r="H158" s="102"/>
      <c r="I158" s="102"/>
      <c r="J158" s="104"/>
      <c r="K158" s="104"/>
      <c r="L158" s="103"/>
      <c r="M158" s="103"/>
      <c r="N158" s="103">
        <f>SUM(O158:T158)</f>
        <v>29987302.550000001</v>
      </c>
      <c r="O158" s="138">
        <f>O143+O150+O155+O157</f>
        <v>21767384.830000002</v>
      </c>
      <c r="P158" s="138"/>
      <c r="Q158" s="103">
        <f>Q143+Q150+Q155+Q157</f>
        <v>2105046.7399999998</v>
      </c>
      <c r="R158" s="103"/>
      <c r="S158" s="103"/>
      <c r="T158" s="103">
        <f>T143+T150+T155+T157</f>
        <v>6114870.9799999995</v>
      </c>
      <c r="U158" s="103">
        <f>U143+U150+U155+U157</f>
        <v>29987302.550000004</v>
      </c>
      <c r="V158" s="103">
        <f>V143+V150+V155+V157</f>
        <v>29987302.550000004</v>
      </c>
      <c r="X158" s="85"/>
    </row>
    <row r="159" spans="1:24" ht="90" x14ac:dyDescent="0.25">
      <c r="A159" s="235" t="s">
        <v>114</v>
      </c>
      <c r="B159" s="236" t="s">
        <v>99</v>
      </c>
      <c r="C159" s="61" t="s">
        <v>100</v>
      </c>
      <c r="D159" s="62" t="s">
        <v>101</v>
      </c>
      <c r="E159" s="59">
        <v>211</v>
      </c>
      <c r="F159" s="59">
        <v>211</v>
      </c>
      <c r="G159" s="59">
        <f t="shared" ref="G159:G181" si="134">((E159*8)+(F159*4))/12</f>
        <v>211</v>
      </c>
      <c r="H159" s="59">
        <v>211</v>
      </c>
      <c r="I159" s="59">
        <v>211</v>
      </c>
      <c r="J159" s="107">
        <f>SUM(K159:M159)</f>
        <v>40097.97</v>
      </c>
      <c r="K159" s="147">
        <f>23119.12+1351.63</f>
        <v>24470.75</v>
      </c>
      <c r="L159" s="70">
        <v>4001.99</v>
      </c>
      <c r="M159" s="163">
        <v>11625.23</v>
      </c>
      <c r="N159" s="71">
        <f>SUM(O159:T159)</f>
        <v>8460671.6699999999</v>
      </c>
      <c r="O159" s="146">
        <f>G159*K159</f>
        <v>5163328.25</v>
      </c>
      <c r="P159" s="146"/>
      <c r="Q159" s="71">
        <f>G159*L159</f>
        <v>844419.8899999999</v>
      </c>
      <c r="R159" s="71"/>
      <c r="S159" s="71"/>
      <c r="T159" s="156">
        <f>G159*M159</f>
        <v>2452923.5299999998</v>
      </c>
      <c r="U159" s="75">
        <f t="shared" si="97"/>
        <v>8460671.6699999999</v>
      </c>
      <c r="V159" s="75">
        <f t="shared" si="98"/>
        <v>8460671.6699999999</v>
      </c>
    </row>
    <row r="160" spans="1:24" ht="135" x14ac:dyDescent="0.25">
      <c r="A160" s="235"/>
      <c r="B160" s="236"/>
      <c r="C160" s="63" t="s">
        <v>163</v>
      </c>
      <c r="D160" s="64" t="s">
        <v>101</v>
      </c>
      <c r="E160" s="59" t="s">
        <v>104</v>
      </c>
      <c r="F160" s="59" t="s">
        <v>104</v>
      </c>
      <c r="G160" s="59" t="s">
        <v>104</v>
      </c>
      <c r="H160" s="59" t="s">
        <v>104</v>
      </c>
      <c r="I160" s="59" t="s">
        <v>104</v>
      </c>
      <c r="J160" s="59" t="s">
        <v>104</v>
      </c>
      <c r="K160" s="59" t="s">
        <v>104</v>
      </c>
      <c r="L160" s="59" t="s">
        <v>104</v>
      </c>
      <c r="M160" s="59" t="s">
        <v>104</v>
      </c>
      <c r="N160" s="59"/>
      <c r="O160" s="59"/>
      <c r="P160" s="59"/>
      <c r="Q160" s="59" t="s">
        <v>104</v>
      </c>
      <c r="R160" s="59"/>
      <c r="S160" s="59"/>
      <c r="T160" s="59" t="s">
        <v>104</v>
      </c>
      <c r="U160" s="75"/>
      <c r="V160" s="75"/>
    </row>
    <row r="161" spans="1:22" x14ac:dyDescent="0.25">
      <c r="A161" s="235"/>
      <c r="B161" s="236"/>
      <c r="C161" s="63" t="s">
        <v>171</v>
      </c>
      <c r="D161" s="64" t="s">
        <v>101</v>
      </c>
      <c r="E161" s="59">
        <v>1</v>
      </c>
      <c r="F161" s="59">
        <v>1</v>
      </c>
      <c r="G161" s="59">
        <f t="shared" si="134"/>
        <v>1</v>
      </c>
      <c r="H161" s="59">
        <v>1</v>
      </c>
      <c r="I161" s="59">
        <v>1</v>
      </c>
      <c r="J161" s="75">
        <f t="shared" ref="J161:J165" si="135">K161</f>
        <v>69362.66</v>
      </c>
      <c r="K161" s="75">
        <v>69362.66</v>
      </c>
      <c r="L161" s="59" t="s">
        <v>104</v>
      </c>
      <c r="M161" s="59" t="s">
        <v>104</v>
      </c>
      <c r="N161" s="71">
        <f>O161</f>
        <v>69362.66</v>
      </c>
      <c r="O161" s="146">
        <f>G161*K161</f>
        <v>69362.66</v>
      </c>
      <c r="P161" s="146"/>
      <c r="Q161" s="59" t="s">
        <v>104</v>
      </c>
      <c r="R161" s="59"/>
      <c r="S161" s="59"/>
      <c r="T161" s="59" t="s">
        <v>104</v>
      </c>
      <c r="U161" s="75">
        <f>H161*K161</f>
        <v>69362.66</v>
      </c>
      <c r="V161" s="75">
        <f>I161*K161</f>
        <v>69362.66</v>
      </c>
    </row>
    <row r="162" spans="1:22" x14ac:dyDescent="0.25">
      <c r="A162" s="235"/>
      <c r="B162" s="236"/>
      <c r="C162" s="63" t="s">
        <v>164</v>
      </c>
      <c r="D162" s="64" t="s">
        <v>101</v>
      </c>
      <c r="E162" s="59">
        <v>4</v>
      </c>
      <c r="F162" s="59">
        <v>4</v>
      </c>
      <c r="G162" s="59">
        <f t="shared" si="134"/>
        <v>4</v>
      </c>
      <c r="H162" s="59">
        <v>4</v>
      </c>
      <c r="I162" s="59">
        <v>4</v>
      </c>
      <c r="J162" s="75">
        <f t="shared" si="135"/>
        <v>25589.72</v>
      </c>
      <c r="K162" s="75">
        <v>25589.72</v>
      </c>
      <c r="L162" s="59" t="s">
        <v>104</v>
      </c>
      <c r="M162" s="59" t="s">
        <v>104</v>
      </c>
      <c r="N162" s="71">
        <f>O162</f>
        <v>102358.88</v>
      </c>
      <c r="O162" s="146">
        <f t="shared" ref="O162:O166" si="136">G162*K162</f>
        <v>102358.88</v>
      </c>
      <c r="P162" s="146"/>
      <c r="Q162" s="59" t="s">
        <v>104</v>
      </c>
      <c r="R162" s="59"/>
      <c r="S162" s="59"/>
      <c r="T162" s="59" t="s">
        <v>104</v>
      </c>
      <c r="U162" s="75">
        <f>H162*K162</f>
        <v>102358.88</v>
      </c>
      <c r="V162" s="75">
        <f>I162*K162</f>
        <v>102358.88</v>
      </c>
    </row>
    <row r="163" spans="1:22" x14ac:dyDescent="0.25">
      <c r="A163" s="235"/>
      <c r="B163" s="236"/>
      <c r="C163" s="63" t="s">
        <v>169</v>
      </c>
      <c r="D163" s="64" t="s">
        <v>101</v>
      </c>
      <c r="E163" s="59">
        <v>7</v>
      </c>
      <c r="F163" s="59">
        <v>7</v>
      </c>
      <c r="G163" s="59">
        <f t="shared" si="134"/>
        <v>7</v>
      </c>
      <c r="H163" s="59">
        <v>7</v>
      </c>
      <c r="I163" s="59">
        <v>7</v>
      </c>
      <c r="J163" s="75">
        <f t="shared" si="135"/>
        <v>69362.66</v>
      </c>
      <c r="K163" s="75">
        <v>69362.66</v>
      </c>
      <c r="L163" s="59" t="s">
        <v>104</v>
      </c>
      <c r="M163" s="59" t="s">
        <v>104</v>
      </c>
      <c r="N163" s="71">
        <f t="shared" ref="N163:N165" si="137">O163</f>
        <v>485538.62</v>
      </c>
      <c r="O163" s="146">
        <f t="shared" si="136"/>
        <v>485538.62</v>
      </c>
      <c r="P163" s="146"/>
      <c r="Q163" s="59" t="s">
        <v>104</v>
      </c>
      <c r="R163" s="59"/>
      <c r="S163" s="59"/>
      <c r="T163" s="59" t="s">
        <v>104</v>
      </c>
      <c r="U163" s="75">
        <f t="shared" ref="U163:U165" si="138">H163*K163</f>
        <v>485538.62</v>
      </c>
      <c r="V163" s="75">
        <f t="shared" ref="V163:V165" si="139">I163*K163</f>
        <v>485538.62</v>
      </c>
    </row>
    <row r="164" spans="1:22" x14ac:dyDescent="0.25">
      <c r="A164" s="235"/>
      <c r="B164" s="236"/>
      <c r="C164" s="63" t="s">
        <v>166</v>
      </c>
      <c r="D164" s="64" t="s">
        <v>101</v>
      </c>
      <c r="E164" s="59">
        <v>4</v>
      </c>
      <c r="F164" s="59">
        <v>4</v>
      </c>
      <c r="G164" s="59">
        <f t="shared" si="134"/>
        <v>4</v>
      </c>
      <c r="H164" s="59">
        <v>4</v>
      </c>
      <c r="I164" s="59">
        <v>4</v>
      </c>
      <c r="J164" s="75">
        <f t="shared" si="135"/>
        <v>66361.320000000007</v>
      </c>
      <c r="K164" s="75">
        <v>66361.320000000007</v>
      </c>
      <c r="L164" s="59" t="s">
        <v>104</v>
      </c>
      <c r="M164" s="59" t="s">
        <v>104</v>
      </c>
      <c r="N164" s="71">
        <f t="shared" si="137"/>
        <v>265445.28000000003</v>
      </c>
      <c r="O164" s="146">
        <f t="shared" si="136"/>
        <v>265445.28000000003</v>
      </c>
      <c r="P164" s="146"/>
      <c r="Q164" s="59" t="s">
        <v>104</v>
      </c>
      <c r="R164" s="59"/>
      <c r="S164" s="59"/>
      <c r="T164" s="59" t="s">
        <v>104</v>
      </c>
      <c r="U164" s="75">
        <f t="shared" si="138"/>
        <v>265445.28000000003</v>
      </c>
      <c r="V164" s="75">
        <f t="shared" si="139"/>
        <v>265445.28000000003</v>
      </c>
    </row>
    <row r="165" spans="1:22" x14ac:dyDescent="0.25">
      <c r="A165" s="235"/>
      <c r="B165" s="236"/>
      <c r="C165" s="63" t="s">
        <v>168</v>
      </c>
      <c r="D165" s="64" t="s">
        <v>101</v>
      </c>
      <c r="E165" s="59">
        <v>1</v>
      </c>
      <c r="F165" s="59">
        <v>1</v>
      </c>
      <c r="G165" s="59">
        <f t="shared" si="134"/>
        <v>1</v>
      </c>
      <c r="H165" s="59">
        <v>1</v>
      </c>
      <c r="I165" s="59">
        <v>1</v>
      </c>
      <c r="J165" s="75">
        <f t="shared" si="135"/>
        <v>23553.439999999999</v>
      </c>
      <c r="K165" s="75">
        <v>23553.439999999999</v>
      </c>
      <c r="L165" s="59" t="s">
        <v>104</v>
      </c>
      <c r="M165" s="59" t="s">
        <v>104</v>
      </c>
      <c r="N165" s="71">
        <f t="shared" si="137"/>
        <v>23553.439999999999</v>
      </c>
      <c r="O165" s="146">
        <f t="shared" si="136"/>
        <v>23553.439999999999</v>
      </c>
      <c r="P165" s="146"/>
      <c r="Q165" s="59" t="s">
        <v>104</v>
      </c>
      <c r="R165" s="59"/>
      <c r="S165" s="59"/>
      <c r="T165" s="59" t="s">
        <v>104</v>
      </c>
      <c r="U165" s="75">
        <f t="shared" si="138"/>
        <v>23553.439999999999</v>
      </c>
      <c r="V165" s="75">
        <f t="shared" si="139"/>
        <v>23553.439999999999</v>
      </c>
    </row>
    <row r="166" spans="1:22" ht="120" x14ac:dyDescent="0.25">
      <c r="A166" s="235"/>
      <c r="B166" s="236"/>
      <c r="C166" s="61" t="s">
        <v>105</v>
      </c>
      <c r="D166" s="64" t="s">
        <v>101</v>
      </c>
      <c r="E166" s="59">
        <v>1</v>
      </c>
      <c r="F166" s="59">
        <v>1</v>
      </c>
      <c r="G166" s="59">
        <f t="shared" si="134"/>
        <v>1</v>
      </c>
      <c r="H166" s="59">
        <v>1</v>
      </c>
      <c r="I166" s="59">
        <v>1</v>
      </c>
      <c r="J166" s="75">
        <f>SUM(K166:M166)</f>
        <v>138391.77000000002</v>
      </c>
      <c r="K166" s="148">
        <f>121412.92+1351.63</f>
        <v>122764.55</v>
      </c>
      <c r="L166" s="72">
        <v>4001.99</v>
      </c>
      <c r="M166" s="163">
        <v>11625.23</v>
      </c>
      <c r="N166" s="71">
        <f>SUM(O166:T166)</f>
        <v>138391.77000000002</v>
      </c>
      <c r="O166" s="146">
        <f t="shared" si="136"/>
        <v>122764.55</v>
      </c>
      <c r="P166" s="146"/>
      <c r="Q166" s="71">
        <f>G166*L166</f>
        <v>4001.99</v>
      </c>
      <c r="R166" s="71"/>
      <c r="S166" s="71"/>
      <c r="T166" s="75">
        <f>G166*M166</f>
        <v>11625.23</v>
      </c>
      <c r="U166" s="75">
        <f t="shared" si="97"/>
        <v>138391.77000000002</v>
      </c>
      <c r="V166" s="75">
        <f t="shared" si="98"/>
        <v>138391.77000000002</v>
      </c>
    </row>
    <row r="167" spans="1:22" x14ac:dyDescent="0.25">
      <c r="A167" s="235"/>
      <c r="B167" s="236"/>
      <c r="C167" s="66" t="s">
        <v>106</v>
      </c>
      <c r="D167" s="67"/>
      <c r="E167" s="59">
        <f>E159+E166</f>
        <v>212</v>
      </c>
      <c r="F167" s="59">
        <f t="shared" ref="F167:I167" si="140">F159+F166</f>
        <v>212</v>
      </c>
      <c r="G167" s="59">
        <f>G159+G166</f>
        <v>212</v>
      </c>
      <c r="H167" s="59">
        <f t="shared" si="140"/>
        <v>212</v>
      </c>
      <c r="I167" s="59">
        <f t="shared" si="140"/>
        <v>212</v>
      </c>
      <c r="J167" s="71" t="s">
        <v>104</v>
      </c>
      <c r="K167" s="71" t="s">
        <v>104</v>
      </c>
      <c r="L167" s="71" t="s">
        <v>104</v>
      </c>
      <c r="M167" s="71" t="s">
        <v>104</v>
      </c>
      <c r="N167" s="71">
        <f t="shared" ref="N167:V167" si="141">SUM(N159:N166)</f>
        <v>9545322.3199999984</v>
      </c>
      <c r="O167" s="71">
        <f t="shared" si="141"/>
        <v>6232351.6800000006</v>
      </c>
      <c r="P167" s="71"/>
      <c r="Q167" s="71">
        <f t="shared" si="141"/>
        <v>848421.87999999989</v>
      </c>
      <c r="R167" s="71"/>
      <c r="S167" s="71"/>
      <c r="T167" s="71">
        <f t="shared" si="141"/>
        <v>2464548.7599999998</v>
      </c>
      <c r="U167" s="71">
        <f t="shared" si="141"/>
        <v>9545322.3199999984</v>
      </c>
      <c r="V167" s="71">
        <f t="shared" si="141"/>
        <v>9545322.3199999984</v>
      </c>
    </row>
    <row r="168" spans="1:22" ht="90" x14ac:dyDescent="0.25">
      <c r="A168" s="235"/>
      <c r="B168" s="236" t="s">
        <v>107</v>
      </c>
      <c r="C168" s="61" t="s">
        <v>100</v>
      </c>
      <c r="D168" s="62" t="s">
        <v>101</v>
      </c>
      <c r="E168" s="59">
        <v>223</v>
      </c>
      <c r="F168" s="59">
        <v>223</v>
      </c>
      <c r="G168" s="59">
        <f t="shared" si="134"/>
        <v>223</v>
      </c>
      <c r="H168" s="59">
        <v>223</v>
      </c>
      <c r="I168" s="59">
        <v>223</v>
      </c>
      <c r="J168" s="107">
        <f>SUM(K168:M168)</f>
        <v>51622.92</v>
      </c>
      <c r="K168" s="147">
        <f>34346.05+1649.65</f>
        <v>35995.700000000004</v>
      </c>
      <c r="L168" s="70">
        <v>4001.99</v>
      </c>
      <c r="M168" s="163">
        <v>11625.23</v>
      </c>
      <c r="N168" s="71">
        <f>SUM(O168:T168)</f>
        <v>11511911.16</v>
      </c>
      <c r="O168" s="146">
        <f>G168*K168</f>
        <v>8027041.1000000006</v>
      </c>
      <c r="P168" s="146"/>
      <c r="Q168" s="71">
        <f>G168*L168</f>
        <v>892443.7699999999</v>
      </c>
      <c r="R168" s="71"/>
      <c r="S168" s="71"/>
      <c r="T168" s="156">
        <f>G168*M168</f>
        <v>2592426.29</v>
      </c>
      <c r="U168" s="75">
        <f t="shared" si="97"/>
        <v>11511911.16</v>
      </c>
      <c r="V168" s="75">
        <f t="shared" si="98"/>
        <v>11511911.16</v>
      </c>
    </row>
    <row r="169" spans="1:22" ht="135" x14ac:dyDescent="0.25">
      <c r="A169" s="235"/>
      <c r="B169" s="236"/>
      <c r="C169" s="63" t="s">
        <v>163</v>
      </c>
      <c r="D169" s="64" t="s">
        <v>101</v>
      </c>
      <c r="E169" s="59" t="s">
        <v>104</v>
      </c>
      <c r="F169" s="59" t="s">
        <v>104</v>
      </c>
      <c r="G169" s="59" t="s">
        <v>104</v>
      </c>
      <c r="H169" s="59" t="s">
        <v>104</v>
      </c>
      <c r="I169" s="59" t="s">
        <v>104</v>
      </c>
      <c r="J169" s="59" t="s">
        <v>104</v>
      </c>
      <c r="K169" s="59" t="s">
        <v>104</v>
      </c>
      <c r="L169" s="59" t="s">
        <v>104</v>
      </c>
      <c r="M169" s="59" t="s">
        <v>104</v>
      </c>
      <c r="N169" s="71"/>
      <c r="O169" s="71"/>
      <c r="P169" s="71"/>
      <c r="Q169" s="59" t="s">
        <v>104</v>
      </c>
      <c r="R169" s="59"/>
      <c r="S169" s="59"/>
      <c r="T169" s="59" t="s">
        <v>104</v>
      </c>
      <c r="U169" s="75"/>
      <c r="V169" s="75"/>
    </row>
    <row r="170" spans="1:22" x14ac:dyDescent="0.25">
      <c r="A170" s="235"/>
      <c r="B170" s="236"/>
      <c r="C170" s="63" t="s">
        <v>171</v>
      </c>
      <c r="D170" s="64" t="s">
        <v>101</v>
      </c>
      <c r="E170" s="60">
        <v>1</v>
      </c>
      <c r="F170" s="60">
        <v>1</v>
      </c>
      <c r="G170" s="59">
        <f t="shared" si="134"/>
        <v>1</v>
      </c>
      <c r="H170" s="60">
        <v>1</v>
      </c>
      <c r="I170" s="60">
        <v>1</v>
      </c>
      <c r="J170" s="75">
        <f t="shared" ref="J170:J171" si="142">K170</f>
        <v>69362.66</v>
      </c>
      <c r="K170" s="75">
        <v>69362.66</v>
      </c>
      <c r="L170" s="59" t="s">
        <v>104</v>
      </c>
      <c r="M170" s="59" t="s">
        <v>104</v>
      </c>
      <c r="N170" s="71">
        <f t="shared" ref="N170:N171" si="143">O170</f>
        <v>69362.66</v>
      </c>
      <c r="O170" s="146">
        <f>G170*K170</f>
        <v>69362.66</v>
      </c>
      <c r="P170" s="146"/>
      <c r="Q170" s="59" t="s">
        <v>104</v>
      </c>
      <c r="R170" s="59"/>
      <c r="S170" s="59"/>
      <c r="T170" s="59" t="s">
        <v>104</v>
      </c>
      <c r="U170" s="75">
        <f>H170*K170</f>
        <v>69362.66</v>
      </c>
      <c r="V170" s="75">
        <f>I170*K170</f>
        <v>69362.66</v>
      </c>
    </row>
    <row r="171" spans="1:22" x14ac:dyDescent="0.25">
      <c r="A171" s="235"/>
      <c r="B171" s="236"/>
      <c r="C171" s="63" t="s">
        <v>165</v>
      </c>
      <c r="D171" s="64" t="s">
        <v>101</v>
      </c>
      <c r="E171" s="60">
        <v>1</v>
      </c>
      <c r="F171" s="60">
        <v>1</v>
      </c>
      <c r="G171" s="59">
        <f t="shared" si="134"/>
        <v>1</v>
      </c>
      <c r="H171" s="60">
        <v>1</v>
      </c>
      <c r="I171" s="60">
        <v>1</v>
      </c>
      <c r="J171" s="75">
        <f t="shared" si="142"/>
        <v>92468.25</v>
      </c>
      <c r="K171" s="75">
        <v>92468.25</v>
      </c>
      <c r="L171" s="59" t="s">
        <v>104</v>
      </c>
      <c r="M171" s="59" t="s">
        <v>104</v>
      </c>
      <c r="N171" s="71">
        <f t="shared" si="143"/>
        <v>92468.25</v>
      </c>
      <c r="O171" s="146">
        <f t="shared" ref="O171:O173" si="144">G171*K171</f>
        <v>92468.25</v>
      </c>
      <c r="P171" s="146"/>
      <c r="Q171" s="59" t="s">
        <v>104</v>
      </c>
      <c r="R171" s="59"/>
      <c r="S171" s="59"/>
      <c r="T171" s="59" t="s">
        <v>104</v>
      </c>
      <c r="U171" s="75">
        <f t="shared" ref="U171:U172" si="145">H171*K171</f>
        <v>92468.25</v>
      </c>
      <c r="V171" s="75">
        <f t="shared" ref="V171:V172" si="146">I171*K171</f>
        <v>92468.25</v>
      </c>
    </row>
    <row r="172" spans="1:22" x14ac:dyDescent="0.25">
      <c r="A172" s="235"/>
      <c r="B172" s="236"/>
      <c r="C172" s="63" t="s">
        <v>168</v>
      </c>
      <c r="D172" s="64" t="s">
        <v>101</v>
      </c>
      <c r="E172" s="60">
        <v>6</v>
      </c>
      <c r="F172" s="60">
        <v>6</v>
      </c>
      <c r="G172" s="59">
        <f t="shared" si="134"/>
        <v>6</v>
      </c>
      <c r="H172" s="60">
        <v>6</v>
      </c>
      <c r="I172" s="60">
        <v>6</v>
      </c>
      <c r="J172" s="75">
        <f>K172</f>
        <v>23553.439999999999</v>
      </c>
      <c r="K172" s="75">
        <v>23553.439999999999</v>
      </c>
      <c r="L172" s="59" t="s">
        <v>104</v>
      </c>
      <c r="M172" s="59" t="s">
        <v>104</v>
      </c>
      <c r="N172" s="71">
        <f>O172</f>
        <v>141320.63999999998</v>
      </c>
      <c r="O172" s="146">
        <f t="shared" si="144"/>
        <v>141320.63999999998</v>
      </c>
      <c r="P172" s="146"/>
      <c r="Q172" s="59" t="s">
        <v>104</v>
      </c>
      <c r="R172" s="59"/>
      <c r="S172" s="59"/>
      <c r="T172" s="59" t="s">
        <v>104</v>
      </c>
      <c r="U172" s="75">
        <f t="shared" si="145"/>
        <v>141320.63999999998</v>
      </c>
      <c r="V172" s="75">
        <f t="shared" si="146"/>
        <v>141320.63999999998</v>
      </c>
    </row>
    <row r="173" spans="1:22" ht="120" x14ac:dyDescent="0.25">
      <c r="A173" s="235"/>
      <c r="B173" s="236"/>
      <c r="C173" s="61" t="s">
        <v>105</v>
      </c>
      <c r="D173" s="64" t="s">
        <v>101</v>
      </c>
      <c r="E173" s="60">
        <v>3</v>
      </c>
      <c r="F173" s="60">
        <v>3</v>
      </c>
      <c r="G173" s="59">
        <f t="shared" si="134"/>
        <v>3</v>
      </c>
      <c r="H173" s="60">
        <v>3</v>
      </c>
      <c r="I173" s="60">
        <v>3</v>
      </c>
      <c r="J173" s="75">
        <f>SUM(K173:M173)</f>
        <v>168684.5</v>
      </c>
      <c r="K173" s="148">
        <f>151407.63+1649.65</f>
        <v>153057.28</v>
      </c>
      <c r="L173" s="72">
        <v>4001.99</v>
      </c>
      <c r="M173" s="163">
        <v>11625.23</v>
      </c>
      <c r="N173" s="73">
        <f>SUM(O173:T173)</f>
        <v>506053.49999999994</v>
      </c>
      <c r="O173" s="146">
        <f t="shared" si="144"/>
        <v>459171.83999999997</v>
      </c>
      <c r="P173" s="146"/>
      <c r="Q173" s="73">
        <f>G173*L173</f>
        <v>12005.97</v>
      </c>
      <c r="R173" s="73"/>
      <c r="S173" s="73"/>
      <c r="T173" s="156">
        <f>G173*M173</f>
        <v>34875.69</v>
      </c>
      <c r="U173" s="75">
        <f t="shared" si="97"/>
        <v>506053.5</v>
      </c>
      <c r="V173" s="75">
        <f t="shared" si="98"/>
        <v>506053.5</v>
      </c>
    </row>
    <row r="174" spans="1:22" x14ac:dyDescent="0.25">
      <c r="A174" s="235"/>
      <c r="B174" s="110"/>
      <c r="C174" s="66" t="s">
        <v>106</v>
      </c>
      <c r="D174" s="64"/>
      <c r="E174" s="60">
        <f>E168+E173</f>
        <v>226</v>
      </c>
      <c r="F174" s="60">
        <f t="shared" ref="F174:I174" si="147">F168+F173</f>
        <v>226</v>
      </c>
      <c r="G174" s="60">
        <f t="shared" si="147"/>
        <v>226</v>
      </c>
      <c r="H174" s="60">
        <f t="shared" si="147"/>
        <v>226</v>
      </c>
      <c r="I174" s="60">
        <f t="shared" si="147"/>
        <v>226</v>
      </c>
      <c r="J174" s="73" t="s">
        <v>104</v>
      </c>
      <c r="K174" s="73" t="s">
        <v>104</v>
      </c>
      <c r="L174" s="74" t="s">
        <v>104</v>
      </c>
      <c r="M174" s="74" t="s">
        <v>104</v>
      </c>
      <c r="N174" s="74">
        <f t="shared" ref="N174:V174" si="148">SUM(N168:N173)</f>
        <v>12321116.210000001</v>
      </c>
      <c r="O174" s="74">
        <f t="shared" si="148"/>
        <v>8789364.4900000002</v>
      </c>
      <c r="P174" s="74"/>
      <c r="Q174" s="74">
        <f t="shared" si="148"/>
        <v>904449.73999999987</v>
      </c>
      <c r="R174" s="74"/>
      <c r="S174" s="74"/>
      <c r="T174" s="74">
        <f t="shared" si="148"/>
        <v>2627301.98</v>
      </c>
      <c r="U174" s="74">
        <f t="shared" si="148"/>
        <v>12321116.210000001</v>
      </c>
      <c r="V174" s="74">
        <f t="shared" si="148"/>
        <v>12321116.210000001</v>
      </c>
    </row>
    <row r="175" spans="1:22" ht="90" x14ac:dyDescent="0.25">
      <c r="A175" s="235"/>
      <c r="B175" s="236" t="s">
        <v>108</v>
      </c>
      <c r="C175" s="61" t="s">
        <v>100</v>
      </c>
      <c r="D175" s="62" t="s">
        <v>101</v>
      </c>
      <c r="E175" s="60">
        <v>68</v>
      </c>
      <c r="F175" s="60">
        <v>68</v>
      </c>
      <c r="G175" s="59">
        <f t="shared" si="134"/>
        <v>68</v>
      </c>
      <c r="H175" s="60">
        <v>68</v>
      </c>
      <c r="I175" s="60">
        <v>68</v>
      </c>
      <c r="J175" s="107">
        <f>SUM(K175:M175)</f>
        <v>58731.119999999995</v>
      </c>
      <c r="K175" s="147">
        <f>41105.12+1998.78</f>
        <v>43103.9</v>
      </c>
      <c r="L175" s="70">
        <v>4001.99</v>
      </c>
      <c r="M175" s="163">
        <v>11625.23</v>
      </c>
      <c r="N175" s="73">
        <f>SUM(O175:T175)</f>
        <v>3993716.16</v>
      </c>
      <c r="O175" s="149">
        <f>G175*K175</f>
        <v>2931065.2</v>
      </c>
      <c r="P175" s="149"/>
      <c r="Q175" s="73">
        <f>G175*L175</f>
        <v>272135.32</v>
      </c>
      <c r="R175" s="73"/>
      <c r="S175" s="73"/>
      <c r="T175" s="156">
        <f>G175*M175</f>
        <v>790515.64</v>
      </c>
      <c r="U175" s="75">
        <f t="shared" si="97"/>
        <v>3993716.1599999997</v>
      </c>
      <c r="V175" s="75">
        <f t="shared" si="98"/>
        <v>3993716.1599999997</v>
      </c>
    </row>
    <row r="176" spans="1:22" ht="135" x14ac:dyDescent="0.25">
      <c r="A176" s="235"/>
      <c r="B176" s="236"/>
      <c r="C176" s="63" t="s">
        <v>163</v>
      </c>
      <c r="D176" s="64" t="s">
        <v>101</v>
      </c>
      <c r="E176" s="59" t="s">
        <v>104</v>
      </c>
      <c r="F176" s="59" t="s">
        <v>104</v>
      </c>
      <c r="G176" s="59" t="s">
        <v>104</v>
      </c>
      <c r="H176" s="59" t="s">
        <v>104</v>
      </c>
      <c r="I176" s="59" t="s">
        <v>104</v>
      </c>
      <c r="J176" s="59" t="s">
        <v>104</v>
      </c>
      <c r="K176" s="59" t="s">
        <v>104</v>
      </c>
      <c r="L176" s="59" t="s">
        <v>104</v>
      </c>
      <c r="M176" s="59" t="s">
        <v>104</v>
      </c>
      <c r="N176" s="71"/>
      <c r="O176" s="71"/>
      <c r="P176" s="71"/>
      <c r="Q176" s="59" t="s">
        <v>104</v>
      </c>
      <c r="R176" s="59"/>
      <c r="S176" s="59"/>
      <c r="T176" s="59" t="s">
        <v>104</v>
      </c>
      <c r="U176" s="75"/>
      <c r="V176" s="75"/>
    </row>
    <row r="177" spans="1:22" x14ac:dyDescent="0.25">
      <c r="A177" s="235"/>
      <c r="B177" s="236"/>
      <c r="C177" s="63" t="s">
        <v>165</v>
      </c>
      <c r="D177" s="64" t="s">
        <v>101</v>
      </c>
      <c r="E177" s="60"/>
      <c r="F177" s="60"/>
      <c r="G177" s="59">
        <f t="shared" si="134"/>
        <v>0</v>
      </c>
      <c r="H177" s="60"/>
      <c r="I177" s="60"/>
      <c r="J177" s="75">
        <f>K177</f>
        <v>92468.25</v>
      </c>
      <c r="K177" s="75">
        <v>92468.25</v>
      </c>
      <c r="L177" s="59" t="s">
        <v>104</v>
      </c>
      <c r="M177" s="59" t="s">
        <v>104</v>
      </c>
      <c r="N177" s="71">
        <f>O177</f>
        <v>0</v>
      </c>
      <c r="O177" s="146">
        <f>G177*K177</f>
        <v>0</v>
      </c>
      <c r="P177" s="146"/>
      <c r="Q177" s="59" t="s">
        <v>104</v>
      </c>
      <c r="R177" s="59"/>
      <c r="S177" s="59"/>
      <c r="T177" s="59" t="s">
        <v>104</v>
      </c>
      <c r="U177" s="75">
        <f>H177*K177</f>
        <v>0</v>
      </c>
      <c r="V177" s="75">
        <f>I177*K177</f>
        <v>0</v>
      </c>
    </row>
    <row r="178" spans="1:22" x14ac:dyDescent="0.25">
      <c r="A178" s="235"/>
      <c r="B178" s="236"/>
      <c r="C178" s="63" t="s">
        <v>168</v>
      </c>
      <c r="D178" s="64" t="s">
        <v>101</v>
      </c>
      <c r="E178" s="60"/>
      <c r="F178" s="60"/>
      <c r="G178" s="59">
        <f t="shared" si="134"/>
        <v>0</v>
      </c>
      <c r="H178" s="60"/>
      <c r="I178" s="60"/>
      <c r="J178" s="75">
        <f>K178</f>
        <v>23553.439999999999</v>
      </c>
      <c r="K178" s="75">
        <v>23553.439999999999</v>
      </c>
      <c r="L178" s="59" t="s">
        <v>104</v>
      </c>
      <c r="M178" s="59" t="s">
        <v>104</v>
      </c>
      <c r="N178" s="71">
        <f>O178</f>
        <v>0</v>
      </c>
      <c r="O178" s="146">
        <f>G178*K178</f>
        <v>0</v>
      </c>
      <c r="P178" s="146"/>
      <c r="Q178" s="59" t="s">
        <v>104</v>
      </c>
      <c r="R178" s="59"/>
      <c r="S178" s="59"/>
      <c r="T178" s="59" t="s">
        <v>104</v>
      </c>
      <c r="U178" s="75">
        <f>H178*K178</f>
        <v>0</v>
      </c>
      <c r="V178" s="75">
        <f>I178*K178</f>
        <v>0</v>
      </c>
    </row>
    <row r="179" spans="1:22" ht="120" x14ac:dyDescent="0.25">
      <c r="A179" s="235"/>
      <c r="B179" s="236"/>
      <c r="C179" s="61" t="s">
        <v>105</v>
      </c>
      <c r="D179" s="64" t="s">
        <v>101</v>
      </c>
      <c r="E179" s="60"/>
      <c r="F179" s="60"/>
      <c r="G179" s="59">
        <f t="shared" si="134"/>
        <v>0</v>
      </c>
      <c r="H179" s="60"/>
      <c r="I179" s="60"/>
      <c r="J179" s="75">
        <f>SUM(K179:M179)</f>
        <v>199028.35</v>
      </c>
      <c r="K179" s="148">
        <f>181402.35+1998.78</f>
        <v>183401.13</v>
      </c>
      <c r="L179" s="72">
        <v>4001.99</v>
      </c>
      <c r="M179" s="163">
        <v>11625.23</v>
      </c>
      <c r="N179" s="73"/>
      <c r="O179" s="146">
        <f>G179*K179</f>
        <v>0</v>
      </c>
      <c r="P179" s="146"/>
      <c r="Q179" s="73"/>
      <c r="R179" s="73"/>
      <c r="S179" s="73"/>
      <c r="T179" s="73"/>
      <c r="U179" s="75">
        <f t="shared" si="97"/>
        <v>0</v>
      </c>
      <c r="V179" s="75">
        <f t="shared" si="98"/>
        <v>0</v>
      </c>
    </row>
    <row r="180" spans="1:22" x14ac:dyDescent="0.25">
      <c r="A180" s="235"/>
      <c r="B180" s="110"/>
      <c r="C180" s="66" t="s">
        <v>106</v>
      </c>
      <c r="D180" s="64"/>
      <c r="E180" s="60">
        <f>E175+E179</f>
        <v>68</v>
      </c>
      <c r="F180" s="60">
        <f t="shared" ref="F180:I180" si="149">F175+F179</f>
        <v>68</v>
      </c>
      <c r="G180" s="60">
        <f t="shared" si="149"/>
        <v>68</v>
      </c>
      <c r="H180" s="60">
        <f t="shared" si="149"/>
        <v>68</v>
      </c>
      <c r="I180" s="60">
        <f t="shared" si="149"/>
        <v>68</v>
      </c>
      <c r="J180" s="73" t="s">
        <v>104</v>
      </c>
      <c r="K180" s="73" t="s">
        <v>104</v>
      </c>
      <c r="L180" s="74" t="s">
        <v>104</v>
      </c>
      <c r="M180" s="74" t="s">
        <v>104</v>
      </c>
      <c r="N180" s="74">
        <f t="shared" ref="N180:V180" si="150">SUM(N175:N179)</f>
        <v>3993716.16</v>
      </c>
      <c r="O180" s="74">
        <f t="shared" si="150"/>
        <v>2931065.2</v>
      </c>
      <c r="P180" s="74"/>
      <c r="Q180" s="74">
        <f t="shared" si="150"/>
        <v>272135.32</v>
      </c>
      <c r="R180" s="74"/>
      <c r="S180" s="74"/>
      <c r="T180" s="74">
        <f t="shared" si="150"/>
        <v>790515.64</v>
      </c>
      <c r="U180" s="74">
        <f t="shared" si="150"/>
        <v>3993716.1599999997</v>
      </c>
      <c r="V180" s="74">
        <f t="shared" si="150"/>
        <v>3993716.1599999997</v>
      </c>
    </row>
    <row r="181" spans="1:22" ht="105" x14ac:dyDescent="0.25">
      <c r="A181" s="235"/>
      <c r="B181" s="165" t="s">
        <v>109</v>
      </c>
      <c r="C181" s="166" t="s">
        <v>187</v>
      </c>
      <c r="D181" s="167" t="s">
        <v>101</v>
      </c>
      <c r="E181" s="168">
        <v>426</v>
      </c>
      <c r="F181" s="168">
        <v>426</v>
      </c>
      <c r="G181" s="169">
        <f t="shared" si="134"/>
        <v>426</v>
      </c>
      <c r="H181" s="168">
        <v>426</v>
      </c>
      <c r="I181" s="168">
        <v>426</v>
      </c>
      <c r="J181" s="75">
        <f>K181</f>
        <v>3978.76</v>
      </c>
      <c r="K181" s="75">
        <v>3978.76</v>
      </c>
      <c r="L181" s="72" t="s">
        <v>104</v>
      </c>
      <c r="M181" s="72" t="s">
        <v>104</v>
      </c>
      <c r="N181" s="73">
        <f>SUM(O181:T181)</f>
        <v>1694951.76</v>
      </c>
      <c r="O181" s="149">
        <f>K181*G181</f>
        <v>1694951.76</v>
      </c>
      <c r="P181" s="149"/>
      <c r="Q181" s="73" t="s">
        <v>104</v>
      </c>
      <c r="R181" s="73"/>
      <c r="S181" s="73"/>
      <c r="T181" s="73" t="s">
        <v>104</v>
      </c>
      <c r="U181" s="75">
        <f t="shared" si="97"/>
        <v>1694951.76</v>
      </c>
      <c r="V181" s="75">
        <f t="shared" si="98"/>
        <v>1694951.76</v>
      </c>
    </row>
    <row r="182" spans="1:22" x14ac:dyDescent="0.25">
      <c r="A182" s="235"/>
      <c r="B182" s="69"/>
      <c r="C182" s="66" t="s">
        <v>106</v>
      </c>
      <c r="D182" s="69"/>
      <c r="E182" s="60">
        <f>SUM(E181:E181)</f>
        <v>426</v>
      </c>
      <c r="F182" s="60">
        <f>SUM(F181:F181)</f>
        <v>426</v>
      </c>
      <c r="G182" s="60">
        <f>SUM(G181:G181)</f>
        <v>426</v>
      </c>
      <c r="H182" s="60">
        <f>SUM(H181:H181)</f>
        <v>426</v>
      </c>
      <c r="I182" s="60">
        <f>SUM(I181:I181)</f>
        <v>426</v>
      </c>
      <c r="J182" s="73" t="s">
        <v>104</v>
      </c>
      <c r="K182" s="73" t="s">
        <v>104</v>
      </c>
      <c r="L182" s="74" t="s">
        <v>104</v>
      </c>
      <c r="M182" s="74">
        <f t="shared" ref="M182:V182" si="151">SUM(M181:M181)</f>
        <v>0</v>
      </c>
      <c r="N182" s="74">
        <f t="shared" si="151"/>
        <v>1694951.76</v>
      </c>
      <c r="O182" s="74">
        <f t="shared" si="151"/>
        <v>1694951.76</v>
      </c>
      <c r="P182" s="74"/>
      <c r="Q182" s="74">
        <f t="shared" si="151"/>
        <v>0</v>
      </c>
      <c r="R182" s="74"/>
      <c r="S182" s="74"/>
      <c r="T182" s="74">
        <f t="shared" si="151"/>
        <v>0</v>
      </c>
      <c r="U182" s="75">
        <f t="shared" si="151"/>
        <v>1694951.76</v>
      </c>
      <c r="V182" s="75">
        <f t="shared" si="151"/>
        <v>1694951.76</v>
      </c>
    </row>
    <row r="183" spans="1:22" x14ac:dyDescent="0.25">
      <c r="A183" s="235"/>
      <c r="B183" s="101" t="s">
        <v>112</v>
      </c>
      <c r="C183" s="101"/>
      <c r="D183" s="69"/>
      <c r="E183" s="102"/>
      <c r="F183" s="102"/>
      <c r="G183" s="102"/>
      <c r="H183" s="102"/>
      <c r="I183" s="102"/>
      <c r="J183" s="104"/>
      <c r="K183" s="104"/>
      <c r="L183" s="103"/>
      <c r="M183" s="103"/>
      <c r="N183" s="103">
        <f>SUM(O183:T183)</f>
        <v>27555106.450000003</v>
      </c>
      <c r="O183" s="103">
        <f>O167+O174+O180+O182</f>
        <v>19647733.130000003</v>
      </c>
      <c r="P183" s="103"/>
      <c r="Q183" s="103">
        <f>Q167+Q174+Q180+Q182</f>
        <v>2025006.9399999997</v>
      </c>
      <c r="R183" s="103"/>
      <c r="S183" s="103"/>
      <c r="T183" s="103">
        <f>T167+T174+T180+T182</f>
        <v>5882366.3799999999</v>
      </c>
      <c r="U183" s="103">
        <f>U167+U174+U180+U182</f>
        <v>27555106.450000003</v>
      </c>
      <c r="V183" s="103">
        <f>V167+V174+V180+V182</f>
        <v>27555106.450000003</v>
      </c>
    </row>
    <row r="184" spans="1:22" ht="90" x14ac:dyDescent="0.25">
      <c r="A184" s="235" t="s">
        <v>115</v>
      </c>
      <c r="B184" s="236" t="s">
        <v>99</v>
      </c>
      <c r="C184" s="61" t="s">
        <v>100</v>
      </c>
      <c r="D184" s="62" t="s">
        <v>101</v>
      </c>
      <c r="E184" s="59">
        <v>207</v>
      </c>
      <c r="F184" s="59">
        <v>207</v>
      </c>
      <c r="G184" s="59">
        <f t="shared" ref="G184:G206" si="152">((E184*8)+(F184*4))/12</f>
        <v>207</v>
      </c>
      <c r="H184" s="59">
        <v>207</v>
      </c>
      <c r="I184" s="59">
        <v>207</v>
      </c>
      <c r="J184" s="107">
        <f>SUM(K184:M184)</f>
        <v>40097.97</v>
      </c>
      <c r="K184" s="147">
        <f>23119.12+1351.63</f>
        <v>24470.75</v>
      </c>
      <c r="L184" s="70">
        <v>4001.99</v>
      </c>
      <c r="M184" s="163">
        <v>11625.23</v>
      </c>
      <c r="N184" s="71">
        <f>SUM(O184:T184)</f>
        <v>8300279.7899999991</v>
      </c>
      <c r="O184" s="146">
        <f>G184*K184</f>
        <v>5065445.25</v>
      </c>
      <c r="P184" s="146"/>
      <c r="Q184" s="71">
        <f>G184*L184</f>
        <v>828411.92999999993</v>
      </c>
      <c r="R184" s="71"/>
      <c r="S184" s="71"/>
      <c r="T184" s="156">
        <f>G184*M184</f>
        <v>2406422.61</v>
      </c>
      <c r="U184" s="75">
        <f t="shared" si="97"/>
        <v>8300279.79</v>
      </c>
      <c r="V184" s="75">
        <f t="shared" si="98"/>
        <v>8300279.79</v>
      </c>
    </row>
    <row r="185" spans="1:22" ht="135" x14ac:dyDescent="0.25">
      <c r="A185" s="235"/>
      <c r="B185" s="236"/>
      <c r="C185" s="63" t="s">
        <v>163</v>
      </c>
      <c r="D185" s="64" t="s">
        <v>101</v>
      </c>
      <c r="E185" s="59" t="s">
        <v>104</v>
      </c>
      <c r="F185" s="59" t="s">
        <v>104</v>
      </c>
      <c r="G185" s="59" t="s">
        <v>104</v>
      </c>
      <c r="H185" s="59" t="s">
        <v>104</v>
      </c>
      <c r="I185" s="59" t="s">
        <v>104</v>
      </c>
      <c r="J185" s="59" t="s">
        <v>104</v>
      </c>
      <c r="K185" s="59" t="s">
        <v>104</v>
      </c>
      <c r="L185" s="59" t="s">
        <v>104</v>
      </c>
      <c r="M185" s="59" t="s">
        <v>104</v>
      </c>
      <c r="N185" s="71"/>
      <c r="O185" s="71"/>
      <c r="P185" s="71"/>
      <c r="Q185" s="59" t="s">
        <v>104</v>
      </c>
      <c r="R185" s="59"/>
      <c r="S185" s="59"/>
      <c r="T185" s="59" t="s">
        <v>104</v>
      </c>
      <c r="U185" s="75"/>
      <c r="V185" s="75"/>
    </row>
    <row r="186" spans="1:22" x14ac:dyDescent="0.25">
      <c r="A186" s="235"/>
      <c r="B186" s="236"/>
      <c r="C186" s="63" t="s">
        <v>164</v>
      </c>
      <c r="D186" s="64" t="s">
        <v>101</v>
      </c>
      <c r="E186" s="59">
        <v>1</v>
      </c>
      <c r="F186" s="59">
        <v>1</v>
      </c>
      <c r="G186" s="59">
        <f t="shared" si="152"/>
        <v>1</v>
      </c>
      <c r="H186" s="59">
        <v>1</v>
      </c>
      <c r="I186" s="59">
        <v>1</v>
      </c>
      <c r="J186" s="75">
        <f>K186</f>
        <v>25589.72</v>
      </c>
      <c r="K186" s="71">
        <v>25589.72</v>
      </c>
      <c r="L186" s="59" t="s">
        <v>104</v>
      </c>
      <c r="M186" s="59" t="s">
        <v>104</v>
      </c>
      <c r="N186" s="71">
        <f t="shared" ref="N186:N188" si="153">O186</f>
        <v>25589.72</v>
      </c>
      <c r="O186" s="146">
        <f>G186*K186</f>
        <v>25589.72</v>
      </c>
      <c r="P186" s="146"/>
      <c r="Q186" s="59" t="s">
        <v>104</v>
      </c>
      <c r="R186" s="59"/>
      <c r="S186" s="59"/>
      <c r="T186" s="59" t="s">
        <v>104</v>
      </c>
      <c r="U186" s="75">
        <f t="shared" ref="U186:U188" si="154">H186*K186</f>
        <v>25589.72</v>
      </c>
      <c r="V186" s="75">
        <f t="shared" ref="V186:V188" si="155">I186*K186</f>
        <v>25589.72</v>
      </c>
    </row>
    <row r="187" spans="1:22" x14ac:dyDescent="0.25">
      <c r="A187" s="235"/>
      <c r="B187" s="236"/>
      <c r="C187" s="63" t="s">
        <v>169</v>
      </c>
      <c r="D187" s="64" t="s">
        <v>101</v>
      </c>
      <c r="E187" s="59">
        <v>10</v>
      </c>
      <c r="F187" s="59">
        <v>10</v>
      </c>
      <c r="G187" s="59">
        <f t="shared" si="152"/>
        <v>10</v>
      </c>
      <c r="H187" s="59">
        <v>10</v>
      </c>
      <c r="I187" s="59">
        <v>10</v>
      </c>
      <c r="J187" s="75">
        <f>K187</f>
        <v>69362.66</v>
      </c>
      <c r="K187" s="71">
        <v>69362.66</v>
      </c>
      <c r="L187" s="59" t="s">
        <v>104</v>
      </c>
      <c r="M187" s="59" t="s">
        <v>104</v>
      </c>
      <c r="N187" s="71">
        <f t="shared" si="153"/>
        <v>693626.60000000009</v>
      </c>
      <c r="O187" s="146">
        <f t="shared" ref="O187:O192" si="156">G187*K187</f>
        <v>693626.60000000009</v>
      </c>
      <c r="P187" s="146"/>
      <c r="Q187" s="59" t="s">
        <v>104</v>
      </c>
      <c r="R187" s="59"/>
      <c r="S187" s="59"/>
      <c r="T187" s="59" t="s">
        <v>104</v>
      </c>
      <c r="U187" s="75">
        <f t="shared" si="154"/>
        <v>693626.60000000009</v>
      </c>
      <c r="V187" s="75">
        <f t="shared" si="155"/>
        <v>693626.60000000009</v>
      </c>
    </row>
    <row r="188" spans="1:22" x14ac:dyDescent="0.25">
      <c r="A188" s="235"/>
      <c r="B188" s="236"/>
      <c r="C188" s="63" t="s">
        <v>165</v>
      </c>
      <c r="D188" s="64" t="s">
        <v>101</v>
      </c>
      <c r="E188" s="59">
        <v>1</v>
      </c>
      <c r="F188" s="59">
        <v>1</v>
      </c>
      <c r="G188" s="59">
        <f t="shared" si="152"/>
        <v>1</v>
      </c>
      <c r="H188" s="59">
        <v>1</v>
      </c>
      <c r="I188" s="59">
        <v>1</v>
      </c>
      <c r="J188" s="75">
        <f>K188</f>
        <v>92468.25</v>
      </c>
      <c r="K188" s="71">
        <v>92468.25</v>
      </c>
      <c r="L188" s="59" t="s">
        <v>104</v>
      </c>
      <c r="M188" s="59" t="s">
        <v>104</v>
      </c>
      <c r="N188" s="71">
        <f t="shared" si="153"/>
        <v>92468.25</v>
      </c>
      <c r="O188" s="146">
        <f t="shared" si="156"/>
        <v>92468.25</v>
      </c>
      <c r="P188" s="146"/>
      <c r="Q188" s="59" t="s">
        <v>104</v>
      </c>
      <c r="R188" s="59"/>
      <c r="S188" s="59"/>
      <c r="T188" s="59" t="s">
        <v>104</v>
      </c>
      <c r="U188" s="75">
        <f t="shared" si="154"/>
        <v>92468.25</v>
      </c>
      <c r="V188" s="75">
        <f t="shared" si="155"/>
        <v>92468.25</v>
      </c>
    </row>
    <row r="189" spans="1:22" x14ac:dyDescent="0.25">
      <c r="A189" s="235"/>
      <c r="B189" s="236"/>
      <c r="C189" s="63" t="s">
        <v>166</v>
      </c>
      <c r="D189" s="64" t="s">
        <v>101</v>
      </c>
      <c r="E189" s="59">
        <v>14</v>
      </c>
      <c r="F189" s="59">
        <v>14</v>
      </c>
      <c r="G189" s="59">
        <f t="shared" si="152"/>
        <v>14</v>
      </c>
      <c r="H189" s="59">
        <v>14</v>
      </c>
      <c r="I189" s="59">
        <v>14</v>
      </c>
      <c r="J189" s="75">
        <f>K189</f>
        <v>66361.320000000007</v>
      </c>
      <c r="K189" s="75">
        <v>66361.320000000007</v>
      </c>
      <c r="L189" s="59" t="s">
        <v>104</v>
      </c>
      <c r="M189" s="59" t="s">
        <v>104</v>
      </c>
      <c r="N189" s="71">
        <f>O189</f>
        <v>929058.4800000001</v>
      </c>
      <c r="O189" s="146">
        <f t="shared" si="156"/>
        <v>929058.4800000001</v>
      </c>
      <c r="P189" s="146"/>
      <c r="Q189" s="59" t="s">
        <v>104</v>
      </c>
      <c r="R189" s="59"/>
      <c r="S189" s="59"/>
      <c r="T189" s="59" t="s">
        <v>104</v>
      </c>
      <c r="U189" s="75">
        <f>H189*K189</f>
        <v>929058.4800000001</v>
      </c>
      <c r="V189" s="75">
        <f>I189*K189</f>
        <v>929058.4800000001</v>
      </c>
    </row>
    <row r="190" spans="1:22" x14ac:dyDescent="0.25">
      <c r="A190" s="235"/>
      <c r="B190" s="236"/>
      <c r="C190" s="63" t="s">
        <v>167</v>
      </c>
      <c r="D190" s="64" t="s">
        <v>101</v>
      </c>
      <c r="E190" s="59">
        <v>3</v>
      </c>
      <c r="F190" s="59">
        <v>3</v>
      </c>
      <c r="G190" s="59">
        <f t="shared" si="152"/>
        <v>3</v>
      </c>
      <c r="H190" s="59">
        <v>3</v>
      </c>
      <c r="I190" s="59">
        <v>3</v>
      </c>
      <c r="J190" s="75">
        <f>K190</f>
        <v>174890.83</v>
      </c>
      <c r="K190" s="75">
        <v>174890.83</v>
      </c>
      <c r="L190" s="59" t="s">
        <v>104</v>
      </c>
      <c r="M190" s="59" t="s">
        <v>104</v>
      </c>
      <c r="N190" s="71">
        <f>O190</f>
        <v>524672.49</v>
      </c>
      <c r="O190" s="146">
        <f t="shared" si="156"/>
        <v>524672.49</v>
      </c>
      <c r="P190" s="146"/>
      <c r="Q190" s="59" t="s">
        <v>104</v>
      </c>
      <c r="R190" s="59"/>
      <c r="S190" s="59"/>
      <c r="T190" s="59" t="s">
        <v>104</v>
      </c>
      <c r="U190" s="75">
        <f>H190*K190</f>
        <v>524672.49</v>
      </c>
      <c r="V190" s="75">
        <f>I190*K190</f>
        <v>524672.49</v>
      </c>
    </row>
    <row r="191" spans="1:22" x14ac:dyDescent="0.25">
      <c r="A191" s="235"/>
      <c r="B191" s="236"/>
      <c r="C191" s="63" t="s">
        <v>170</v>
      </c>
      <c r="D191" s="64" t="s">
        <v>101</v>
      </c>
      <c r="E191" s="59">
        <v>1</v>
      </c>
      <c r="F191" s="59">
        <v>1</v>
      </c>
      <c r="G191" s="59">
        <f t="shared" si="152"/>
        <v>1</v>
      </c>
      <c r="H191" s="59">
        <v>1</v>
      </c>
      <c r="I191" s="59">
        <v>1</v>
      </c>
      <c r="J191" s="75">
        <f t="shared" ref="J191:J192" si="157">K191</f>
        <v>99648.29</v>
      </c>
      <c r="K191" s="75">
        <v>99648.29</v>
      </c>
      <c r="L191" s="59" t="s">
        <v>104</v>
      </c>
      <c r="M191" s="59" t="s">
        <v>104</v>
      </c>
      <c r="N191" s="71">
        <f t="shared" ref="N191:N192" si="158">O191</f>
        <v>99648.29</v>
      </c>
      <c r="O191" s="146">
        <f t="shared" si="156"/>
        <v>99648.29</v>
      </c>
      <c r="P191" s="146"/>
      <c r="Q191" s="59" t="s">
        <v>104</v>
      </c>
      <c r="R191" s="59"/>
      <c r="S191" s="59"/>
      <c r="T191" s="59" t="s">
        <v>104</v>
      </c>
      <c r="U191" s="75">
        <f t="shared" ref="U191:U192" si="159">H191*K191</f>
        <v>99648.29</v>
      </c>
      <c r="V191" s="75">
        <f t="shared" ref="V191:V192" si="160">I191*K191</f>
        <v>99648.29</v>
      </c>
    </row>
    <row r="192" spans="1:22" x14ac:dyDescent="0.25">
      <c r="A192" s="235"/>
      <c r="B192" s="236"/>
      <c r="C192" s="63" t="s">
        <v>168</v>
      </c>
      <c r="D192" s="64" t="s">
        <v>101</v>
      </c>
      <c r="E192" s="59">
        <v>2</v>
      </c>
      <c r="F192" s="59">
        <v>2</v>
      </c>
      <c r="G192" s="59">
        <f t="shared" si="152"/>
        <v>2</v>
      </c>
      <c r="H192" s="59">
        <v>2</v>
      </c>
      <c r="I192" s="59">
        <v>2</v>
      </c>
      <c r="J192" s="75">
        <f t="shared" si="157"/>
        <v>23553.439999999999</v>
      </c>
      <c r="K192" s="75">
        <v>23553.439999999999</v>
      </c>
      <c r="L192" s="59" t="s">
        <v>104</v>
      </c>
      <c r="M192" s="59" t="s">
        <v>104</v>
      </c>
      <c r="N192" s="71">
        <f t="shared" si="158"/>
        <v>47106.879999999997</v>
      </c>
      <c r="O192" s="146">
        <f t="shared" si="156"/>
        <v>47106.879999999997</v>
      </c>
      <c r="P192" s="146"/>
      <c r="Q192" s="59" t="s">
        <v>104</v>
      </c>
      <c r="R192" s="59"/>
      <c r="S192" s="59"/>
      <c r="T192" s="59" t="s">
        <v>104</v>
      </c>
      <c r="U192" s="75">
        <f t="shared" si="159"/>
        <v>47106.879999999997</v>
      </c>
      <c r="V192" s="75">
        <f t="shared" si="160"/>
        <v>47106.879999999997</v>
      </c>
    </row>
    <row r="193" spans="1:22" ht="120" x14ac:dyDescent="0.25">
      <c r="A193" s="235"/>
      <c r="B193" s="236"/>
      <c r="C193" s="61" t="s">
        <v>105</v>
      </c>
      <c r="D193" s="64" t="s">
        <v>101</v>
      </c>
      <c r="E193" s="59">
        <v>2</v>
      </c>
      <c r="F193" s="59">
        <v>2</v>
      </c>
      <c r="G193" s="59">
        <f t="shared" si="152"/>
        <v>2</v>
      </c>
      <c r="H193" s="59">
        <v>2</v>
      </c>
      <c r="I193" s="59">
        <v>2</v>
      </c>
      <c r="J193" s="75">
        <f>SUM(K193:M193)</f>
        <v>138391.77000000002</v>
      </c>
      <c r="K193" s="148">
        <f>121412.92+1351.63</f>
        <v>122764.55</v>
      </c>
      <c r="L193" s="72">
        <v>4001.99</v>
      </c>
      <c r="M193" s="163">
        <v>11625.23</v>
      </c>
      <c r="N193" s="71">
        <f>SUM(O193:T193)</f>
        <v>276783.54000000004</v>
      </c>
      <c r="O193" s="146">
        <f>G193*K193</f>
        <v>245529.1</v>
      </c>
      <c r="P193" s="146"/>
      <c r="Q193" s="71">
        <f>G193*L193</f>
        <v>8003.98</v>
      </c>
      <c r="R193" s="71"/>
      <c r="S193" s="71"/>
      <c r="T193" s="156">
        <f>G193*M193</f>
        <v>23250.46</v>
      </c>
      <c r="U193" s="75">
        <f t="shared" si="97"/>
        <v>276783.54000000004</v>
      </c>
      <c r="V193" s="75">
        <f t="shared" si="98"/>
        <v>276783.54000000004</v>
      </c>
    </row>
    <row r="194" spans="1:22" x14ac:dyDescent="0.25">
      <c r="A194" s="235"/>
      <c r="B194" s="236"/>
      <c r="C194" s="66" t="s">
        <v>106</v>
      </c>
      <c r="D194" s="67"/>
      <c r="E194" s="59">
        <f>E184+E193</f>
        <v>209</v>
      </c>
      <c r="F194" s="59">
        <f t="shared" ref="F194:I194" si="161">F184+F193</f>
        <v>209</v>
      </c>
      <c r="G194" s="59">
        <f t="shared" si="161"/>
        <v>209</v>
      </c>
      <c r="H194" s="59">
        <f t="shared" si="161"/>
        <v>209</v>
      </c>
      <c r="I194" s="59">
        <f t="shared" si="161"/>
        <v>209</v>
      </c>
      <c r="J194" s="71" t="s">
        <v>104</v>
      </c>
      <c r="K194" s="71" t="s">
        <v>104</v>
      </c>
      <c r="L194" s="71" t="s">
        <v>104</v>
      </c>
      <c r="M194" s="71" t="s">
        <v>104</v>
      </c>
      <c r="N194" s="71">
        <f>SUM(N184:N193)</f>
        <v>10989234.039999999</v>
      </c>
      <c r="O194" s="71">
        <f>SUM(O184:O193)</f>
        <v>7723145.0600000005</v>
      </c>
      <c r="P194" s="71"/>
      <c r="Q194" s="71">
        <f>SUM(Q184:Q193)</f>
        <v>836415.90999999992</v>
      </c>
      <c r="R194" s="71"/>
      <c r="S194" s="71"/>
      <c r="T194" s="71">
        <f t="shared" ref="T194:V194" si="162">SUM(T184:T193)</f>
        <v>2429673.0699999998</v>
      </c>
      <c r="U194" s="71">
        <f t="shared" si="162"/>
        <v>10989234.039999999</v>
      </c>
      <c r="V194" s="71">
        <f t="shared" si="162"/>
        <v>10989234.039999999</v>
      </c>
    </row>
    <row r="195" spans="1:22" ht="90" x14ac:dyDescent="0.25">
      <c r="A195" s="235"/>
      <c r="B195" s="236" t="s">
        <v>107</v>
      </c>
      <c r="C195" s="61" t="s">
        <v>100</v>
      </c>
      <c r="D195" s="62" t="s">
        <v>101</v>
      </c>
      <c r="E195" s="59">
        <v>229</v>
      </c>
      <c r="F195" s="59">
        <v>229</v>
      </c>
      <c r="G195" s="59">
        <f t="shared" si="152"/>
        <v>229</v>
      </c>
      <c r="H195" s="59">
        <v>229</v>
      </c>
      <c r="I195" s="59">
        <v>229</v>
      </c>
      <c r="J195" s="107">
        <f>SUM(K195:M195)</f>
        <v>51622.92</v>
      </c>
      <c r="K195" s="147">
        <f>34346.05+1649.65</f>
        <v>35995.700000000004</v>
      </c>
      <c r="L195" s="70">
        <v>4001.99</v>
      </c>
      <c r="M195" s="163">
        <v>11625.23</v>
      </c>
      <c r="N195" s="71">
        <f>SUM(O195:T195)</f>
        <v>11821648.680000002</v>
      </c>
      <c r="O195" s="146">
        <f>G195*K195</f>
        <v>8243015.3000000007</v>
      </c>
      <c r="P195" s="146"/>
      <c r="Q195" s="71">
        <f>G195*L195</f>
        <v>916455.71</v>
      </c>
      <c r="R195" s="71"/>
      <c r="S195" s="71"/>
      <c r="T195" s="156">
        <f>G195*M195</f>
        <v>2662177.67</v>
      </c>
      <c r="U195" s="75">
        <f t="shared" si="97"/>
        <v>11821648.68</v>
      </c>
      <c r="V195" s="75">
        <f t="shared" si="98"/>
        <v>11821648.68</v>
      </c>
    </row>
    <row r="196" spans="1:22" ht="135" x14ac:dyDescent="0.25">
      <c r="A196" s="235"/>
      <c r="B196" s="236"/>
      <c r="C196" s="63" t="s">
        <v>163</v>
      </c>
      <c r="D196" s="64" t="s">
        <v>101</v>
      </c>
      <c r="E196" s="59" t="s">
        <v>104</v>
      </c>
      <c r="F196" s="59" t="s">
        <v>104</v>
      </c>
      <c r="G196" s="59" t="s">
        <v>104</v>
      </c>
      <c r="H196" s="59" t="s">
        <v>104</v>
      </c>
      <c r="I196" s="59" t="s">
        <v>104</v>
      </c>
      <c r="J196" s="59" t="s">
        <v>104</v>
      </c>
      <c r="K196" s="59" t="s">
        <v>104</v>
      </c>
      <c r="L196" s="59" t="s">
        <v>104</v>
      </c>
      <c r="M196" s="59" t="s">
        <v>104</v>
      </c>
      <c r="N196" s="71"/>
      <c r="O196" s="71"/>
      <c r="P196" s="71"/>
      <c r="Q196" s="59" t="s">
        <v>104</v>
      </c>
      <c r="R196" s="59"/>
      <c r="S196" s="59"/>
      <c r="T196" s="59" t="s">
        <v>104</v>
      </c>
      <c r="U196" s="75"/>
      <c r="V196" s="75"/>
    </row>
    <row r="197" spans="1:22" x14ac:dyDescent="0.25">
      <c r="A197" s="235"/>
      <c r="B197" s="236"/>
      <c r="C197" s="63" t="s">
        <v>164</v>
      </c>
      <c r="D197" s="64" t="s">
        <v>101</v>
      </c>
      <c r="E197" s="60">
        <v>2</v>
      </c>
      <c r="F197" s="60">
        <v>2</v>
      </c>
      <c r="G197" s="59">
        <f t="shared" si="152"/>
        <v>2</v>
      </c>
      <c r="H197" s="60">
        <v>2</v>
      </c>
      <c r="I197" s="60">
        <v>2</v>
      </c>
      <c r="J197" s="75">
        <f>K197</f>
        <v>25589.72</v>
      </c>
      <c r="K197" s="75">
        <v>25589.72</v>
      </c>
      <c r="L197" s="59" t="s">
        <v>104</v>
      </c>
      <c r="M197" s="59" t="s">
        <v>104</v>
      </c>
      <c r="N197" s="71">
        <f>O197</f>
        <v>51179.44</v>
      </c>
      <c r="O197" s="146">
        <f>G197*K197</f>
        <v>51179.44</v>
      </c>
      <c r="P197" s="146"/>
      <c r="Q197" s="59" t="s">
        <v>104</v>
      </c>
      <c r="R197" s="59"/>
      <c r="S197" s="59"/>
      <c r="T197" s="59" t="s">
        <v>104</v>
      </c>
      <c r="U197" s="75">
        <f>H197*K197</f>
        <v>51179.44</v>
      </c>
      <c r="V197" s="75">
        <f t="shared" ref="V197:V201" si="163">I197*K197</f>
        <v>51179.44</v>
      </c>
    </row>
    <row r="198" spans="1:22" x14ac:dyDescent="0.25">
      <c r="A198" s="235"/>
      <c r="B198" s="236"/>
      <c r="C198" s="63" t="s">
        <v>165</v>
      </c>
      <c r="D198" s="64" t="s">
        <v>101</v>
      </c>
      <c r="E198" s="60">
        <v>2</v>
      </c>
      <c r="F198" s="60">
        <v>2</v>
      </c>
      <c r="G198" s="59">
        <f t="shared" si="152"/>
        <v>2</v>
      </c>
      <c r="H198" s="60">
        <v>2</v>
      </c>
      <c r="I198" s="60">
        <v>2</v>
      </c>
      <c r="J198" s="75">
        <f t="shared" ref="J198:J201" si="164">K198</f>
        <v>92468.25</v>
      </c>
      <c r="K198" s="75">
        <v>92468.25</v>
      </c>
      <c r="L198" s="59" t="s">
        <v>104</v>
      </c>
      <c r="M198" s="59" t="s">
        <v>104</v>
      </c>
      <c r="N198" s="71">
        <f t="shared" ref="N198:N201" si="165">O198</f>
        <v>184936.5</v>
      </c>
      <c r="O198" s="146">
        <f t="shared" ref="O198:O201" si="166">G198*K198</f>
        <v>184936.5</v>
      </c>
      <c r="P198" s="146"/>
      <c r="Q198" s="59" t="s">
        <v>104</v>
      </c>
      <c r="R198" s="59"/>
      <c r="S198" s="59"/>
      <c r="T198" s="59" t="s">
        <v>104</v>
      </c>
      <c r="U198" s="75">
        <f t="shared" ref="U198:U201" si="167">H198*K198</f>
        <v>184936.5</v>
      </c>
      <c r="V198" s="75">
        <f t="shared" si="163"/>
        <v>184936.5</v>
      </c>
    </row>
    <row r="199" spans="1:22" x14ac:dyDescent="0.25">
      <c r="A199" s="235"/>
      <c r="B199" s="236"/>
      <c r="C199" s="63" t="s">
        <v>167</v>
      </c>
      <c r="D199" s="64" t="s">
        <v>101</v>
      </c>
      <c r="E199" s="60">
        <v>2</v>
      </c>
      <c r="F199" s="60">
        <v>2</v>
      </c>
      <c r="G199" s="59">
        <f t="shared" si="152"/>
        <v>2</v>
      </c>
      <c r="H199" s="60">
        <v>2</v>
      </c>
      <c r="I199" s="60">
        <v>2</v>
      </c>
      <c r="J199" s="75">
        <f t="shared" si="164"/>
        <v>266106.15000000002</v>
      </c>
      <c r="K199" s="75">
        <v>266106.15000000002</v>
      </c>
      <c r="L199" s="59"/>
      <c r="M199" s="59"/>
      <c r="N199" s="71">
        <f t="shared" si="165"/>
        <v>532212.30000000005</v>
      </c>
      <c r="O199" s="146">
        <f t="shared" si="166"/>
        <v>532212.30000000005</v>
      </c>
      <c r="P199" s="146"/>
      <c r="Q199" s="59" t="s">
        <v>104</v>
      </c>
      <c r="R199" s="59"/>
      <c r="S199" s="59"/>
      <c r="T199" s="59"/>
      <c r="U199" s="75">
        <f t="shared" si="167"/>
        <v>532212.30000000005</v>
      </c>
      <c r="V199" s="75">
        <f t="shared" si="163"/>
        <v>532212.30000000005</v>
      </c>
    </row>
    <row r="200" spans="1:22" x14ac:dyDescent="0.25">
      <c r="A200" s="235"/>
      <c r="B200" s="236"/>
      <c r="C200" s="63" t="s">
        <v>170</v>
      </c>
      <c r="D200" s="64" t="s">
        <v>101</v>
      </c>
      <c r="E200" s="60">
        <v>1</v>
      </c>
      <c r="F200" s="60">
        <v>1</v>
      </c>
      <c r="G200" s="59">
        <f t="shared" si="152"/>
        <v>1</v>
      </c>
      <c r="H200" s="60">
        <v>1</v>
      </c>
      <c r="I200" s="60">
        <v>1</v>
      </c>
      <c r="J200" s="75">
        <f t="shared" si="164"/>
        <v>32769.75</v>
      </c>
      <c r="K200" s="75">
        <v>32769.75</v>
      </c>
      <c r="L200" s="59"/>
      <c r="M200" s="59"/>
      <c r="N200" s="71">
        <f t="shared" si="165"/>
        <v>32769.75</v>
      </c>
      <c r="O200" s="146">
        <f t="shared" si="166"/>
        <v>32769.75</v>
      </c>
      <c r="P200" s="146"/>
      <c r="Q200" s="59" t="s">
        <v>104</v>
      </c>
      <c r="R200" s="59"/>
      <c r="S200" s="59"/>
      <c r="T200" s="59"/>
      <c r="U200" s="75">
        <f t="shared" si="167"/>
        <v>32769.75</v>
      </c>
      <c r="V200" s="75">
        <f t="shared" si="163"/>
        <v>32769.75</v>
      </c>
    </row>
    <row r="201" spans="1:22" x14ac:dyDescent="0.25">
      <c r="A201" s="235"/>
      <c r="B201" s="236"/>
      <c r="C201" s="63" t="s">
        <v>168</v>
      </c>
      <c r="D201" s="64" t="s">
        <v>101</v>
      </c>
      <c r="E201" s="60">
        <v>1</v>
      </c>
      <c r="F201" s="60">
        <v>1</v>
      </c>
      <c r="G201" s="59">
        <f t="shared" si="152"/>
        <v>1</v>
      </c>
      <c r="H201" s="60">
        <v>1</v>
      </c>
      <c r="I201" s="60">
        <v>1</v>
      </c>
      <c r="J201" s="75">
        <f t="shared" si="164"/>
        <v>23553.439999999999</v>
      </c>
      <c r="K201" s="75">
        <v>23553.439999999999</v>
      </c>
      <c r="L201" s="59" t="s">
        <v>104</v>
      </c>
      <c r="M201" s="59" t="s">
        <v>104</v>
      </c>
      <c r="N201" s="71">
        <f t="shared" si="165"/>
        <v>23553.439999999999</v>
      </c>
      <c r="O201" s="146">
        <f t="shared" si="166"/>
        <v>23553.439999999999</v>
      </c>
      <c r="P201" s="146"/>
      <c r="Q201" s="59" t="s">
        <v>104</v>
      </c>
      <c r="R201" s="59"/>
      <c r="S201" s="59"/>
      <c r="T201" s="59" t="s">
        <v>104</v>
      </c>
      <c r="U201" s="75">
        <f t="shared" si="167"/>
        <v>23553.439999999999</v>
      </c>
      <c r="V201" s="75">
        <f t="shared" si="163"/>
        <v>23553.439999999999</v>
      </c>
    </row>
    <row r="202" spans="1:22" ht="120" x14ac:dyDescent="0.25">
      <c r="A202" s="235"/>
      <c r="B202" s="236"/>
      <c r="C202" s="61" t="s">
        <v>105</v>
      </c>
      <c r="D202" s="64" t="s">
        <v>101</v>
      </c>
      <c r="E202" s="60"/>
      <c r="F202" s="60"/>
      <c r="G202" s="59">
        <f t="shared" si="152"/>
        <v>0</v>
      </c>
      <c r="H202" s="60"/>
      <c r="I202" s="60"/>
      <c r="J202" s="75">
        <f>SUM(K202:M202)</f>
        <v>168684.5</v>
      </c>
      <c r="K202" s="148">
        <f>151407.63+1649.65</f>
        <v>153057.28</v>
      </c>
      <c r="L202" s="72">
        <v>4001.99</v>
      </c>
      <c r="M202" s="163">
        <v>11625.23</v>
      </c>
      <c r="N202" s="73">
        <f>SUM(O202:T202)</f>
        <v>0</v>
      </c>
      <c r="O202" s="149">
        <f>G202*K202</f>
        <v>0</v>
      </c>
      <c r="P202" s="149"/>
      <c r="Q202" s="73">
        <f>G202*L202</f>
        <v>0</v>
      </c>
      <c r="R202" s="73"/>
      <c r="S202" s="73"/>
      <c r="T202" s="75">
        <f>G202*M202</f>
        <v>0</v>
      </c>
      <c r="U202" s="75">
        <f t="shared" si="97"/>
        <v>0</v>
      </c>
      <c r="V202" s="75">
        <f t="shared" si="98"/>
        <v>0</v>
      </c>
    </row>
    <row r="203" spans="1:22" x14ac:dyDescent="0.25">
      <c r="A203" s="235"/>
      <c r="B203" s="110"/>
      <c r="C203" s="66" t="s">
        <v>106</v>
      </c>
      <c r="D203" s="64"/>
      <c r="E203" s="60">
        <f>E195+E202</f>
        <v>229</v>
      </c>
      <c r="F203" s="60">
        <f t="shared" ref="F203:I203" si="168">F195+F202</f>
        <v>229</v>
      </c>
      <c r="G203" s="60">
        <f t="shared" si="168"/>
        <v>229</v>
      </c>
      <c r="H203" s="60">
        <f t="shared" si="168"/>
        <v>229</v>
      </c>
      <c r="I203" s="60">
        <f t="shared" si="168"/>
        <v>229</v>
      </c>
      <c r="J203" s="73" t="s">
        <v>104</v>
      </c>
      <c r="K203" s="73" t="s">
        <v>104</v>
      </c>
      <c r="L203" s="73" t="s">
        <v>104</v>
      </c>
      <c r="M203" s="73" t="s">
        <v>104</v>
      </c>
      <c r="N203" s="74">
        <f>SUM(N195:N202)</f>
        <v>12646300.110000001</v>
      </c>
      <c r="O203" s="74">
        <f>SUM(O195:O202)</f>
        <v>9067666.7300000023</v>
      </c>
      <c r="P203" s="74"/>
      <c r="Q203" s="74">
        <f>SUM(Q195:Q202)</f>
        <v>916455.71</v>
      </c>
      <c r="R203" s="74"/>
      <c r="S203" s="74"/>
      <c r="T203" s="74">
        <f t="shared" ref="T203:V203" si="169">SUM(T195:T202)</f>
        <v>2662177.67</v>
      </c>
      <c r="U203" s="74">
        <f t="shared" si="169"/>
        <v>12646300.109999999</v>
      </c>
      <c r="V203" s="74">
        <f t="shared" si="169"/>
        <v>12646300.109999999</v>
      </c>
    </row>
    <row r="204" spans="1:22" ht="90" x14ac:dyDescent="0.25">
      <c r="A204" s="235"/>
      <c r="B204" s="236" t="s">
        <v>108</v>
      </c>
      <c r="C204" s="61" t="s">
        <v>100</v>
      </c>
      <c r="D204" s="62" t="s">
        <v>101</v>
      </c>
      <c r="E204" s="60">
        <v>35</v>
      </c>
      <c r="F204" s="60">
        <v>35</v>
      </c>
      <c r="G204" s="59">
        <f t="shared" si="152"/>
        <v>35</v>
      </c>
      <c r="H204" s="60">
        <v>35</v>
      </c>
      <c r="I204" s="60">
        <v>35</v>
      </c>
      <c r="J204" s="107">
        <f>SUM(K204:M204)</f>
        <v>58731.119999999995</v>
      </c>
      <c r="K204" s="147">
        <f>41105.12+1998.78</f>
        <v>43103.9</v>
      </c>
      <c r="L204" s="70">
        <v>4001.99</v>
      </c>
      <c r="M204" s="163">
        <v>11625.23</v>
      </c>
      <c r="N204" s="73">
        <f>SUM(O204:T204)</f>
        <v>2055589.2</v>
      </c>
      <c r="O204" s="149">
        <f>G204*K204</f>
        <v>1508636.5</v>
      </c>
      <c r="P204" s="149"/>
      <c r="Q204" s="73">
        <f>G204*L204</f>
        <v>140069.65</v>
      </c>
      <c r="R204" s="73"/>
      <c r="S204" s="73"/>
      <c r="T204" s="156">
        <f>G204*M204</f>
        <v>406883.05</v>
      </c>
      <c r="U204" s="75">
        <f t="shared" si="97"/>
        <v>2055589.1999999997</v>
      </c>
      <c r="V204" s="75">
        <f t="shared" si="98"/>
        <v>2055589.1999999997</v>
      </c>
    </row>
    <row r="205" spans="1:22" ht="135" x14ac:dyDescent="0.25">
      <c r="A205" s="235"/>
      <c r="B205" s="236"/>
      <c r="C205" s="63" t="s">
        <v>163</v>
      </c>
      <c r="D205" s="64" t="s">
        <v>101</v>
      </c>
      <c r="E205" s="59" t="s">
        <v>104</v>
      </c>
      <c r="F205" s="59" t="s">
        <v>104</v>
      </c>
      <c r="G205" s="59" t="s">
        <v>104</v>
      </c>
      <c r="H205" s="59" t="s">
        <v>104</v>
      </c>
      <c r="I205" s="59" t="s">
        <v>104</v>
      </c>
      <c r="J205" s="59" t="s">
        <v>104</v>
      </c>
      <c r="K205" s="59" t="s">
        <v>104</v>
      </c>
      <c r="L205" s="59" t="s">
        <v>104</v>
      </c>
      <c r="M205" s="59" t="s">
        <v>104</v>
      </c>
      <c r="N205" s="71"/>
      <c r="O205" s="71"/>
      <c r="P205" s="71"/>
      <c r="Q205" s="59" t="s">
        <v>104</v>
      </c>
      <c r="R205" s="59"/>
      <c r="S205" s="59"/>
      <c r="T205" s="59" t="s">
        <v>104</v>
      </c>
      <c r="U205" s="75"/>
      <c r="V205" s="75"/>
    </row>
    <row r="206" spans="1:22" x14ac:dyDescent="0.25">
      <c r="A206" s="235"/>
      <c r="B206" s="236"/>
      <c r="C206" s="63" t="s">
        <v>165</v>
      </c>
      <c r="D206" s="64" t="s">
        <v>101</v>
      </c>
      <c r="E206" s="60">
        <v>0</v>
      </c>
      <c r="F206" s="60"/>
      <c r="G206" s="59">
        <f t="shared" si="152"/>
        <v>0</v>
      </c>
      <c r="H206" s="60">
        <v>0</v>
      </c>
      <c r="I206" s="60">
        <v>0</v>
      </c>
      <c r="J206" s="75">
        <f>K206</f>
        <v>92468.25</v>
      </c>
      <c r="K206" s="75">
        <v>92468.25</v>
      </c>
      <c r="L206" s="59" t="s">
        <v>104</v>
      </c>
      <c r="M206" s="59" t="s">
        <v>104</v>
      </c>
      <c r="N206" s="71">
        <f>O206</f>
        <v>0</v>
      </c>
      <c r="O206" s="146">
        <f>G206*K206</f>
        <v>0</v>
      </c>
      <c r="P206" s="146"/>
      <c r="Q206" s="59" t="s">
        <v>104</v>
      </c>
      <c r="R206" s="59"/>
      <c r="S206" s="59"/>
      <c r="T206" s="59" t="s">
        <v>104</v>
      </c>
      <c r="U206" s="75">
        <f>H206*K206</f>
        <v>0</v>
      </c>
      <c r="V206" s="75">
        <f>I206*K206</f>
        <v>0</v>
      </c>
    </row>
    <row r="207" spans="1:22" ht="120" x14ac:dyDescent="0.25">
      <c r="A207" s="235"/>
      <c r="B207" s="236"/>
      <c r="C207" s="61" t="s">
        <v>105</v>
      </c>
      <c r="D207" s="64" t="s">
        <v>101</v>
      </c>
      <c r="E207" s="60"/>
      <c r="F207" s="60">
        <v>0</v>
      </c>
      <c r="G207" s="157">
        <f t="shared" ref="G207:G209" si="170">((E207*8)+(F207*4))/12</f>
        <v>0</v>
      </c>
      <c r="H207" s="60">
        <v>0</v>
      </c>
      <c r="I207" s="60">
        <v>0</v>
      </c>
      <c r="J207" s="75">
        <f>SUM(K207:M207)</f>
        <v>199028.35</v>
      </c>
      <c r="K207" s="148">
        <f>181402.35+1998.78</f>
        <v>183401.13</v>
      </c>
      <c r="L207" s="72">
        <v>4001.99</v>
      </c>
      <c r="M207" s="163">
        <v>11625.23</v>
      </c>
      <c r="N207" s="73"/>
      <c r="O207" s="149">
        <f>K207*G207</f>
        <v>0</v>
      </c>
      <c r="P207" s="149"/>
      <c r="Q207" s="73">
        <f>L207*G207</f>
        <v>0</v>
      </c>
      <c r="R207" s="73"/>
      <c r="S207" s="73"/>
      <c r="T207" s="73"/>
      <c r="U207" s="75">
        <f t="shared" si="97"/>
        <v>0</v>
      </c>
      <c r="V207" s="75">
        <f t="shared" si="98"/>
        <v>0</v>
      </c>
    </row>
    <row r="208" spans="1:22" x14ac:dyDescent="0.25">
      <c r="A208" s="235"/>
      <c r="B208" s="110"/>
      <c r="C208" s="66" t="s">
        <v>106</v>
      </c>
      <c r="D208" s="64"/>
      <c r="E208" s="60">
        <f>E204+E207</f>
        <v>35</v>
      </c>
      <c r="F208" s="60">
        <f t="shared" ref="F208:I208" si="171">F204+F207</f>
        <v>35</v>
      </c>
      <c r="G208" s="60">
        <f t="shared" si="171"/>
        <v>35</v>
      </c>
      <c r="H208" s="60">
        <f t="shared" si="171"/>
        <v>35</v>
      </c>
      <c r="I208" s="60">
        <f t="shared" si="171"/>
        <v>35</v>
      </c>
      <c r="J208" s="73" t="s">
        <v>104</v>
      </c>
      <c r="K208" s="73" t="s">
        <v>104</v>
      </c>
      <c r="L208" s="73" t="s">
        <v>104</v>
      </c>
      <c r="M208" s="73" t="s">
        <v>104</v>
      </c>
      <c r="N208" s="74">
        <f>SUM(N204:N207)</f>
        <v>2055589.2</v>
      </c>
      <c r="O208" s="74">
        <f>SUM(O204:O207)</f>
        <v>1508636.5</v>
      </c>
      <c r="P208" s="74"/>
      <c r="Q208" s="74">
        <f>SUM(Q204:Q207)</f>
        <v>140069.65</v>
      </c>
      <c r="R208" s="74"/>
      <c r="S208" s="74"/>
      <c r="T208" s="74">
        <f t="shared" ref="T208:V208" si="172">SUM(T204:T207)</f>
        <v>406883.05</v>
      </c>
      <c r="U208" s="74">
        <f t="shared" si="172"/>
        <v>2055589.1999999997</v>
      </c>
      <c r="V208" s="74">
        <f t="shared" si="172"/>
        <v>2055589.1999999997</v>
      </c>
    </row>
    <row r="209" spans="1:22" ht="105" x14ac:dyDescent="0.25">
      <c r="A209" s="235"/>
      <c r="B209" s="137" t="s">
        <v>109</v>
      </c>
      <c r="C209" s="61" t="s">
        <v>187</v>
      </c>
      <c r="D209" s="64" t="s">
        <v>101</v>
      </c>
      <c r="E209" s="60">
        <v>416</v>
      </c>
      <c r="F209" s="60">
        <v>416</v>
      </c>
      <c r="G209" s="157">
        <f t="shared" si="170"/>
        <v>416</v>
      </c>
      <c r="H209" s="60">
        <v>416</v>
      </c>
      <c r="I209" s="60">
        <v>416</v>
      </c>
      <c r="J209" s="75">
        <f>K209</f>
        <v>3978.76</v>
      </c>
      <c r="K209" s="75">
        <v>3978.76</v>
      </c>
      <c r="L209" s="73" t="s">
        <v>104</v>
      </c>
      <c r="M209" s="73" t="s">
        <v>104</v>
      </c>
      <c r="N209" s="73">
        <f>SUM(O209:T209)</f>
        <v>1655164.1600000001</v>
      </c>
      <c r="O209" s="149">
        <f>G209*K209</f>
        <v>1655164.1600000001</v>
      </c>
      <c r="P209" s="149"/>
      <c r="Q209" s="73" t="s">
        <v>104</v>
      </c>
      <c r="R209" s="73"/>
      <c r="S209" s="73"/>
      <c r="T209" s="73" t="s">
        <v>104</v>
      </c>
      <c r="U209" s="75">
        <f t="shared" si="97"/>
        <v>1655164.1600000001</v>
      </c>
      <c r="V209" s="75">
        <f t="shared" si="98"/>
        <v>1655164.1600000001</v>
      </c>
    </row>
    <row r="210" spans="1:22" x14ac:dyDescent="0.25">
      <c r="A210" s="235"/>
      <c r="B210" s="69"/>
      <c r="C210" s="66" t="s">
        <v>106</v>
      </c>
      <c r="D210" s="69"/>
      <c r="E210" s="60">
        <f>SUM(E209:E209)</f>
        <v>416</v>
      </c>
      <c r="F210" s="60">
        <f>SUM(F209:F209)</f>
        <v>416</v>
      </c>
      <c r="G210" s="60">
        <f>SUM(G209:G209)</f>
        <v>416</v>
      </c>
      <c r="H210" s="60">
        <f>SUM(H209:H209)</f>
        <v>416</v>
      </c>
      <c r="I210" s="60">
        <f>SUM(I209:I209)</f>
        <v>416</v>
      </c>
      <c r="J210" s="73" t="s">
        <v>104</v>
      </c>
      <c r="K210" s="73" t="s">
        <v>104</v>
      </c>
      <c r="L210" s="73" t="s">
        <v>104</v>
      </c>
      <c r="M210" s="74">
        <f t="shared" ref="M210:V210" si="173">SUM(M209:M209)</f>
        <v>0</v>
      </c>
      <c r="N210" s="74">
        <f t="shared" si="173"/>
        <v>1655164.1600000001</v>
      </c>
      <c r="O210" s="74">
        <f t="shared" si="173"/>
        <v>1655164.1600000001</v>
      </c>
      <c r="P210" s="74"/>
      <c r="Q210" s="74">
        <f t="shared" si="173"/>
        <v>0</v>
      </c>
      <c r="R210" s="74"/>
      <c r="S210" s="74"/>
      <c r="T210" s="74">
        <f t="shared" si="173"/>
        <v>0</v>
      </c>
      <c r="U210" s="75">
        <f t="shared" si="173"/>
        <v>1655164.1600000001</v>
      </c>
      <c r="V210" s="75">
        <f t="shared" si="173"/>
        <v>1655164.1600000001</v>
      </c>
    </row>
    <row r="211" spans="1:22" x14ac:dyDescent="0.25">
      <c r="A211" s="235"/>
      <c r="B211" s="101" t="s">
        <v>112</v>
      </c>
      <c r="C211" s="101"/>
      <c r="D211" s="69"/>
      <c r="E211" s="102"/>
      <c r="F211" s="102"/>
      <c r="G211" s="102"/>
      <c r="H211" s="102"/>
      <c r="I211" s="102"/>
      <c r="J211" s="104"/>
      <c r="K211" s="104"/>
      <c r="L211" s="103"/>
      <c r="M211" s="103"/>
      <c r="N211" s="103">
        <f>SUM(O211:T211)</f>
        <v>27346287.510000002</v>
      </c>
      <c r="O211" s="136">
        <f>O194+O203+O208+O210</f>
        <v>19954612.450000003</v>
      </c>
      <c r="P211" s="136"/>
      <c r="Q211" s="103">
        <f>Q194+Q203+Q208+Q210</f>
        <v>1892941.2699999998</v>
      </c>
      <c r="R211" s="103"/>
      <c r="S211" s="103"/>
      <c r="T211" s="103">
        <f>T194+T203+T208+T210</f>
        <v>5498733.79</v>
      </c>
      <c r="U211" s="103">
        <f>U194+U203+U208+U210</f>
        <v>27346287.509999998</v>
      </c>
      <c r="V211" s="103">
        <f>V194+V203+V208+V210</f>
        <v>27346287.509999998</v>
      </c>
    </row>
    <row r="212" spans="1:22" ht="90" x14ac:dyDescent="0.25">
      <c r="A212" s="235" t="s">
        <v>116</v>
      </c>
      <c r="B212" s="237" t="s">
        <v>99</v>
      </c>
      <c r="C212" s="61" t="s">
        <v>100</v>
      </c>
      <c r="D212" s="62" t="s">
        <v>101</v>
      </c>
      <c r="E212" s="59">
        <v>326</v>
      </c>
      <c r="F212" s="59">
        <v>326</v>
      </c>
      <c r="G212" s="157">
        <f t="shared" ref="G212:G238" si="174">((E212*8)+(F212*4))/12</f>
        <v>326</v>
      </c>
      <c r="H212" s="59">
        <v>326</v>
      </c>
      <c r="I212" s="59">
        <v>326</v>
      </c>
      <c r="J212" s="107">
        <f>SUM(K212:M212)</f>
        <v>40097.97</v>
      </c>
      <c r="K212" s="147">
        <f>23119.12+1351.63</f>
        <v>24470.75</v>
      </c>
      <c r="L212" s="70">
        <v>4001.99</v>
      </c>
      <c r="M212" s="163">
        <v>11625.23</v>
      </c>
      <c r="N212" s="71">
        <f>SUM(O212:T212)</f>
        <v>13071938.220000001</v>
      </c>
      <c r="O212" s="146">
        <f>G212*K212</f>
        <v>7977464.5</v>
      </c>
      <c r="P212" s="146"/>
      <c r="Q212" s="71">
        <f>G212*L212</f>
        <v>1304648.74</v>
      </c>
      <c r="R212" s="71"/>
      <c r="S212" s="71"/>
      <c r="T212" s="156">
        <f>G212*M212</f>
        <v>3789824.98</v>
      </c>
      <c r="U212" s="75">
        <f t="shared" si="97"/>
        <v>13071938.220000001</v>
      </c>
      <c r="V212" s="75">
        <f t="shared" si="98"/>
        <v>13071938.220000001</v>
      </c>
    </row>
    <row r="213" spans="1:22" ht="135" x14ac:dyDescent="0.25">
      <c r="A213" s="235"/>
      <c r="B213" s="238"/>
      <c r="C213" s="63" t="s">
        <v>163</v>
      </c>
      <c r="D213" s="64" t="s">
        <v>101</v>
      </c>
      <c r="E213" s="59" t="s">
        <v>104</v>
      </c>
      <c r="F213" s="59" t="s">
        <v>104</v>
      </c>
      <c r="G213" s="59" t="s">
        <v>104</v>
      </c>
      <c r="H213" s="59" t="s">
        <v>104</v>
      </c>
      <c r="I213" s="59" t="s">
        <v>104</v>
      </c>
      <c r="J213" s="59" t="s">
        <v>104</v>
      </c>
      <c r="K213" s="59" t="s">
        <v>104</v>
      </c>
      <c r="L213" s="59" t="s">
        <v>104</v>
      </c>
      <c r="M213" s="59" t="s">
        <v>104</v>
      </c>
      <c r="N213" s="71"/>
      <c r="O213" s="71"/>
      <c r="P213" s="71"/>
      <c r="Q213" s="59" t="s">
        <v>104</v>
      </c>
      <c r="R213" s="59"/>
      <c r="S213" s="59"/>
      <c r="T213" s="59" t="s">
        <v>104</v>
      </c>
      <c r="U213" s="75"/>
      <c r="V213" s="75"/>
    </row>
    <row r="214" spans="1:22" x14ac:dyDescent="0.25">
      <c r="A214" s="235"/>
      <c r="B214" s="238"/>
      <c r="C214" s="63" t="s">
        <v>164</v>
      </c>
      <c r="D214" s="64" t="s">
        <v>101</v>
      </c>
      <c r="E214" s="59">
        <v>1</v>
      </c>
      <c r="F214" s="59">
        <v>1</v>
      </c>
      <c r="G214" s="59">
        <f t="shared" si="174"/>
        <v>1</v>
      </c>
      <c r="H214" s="59">
        <v>1</v>
      </c>
      <c r="I214" s="59">
        <v>1</v>
      </c>
      <c r="J214" s="75">
        <f t="shared" ref="J214:J219" si="175">K214</f>
        <v>25589.72</v>
      </c>
      <c r="K214" s="71">
        <v>25589.72</v>
      </c>
      <c r="L214" s="59"/>
      <c r="M214" s="59"/>
      <c r="N214" s="71">
        <f t="shared" ref="N214:N215" si="176">O214</f>
        <v>25589.72</v>
      </c>
      <c r="O214" s="146">
        <f>G214*K214</f>
        <v>25589.72</v>
      </c>
      <c r="P214" s="146"/>
      <c r="Q214" s="59" t="s">
        <v>104</v>
      </c>
      <c r="R214" s="59"/>
      <c r="S214" s="59"/>
      <c r="T214" s="59"/>
      <c r="U214" s="75">
        <f t="shared" ref="U214:U219" si="177">H214*K214</f>
        <v>25589.72</v>
      </c>
      <c r="V214" s="75">
        <f t="shared" ref="V214:V215" si="178">I214*K214</f>
        <v>25589.72</v>
      </c>
    </row>
    <row r="215" spans="1:22" x14ac:dyDescent="0.25">
      <c r="A215" s="235"/>
      <c r="B215" s="238"/>
      <c r="C215" s="63" t="s">
        <v>169</v>
      </c>
      <c r="D215" s="64" t="s">
        <v>101</v>
      </c>
      <c r="E215" s="59">
        <v>3</v>
      </c>
      <c r="F215" s="59">
        <v>3</v>
      </c>
      <c r="G215" s="59">
        <f t="shared" si="174"/>
        <v>3</v>
      </c>
      <c r="H215" s="59">
        <v>3</v>
      </c>
      <c r="I215" s="59">
        <v>3</v>
      </c>
      <c r="J215" s="75">
        <f t="shared" si="175"/>
        <v>69362.66</v>
      </c>
      <c r="K215" s="71">
        <v>69362.66</v>
      </c>
      <c r="L215" s="59" t="s">
        <v>104</v>
      </c>
      <c r="M215" s="59" t="s">
        <v>104</v>
      </c>
      <c r="N215" s="71">
        <f t="shared" si="176"/>
        <v>208087.98</v>
      </c>
      <c r="O215" s="146">
        <f t="shared" ref="O215:O219" si="179">G215*K215</f>
        <v>208087.98</v>
      </c>
      <c r="P215" s="146"/>
      <c r="Q215" s="59" t="s">
        <v>104</v>
      </c>
      <c r="R215" s="59"/>
      <c r="S215" s="59"/>
      <c r="T215" s="59" t="s">
        <v>104</v>
      </c>
      <c r="U215" s="75">
        <f t="shared" si="177"/>
        <v>208087.98</v>
      </c>
      <c r="V215" s="75">
        <f t="shared" si="178"/>
        <v>208087.98</v>
      </c>
    </row>
    <row r="216" spans="1:22" x14ac:dyDescent="0.25">
      <c r="A216" s="235"/>
      <c r="B216" s="238"/>
      <c r="C216" s="63" t="s">
        <v>166</v>
      </c>
      <c r="D216" s="64" t="s">
        <v>101</v>
      </c>
      <c r="E216" s="59">
        <v>1</v>
      </c>
      <c r="F216" s="59">
        <v>1</v>
      </c>
      <c r="G216" s="59">
        <f t="shared" si="174"/>
        <v>1</v>
      </c>
      <c r="H216" s="59">
        <v>1</v>
      </c>
      <c r="I216" s="59">
        <v>1</v>
      </c>
      <c r="J216" s="75">
        <f t="shared" si="175"/>
        <v>66361.320000000007</v>
      </c>
      <c r="K216" s="75">
        <v>66361.320000000007</v>
      </c>
      <c r="L216" s="59" t="s">
        <v>104</v>
      </c>
      <c r="M216" s="59" t="s">
        <v>104</v>
      </c>
      <c r="N216" s="71">
        <f>O216</f>
        <v>66361.320000000007</v>
      </c>
      <c r="O216" s="146">
        <f t="shared" si="179"/>
        <v>66361.320000000007</v>
      </c>
      <c r="P216" s="146"/>
      <c r="Q216" s="59" t="s">
        <v>104</v>
      </c>
      <c r="R216" s="59"/>
      <c r="S216" s="59"/>
      <c r="T216" s="59" t="s">
        <v>104</v>
      </c>
      <c r="U216" s="75">
        <f t="shared" si="177"/>
        <v>66361.320000000007</v>
      </c>
      <c r="V216" s="75">
        <f>I216*K216</f>
        <v>66361.320000000007</v>
      </c>
    </row>
    <row r="217" spans="1:22" x14ac:dyDescent="0.25">
      <c r="A217" s="235"/>
      <c r="B217" s="238"/>
      <c r="C217" s="63" t="s">
        <v>167</v>
      </c>
      <c r="D217" s="64" t="s">
        <v>101</v>
      </c>
      <c r="E217" s="59"/>
      <c r="F217" s="59"/>
      <c r="G217" s="59">
        <f t="shared" si="174"/>
        <v>0</v>
      </c>
      <c r="H217" s="59"/>
      <c r="I217" s="59"/>
      <c r="J217" s="75">
        <f t="shared" si="175"/>
        <v>174890.83</v>
      </c>
      <c r="K217" s="75">
        <v>174890.83</v>
      </c>
      <c r="L217" s="59" t="s">
        <v>104</v>
      </c>
      <c r="M217" s="59" t="s">
        <v>104</v>
      </c>
      <c r="N217" s="71">
        <f>O217</f>
        <v>0</v>
      </c>
      <c r="O217" s="146">
        <f t="shared" si="179"/>
        <v>0</v>
      </c>
      <c r="P217" s="146"/>
      <c r="Q217" s="59" t="s">
        <v>104</v>
      </c>
      <c r="R217" s="59"/>
      <c r="S217" s="59"/>
      <c r="T217" s="59" t="s">
        <v>104</v>
      </c>
      <c r="U217" s="75">
        <f t="shared" si="177"/>
        <v>0</v>
      </c>
      <c r="V217" s="75">
        <f>I217*K217</f>
        <v>0</v>
      </c>
    </row>
    <row r="218" spans="1:22" x14ac:dyDescent="0.25">
      <c r="A218" s="235"/>
      <c r="B218" s="238"/>
      <c r="C218" s="63" t="s">
        <v>170</v>
      </c>
      <c r="D218" s="64" t="s">
        <v>101</v>
      </c>
      <c r="E218" s="59">
        <v>1</v>
      </c>
      <c r="F218" s="59">
        <v>1</v>
      </c>
      <c r="G218" s="59">
        <f t="shared" si="174"/>
        <v>1</v>
      </c>
      <c r="H218" s="59">
        <v>1</v>
      </c>
      <c r="I218" s="59">
        <v>1</v>
      </c>
      <c r="J218" s="75">
        <f t="shared" si="175"/>
        <v>99648.29</v>
      </c>
      <c r="K218" s="75">
        <v>99648.29</v>
      </c>
      <c r="L218" s="59" t="s">
        <v>104</v>
      </c>
      <c r="M218" s="59" t="s">
        <v>104</v>
      </c>
      <c r="N218" s="71">
        <f>O218</f>
        <v>99648.29</v>
      </c>
      <c r="O218" s="146">
        <f t="shared" si="179"/>
        <v>99648.29</v>
      </c>
      <c r="P218" s="146"/>
      <c r="Q218" s="59" t="s">
        <v>104</v>
      </c>
      <c r="R218" s="59"/>
      <c r="S218" s="59"/>
      <c r="T218" s="59" t="s">
        <v>104</v>
      </c>
      <c r="U218" s="75">
        <f t="shared" si="177"/>
        <v>99648.29</v>
      </c>
      <c r="V218" s="75">
        <f>I218*K218</f>
        <v>99648.29</v>
      </c>
    </row>
    <row r="219" spans="1:22" x14ac:dyDescent="0.25">
      <c r="A219" s="235"/>
      <c r="B219" s="238"/>
      <c r="C219" s="63" t="s">
        <v>168</v>
      </c>
      <c r="D219" s="64" t="s">
        <v>101</v>
      </c>
      <c r="E219" s="59">
        <v>1</v>
      </c>
      <c r="F219" s="59">
        <v>1</v>
      </c>
      <c r="G219" s="59">
        <f t="shared" si="174"/>
        <v>1</v>
      </c>
      <c r="H219" s="59">
        <v>1</v>
      </c>
      <c r="I219" s="59">
        <v>1</v>
      </c>
      <c r="J219" s="75">
        <f t="shared" si="175"/>
        <v>23553.439999999999</v>
      </c>
      <c r="K219" s="75">
        <v>23553.439999999999</v>
      </c>
      <c r="L219" s="59" t="s">
        <v>104</v>
      </c>
      <c r="M219" s="59" t="s">
        <v>104</v>
      </c>
      <c r="N219" s="71">
        <f>O219</f>
        <v>23553.439999999999</v>
      </c>
      <c r="O219" s="146">
        <f t="shared" si="179"/>
        <v>23553.439999999999</v>
      </c>
      <c r="P219" s="146"/>
      <c r="Q219" s="59" t="s">
        <v>104</v>
      </c>
      <c r="R219" s="59"/>
      <c r="S219" s="59"/>
      <c r="T219" s="59" t="s">
        <v>104</v>
      </c>
      <c r="U219" s="75">
        <f t="shared" si="177"/>
        <v>23553.439999999999</v>
      </c>
      <c r="V219" s="75">
        <f>I219*K219</f>
        <v>23553.439999999999</v>
      </c>
    </row>
    <row r="220" spans="1:22" ht="120" x14ac:dyDescent="0.25">
      <c r="A220" s="235"/>
      <c r="B220" s="238"/>
      <c r="C220" s="61" t="s">
        <v>105</v>
      </c>
      <c r="D220" s="64" t="s">
        <v>101</v>
      </c>
      <c r="E220" s="59">
        <v>2</v>
      </c>
      <c r="F220" s="59">
        <v>2</v>
      </c>
      <c r="G220" s="157">
        <f t="shared" si="174"/>
        <v>2</v>
      </c>
      <c r="H220" s="59">
        <v>2</v>
      </c>
      <c r="I220" s="59">
        <v>2</v>
      </c>
      <c r="J220" s="75">
        <f>SUM(K220:M220)</f>
        <v>138391.77000000002</v>
      </c>
      <c r="K220" s="148">
        <f>121412.92+1351.63</f>
        <v>122764.55</v>
      </c>
      <c r="L220" s="72">
        <v>4001.99</v>
      </c>
      <c r="M220" s="163">
        <v>11625.23</v>
      </c>
      <c r="N220" s="71">
        <f>SUM(O220:T220)</f>
        <v>276783.54000000004</v>
      </c>
      <c r="O220" s="146">
        <f>G220*K220</f>
        <v>245529.1</v>
      </c>
      <c r="P220" s="146"/>
      <c r="Q220" s="71">
        <f>G220*L220</f>
        <v>8003.98</v>
      </c>
      <c r="R220" s="71"/>
      <c r="S220" s="71"/>
      <c r="T220" s="156">
        <f>G220*M220</f>
        <v>23250.46</v>
      </c>
      <c r="U220" s="75">
        <f t="shared" ref="U220:U238" si="180">H220*J220</f>
        <v>276783.54000000004</v>
      </c>
      <c r="V220" s="75">
        <f t="shared" ref="V220:V238" si="181">I220*J220</f>
        <v>276783.54000000004</v>
      </c>
    </row>
    <row r="221" spans="1:22" ht="105" x14ac:dyDescent="0.25">
      <c r="A221" s="235"/>
      <c r="B221" s="238"/>
      <c r="C221" s="61" t="s">
        <v>117</v>
      </c>
      <c r="D221" s="64" t="s">
        <v>101</v>
      </c>
      <c r="E221" s="59">
        <v>0</v>
      </c>
      <c r="F221" s="59">
        <v>0</v>
      </c>
      <c r="G221" s="157">
        <f t="shared" si="174"/>
        <v>0</v>
      </c>
      <c r="H221" s="59">
        <v>0</v>
      </c>
      <c r="I221" s="59">
        <v>0</v>
      </c>
      <c r="J221" s="75">
        <f>K221</f>
        <v>21480.1</v>
      </c>
      <c r="K221" s="75">
        <v>21480.1</v>
      </c>
      <c r="L221" s="72" t="s">
        <v>104</v>
      </c>
      <c r="M221" s="72" t="s">
        <v>104</v>
      </c>
      <c r="N221" s="71">
        <f>SUM(O221:T221)</f>
        <v>0</v>
      </c>
      <c r="O221" s="146">
        <f>G221*K221</f>
        <v>0</v>
      </c>
      <c r="P221" s="146"/>
      <c r="Q221" s="71"/>
      <c r="R221" s="71"/>
      <c r="S221" s="71"/>
      <c r="T221" s="71"/>
      <c r="U221" s="75">
        <f t="shared" si="180"/>
        <v>0</v>
      </c>
      <c r="V221" s="75">
        <f t="shared" si="181"/>
        <v>0</v>
      </c>
    </row>
    <row r="222" spans="1:22" x14ac:dyDescent="0.25">
      <c r="A222" s="235"/>
      <c r="B222" s="239"/>
      <c r="C222" s="66" t="s">
        <v>106</v>
      </c>
      <c r="D222" s="67"/>
      <c r="E222" s="59">
        <f>E212+E220</f>
        <v>328</v>
      </c>
      <c r="F222" s="59">
        <f>F212+F220</f>
        <v>328</v>
      </c>
      <c r="G222" s="59">
        <f>G212+G220</f>
        <v>328</v>
      </c>
      <c r="H222" s="59">
        <f>H212+H220</f>
        <v>328</v>
      </c>
      <c r="I222" s="59">
        <f>I212+I220</f>
        <v>328</v>
      </c>
      <c r="J222" s="71" t="s">
        <v>104</v>
      </c>
      <c r="K222" s="71" t="s">
        <v>104</v>
      </c>
      <c r="L222" s="71" t="s">
        <v>104</v>
      </c>
      <c r="M222" s="71" t="s">
        <v>104</v>
      </c>
      <c r="N222" s="71">
        <f>SUM(N212:N221)</f>
        <v>13771962.510000002</v>
      </c>
      <c r="O222" s="71">
        <f t="shared" ref="O222:V222" si="182">SUM(O212:O221)</f>
        <v>8646234.3499999996</v>
      </c>
      <c r="P222" s="71"/>
      <c r="Q222" s="71">
        <f t="shared" si="182"/>
        <v>1312652.72</v>
      </c>
      <c r="R222" s="71"/>
      <c r="S222" s="71"/>
      <c r="T222" s="71">
        <f t="shared" si="182"/>
        <v>3813075.44</v>
      </c>
      <c r="U222" s="71">
        <f t="shared" si="182"/>
        <v>13771962.510000002</v>
      </c>
      <c r="V222" s="71">
        <f t="shared" si="182"/>
        <v>13771962.510000002</v>
      </c>
    </row>
    <row r="223" spans="1:22" ht="90" x14ac:dyDescent="0.25">
      <c r="A223" s="235"/>
      <c r="B223" s="237" t="s">
        <v>107</v>
      </c>
      <c r="C223" s="61" t="s">
        <v>100</v>
      </c>
      <c r="D223" s="62" t="s">
        <v>101</v>
      </c>
      <c r="E223" s="59">
        <v>174</v>
      </c>
      <c r="F223" s="59">
        <v>174</v>
      </c>
      <c r="G223" s="59">
        <f t="shared" si="174"/>
        <v>174</v>
      </c>
      <c r="H223" s="59">
        <v>174</v>
      </c>
      <c r="I223" s="59">
        <v>174</v>
      </c>
      <c r="J223" s="107">
        <f>SUM(K223:M223)</f>
        <v>51622.92</v>
      </c>
      <c r="K223" s="147">
        <f>34346.05+1649.65</f>
        <v>35995.700000000004</v>
      </c>
      <c r="L223" s="70">
        <v>4001.99</v>
      </c>
      <c r="M223" s="163">
        <v>11625.23</v>
      </c>
      <c r="N223" s="71">
        <f>SUM(O223:T223)</f>
        <v>8982388.0800000001</v>
      </c>
      <c r="O223" s="146">
        <f>G223*K223</f>
        <v>6263251.8000000007</v>
      </c>
      <c r="P223" s="146"/>
      <c r="Q223" s="71">
        <f>G223*L223</f>
        <v>696346.26</v>
      </c>
      <c r="R223" s="71"/>
      <c r="S223" s="71"/>
      <c r="T223" s="156">
        <f>G223*M223</f>
        <v>2022790.02</v>
      </c>
      <c r="U223" s="75">
        <f t="shared" si="180"/>
        <v>8982388.0800000001</v>
      </c>
      <c r="V223" s="75">
        <f t="shared" si="181"/>
        <v>8982388.0800000001</v>
      </c>
    </row>
    <row r="224" spans="1:22" ht="120" x14ac:dyDescent="0.25">
      <c r="A224" s="235"/>
      <c r="B224" s="238"/>
      <c r="C224" s="61" t="s">
        <v>118</v>
      </c>
      <c r="D224" s="62" t="s">
        <v>101</v>
      </c>
      <c r="E224" s="59">
        <v>218</v>
      </c>
      <c r="F224" s="59">
        <v>218</v>
      </c>
      <c r="G224" s="59">
        <f t="shared" si="174"/>
        <v>218</v>
      </c>
      <c r="H224" s="59">
        <v>218</v>
      </c>
      <c r="I224" s="59">
        <v>218</v>
      </c>
      <c r="J224" s="107">
        <f>SUM(K224:M224)</f>
        <v>55059.729999999996</v>
      </c>
      <c r="K224" s="147">
        <f>37782.86+1649.65</f>
        <v>39432.51</v>
      </c>
      <c r="L224" s="70">
        <v>4001.99</v>
      </c>
      <c r="M224" s="163">
        <v>11625.23</v>
      </c>
      <c r="N224" s="71">
        <f>SUM(O224:T224)</f>
        <v>12003021.140000001</v>
      </c>
      <c r="O224" s="146">
        <f>G224*K224</f>
        <v>8596287.1799999997</v>
      </c>
      <c r="P224" s="146"/>
      <c r="Q224" s="71">
        <f>G224*L224</f>
        <v>872433.82</v>
      </c>
      <c r="R224" s="71"/>
      <c r="S224" s="71"/>
      <c r="T224" s="156">
        <f>G224*M224</f>
        <v>2534300.14</v>
      </c>
      <c r="U224" s="75">
        <f t="shared" si="180"/>
        <v>12003021.139999999</v>
      </c>
      <c r="V224" s="75">
        <f t="shared" si="181"/>
        <v>12003021.139999999</v>
      </c>
    </row>
    <row r="225" spans="1:22" ht="120" x14ac:dyDescent="0.25">
      <c r="A225" s="235"/>
      <c r="B225" s="238"/>
      <c r="C225" s="63" t="s">
        <v>102</v>
      </c>
      <c r="D225" s="64" t="s">
        <v>101</v>
      </c>
      <c r="E225" s="59" t="s">
        <v>104</v>
      </c>
      <c r="F225" s="59" t="s">
        <v>104</v>
      </c>
      <c r="G225" s="59" t="s">
        <v>104</v>
      </c>
      <c r="H225" s="59" t="s">
        <v>104</v>
      </c>
      <c r="I225" s="59" t="s">
        <v>104</v>
      </c>
      <c r="J225" s="59" t="s">
        <v>104</v>
      </c>
      <c r="K225" s="59" t="s">
        <v>104</v>
      </c>
      <c r="L225" s="59" t="s">
        <v>104</v>
      </c>
      <c r="M225" s="59" t="s">
        <v>104</v>
      </c>
      <c r="N225" s="71"/>
      <c r="O225" s="71"/>
      <c r="P225" s="71"/>
      <c r="Q225" s="59" t="s">
        <v>104</v>
      </c>
      <c r="R225" s="59"/>
      <c r="S225" s="59"/>
      <c r="T225" s="59" t="s">
        <v>104</v>
      </c>
      <c r="U225" s="75"/>
      <c r="V225" s="75"/>
    </row>
    <row r="226" spans="1:22" x14ac:dyDescent="0.25">
      <c r="A226" s="235"/>
      <c r="B226" s="238"/>
      <c r="C226" s="63" t="s">
        <v>171</v>
      </c>
      <c r="D226" s="64" t="s">
        <v>101</v>
      </c>
      <c r="E226" s="60">
        <v>1</v>
      </c>
      <c r="F226" s="60">
        <v>1</v>
      </c>
      <c r="G226" s="59">
        <f t="shared" si="174"/>
        <v>1</v>
      </c>
      <c r="H226" s="60">
        <v>1</v>
      </c>
      <c r="I226" s="60">
        <v>1</v>
      </c>
      <c r="J226" s="75">
        <f>K226</f>
        <v>69362.66</v>
      </c>
      <c r="K226" s="75">
        <v>69362.66</v>
      </c>
      <c r="L226" s="59" t="s">
        <v>104</v>
      </c>
      <c r="M226" s="59" t="s">
        <v>104</v>
      </c>
      <c r="N226" s="71">
        <f>O226</f>
        <v>69362.66</v>
      </c>
      <c r="O226" s="146">
        <f>G226*K226</f>
        <v>69362.66</v>
      </c>
      <c r="P226" s="146"/>
      <c r="Q226" s="59" t="s">
        <v>104</v>
      </c>
      <c r="R226" s="59"/>
      <c r="S226" s="59"/>
      <c r="T226" s="59" t="s">
        <v>104</v>
      </c>
      <c r="U226" s="75">
        <f>H226*K226</f>
        <v>69362.66</v>
      </c>
      <c r="V226" s="75">
        <f>I226*K226</f>
        <v>69362.66</v>
      </c>
    </row>
    <row r="227" spans="1:22" x14ac:dyDescent="0.25">
      <c r="A227" s="235"/>
      <c r="B227" s="238"/>
      <c r="C227" s="63" t="s">
        <v>164</v>
      </c>
      <c r="D227" s="64" t="s">
        <v>101</v>
      </c>
      <c r="E227" s="60">
        <v>1</v>
      </c>
      <c r="F227" s="60">
        <v>1</v>
      </c>
      <c r="G227" s="59">
        <f t="shared" si="174"/>
        <v>1</v>
      </c>
      <c r="H227" s="60">
        <v>1</v>
      </c>
      <c r="I227" s="60">
        <v>1</v>
      </c>
      <c r="J227" s="75">
        <f>K227</f>
        <v>25589.72</v>
      </c>
      <c r="K227" s="75">
        <v>25589.72</v>
      </c>
      <c r="L227" s="59" t="s">
        <v>104</v>
      </c>
      <c r="M227" s="59" t="s">
        <v>104</v>
      </c>
      <c r="N227" s="71">
        <f>O227</f>
        <v>25589.72</v>
      </c>
      <c r="O227" s="146">
        <f t="shared" ref="O227:O228" si="183">G227*K227</f>
        <v>25589.72</v>
      </c>
      <c r="P227" s="146"/>
      <c r="Q227" s="59" t="s">
        <v>104</v>
      </c>
      <c r="R227" s="59"/>
      <c r="S227" s="59"/>
      <c r="T227" s="59" t="s">
        <v>104</v>
      </c>
      <c r="U227" s="75">
        <f>H227*K227</f>
        <v>25589.72</v>
      </c>
      <c r="V227" s="75">
        <f>I227*K227</f>
        <v>25589.72</v>
      </c>
    </row>
    <row r="228" spans="1:22" x14ac:dyDescent="0.25">
      <c r="A228" s="235"/>
      <c r="B228" s="238"/>
      <c r="C228" s="63" t="s">
        <v>168</v>
      </c>
      <c r="D228" s="64" t="s">
        <v>101</v>
      </c>
      <c r="E228" s="60">
        <v>3</v>
      </c>
      <c r="F228" s="60">
        <v>3</v>
      </c>
      <c r="G228" s="59">
        <f t="shared" si="174"/>
        <v>3</v>
      </c>
      <c r="H228" s="60">
        <v>3</v>
      </c>
      <c r="I228" s="60">
        <v>3</v>
      </c>
      <c r="J228" s="75">
        <f>K228</f>
        <v>23553.439999999999</v>
      </c>
      <c r="K228" s="75">
        <v>23553.439999999999</v>
      </c>
      <c r="L228" s="59" t="s">
        <v>104</v>
      </c>
      <c r="M228" s="59" t="s">
        <v>104</v>
      </c>
      <c r="N228" s="71">
        <f>O228</f>
        <v>70660.319999999992</v>
      </c>
      <c r="O228" s="146">
        <f t="shared" si="183"/>
        <v>70660.319999999992</v>
      </c>
      <c r="P228" s="146"/>
      <c r="Q228" s="59" t="s">
        <v>104</v>
      </c>
      <c r="R228" s="59"/>
      <c r="S228" s="59"/>
      <c r="T228" s="59" t="s">
        <v>104</v>
      </c>
      <c r="U228" s="75">
        <f>H228*K228</f>
        <v>70660.319999999992</v>
      </c>
      <c r="V228" s="75">
        <f>I228*K228</f>
        <v>70660.319999999992</v>
      </c>
    </row>
    <row r="229" spans="1:22" ht="120" x14ac:dyDescent="0.25">
      <c r="A229" s="235"/>
      <c r="B229" s="238"/>
      <c r="C229" s="61" t="s">
        <v>105</v>
      </c>
      <c r="D229" s="64" t="s">
        <v>101</v>
      </c>
      <c r="E229" s="60">
        <v>1</v>
      </c>
      <c r="F229" s="60">
        <v>1</v>
      </c>
      <c r="G229" s="59">
        <f t="shared" si="174"/>
        <v>1</v>
      </c>
      <c r="H229" s="60">
        <v>1</v>
      </c>
      <c r="I229" s="60">
        <v>1</v>
      </c>
      <c r="J229" s="75">
        <f>SUM(K229:M229)</f>
        <v>168684.5</v>
      </c>
      <c r="K229" s="148">
        <f>151407.63+1649.65</f>
        <v>153057.28</v>
      </c>
      <c r="L229" s="72">
        <v>4001.99</v>
      </c>
      <c r="M229" s="163">
        <v>11625.23</v>
      </c>
      <c r="N229" s="73">
        <f>SUM(O229:T229)</f>
        <v>168684.5</v>
      </c>
      <c r="O229" s="149">
        <f>G229*K229</f>
        <v>153057.28</v>
      </c>
      <c r="P229" s="149"/>
      <c r="Q229" s="73">
        <f>G229*L229</f>
        <v>4001.99</v>
      </c>
      <c r="R229" s="73"/>
      <c r="S229" s="73"/>
      <c r="T229" s="171">
        <f>E229*M229</f>
        <v>11625.23</v>
      </c>
      <c r="U229" s="75">
        <f t="shared" si="180"/>
        <v>168684.5</v>
      </c>
      <c r="V229" s="75">
        <f t="shared" si="181"/>
        <v>168684.5</v>
      </c>
    </row>
    <row r="230" spans="1:22" ht="105" x14ac:dyDescent="0.25">
      <c r="A230" s="235"/>
      <c r="B230" s="238"/>
      <c r="C230" s="61" t="s">
        <v>117</v>
      </c>
      <c r="D230" s="64" t="s">
        <v>101</v>
      </c>
      <c r="E230" s="60">
        <v>0</v>
      </c>
      <c r="F230" s="60">
        <v>0</v>
      </c>
      <c r="G230" s="59">
        <f t="shared" si="174"/>
        <v>0</v>
      </c>
      <c r="H230" s="60">
        <v>0</v>
      </c>
      <c r="I230" s="60">
        <v>0</v>
      </c>
      <c r="J230" s="75">
        <f>K230</f>
        <v>34010.129999999997</v>
      </c>
      <c r="K230" s="75">
        <v>34010.129999999997</v>
      </c>
      <c r="L230" s="72" t="s">
        <v>104</v>
      </c>
      <c r="M230" s="72" t="s">
        <v>104</v>
      </c>
      <c r="N230" s="73">
        <f>SUM(O230:T230)</f>
        <v>0</v>
      </c>
      <c r="O230" s="73">
        <f>G230*K230</f>
        <v>0</v>
      </c>
      <c r="P230" s="73"/>
      <c r="Q230" s="73"/>
      <c r="R230" s="73"/>
      <c r="S230" s="73"/>
      <c r="T230" s="73"/>
      <c r="U230" s="75">
        <f t="shared" si="180"/>
        <v>0</v>
      </c>
      <c r="V230" s="75">
        <f t="shared" si="181"/>
        <v>0</v>
      </c>
    </row>
    <row r="231" spans="1:22" x14ac:dyDescent="0.25">
      <c r="A231" s="235"/>
      <c r="B231" s="239"/>
      <c r="C231" s="66" t="s">
        <v>106</v>
      </c>
      <c r="D231" s="64"/>
      <c r="E231" s="60">
        <f>E223++E224+E229</f>
        <v>393</v>
      </c>
      <c r="F231" s="60">
        <f>F223++F224+F229</f>
        <v>393</v>
      </c>
      <c r="G231" s="60">
        <f>G223++G224+G229</f>
        <v>393</v>
      </c>
      <c r="H231" s="60">
        <f>H223++H224+H229</f>
        <v>393</v>
      </c>
      <c r="I231" s="60">
        <f>I223++I224+I229</f>
        <v>393</v>
      </c>
      <c r="J231" s="73" t="s">
        <v>104</v>
      </c>
      <c r="K231" s="73" t="s">
        <v>104</v>
      </c>
      <c r="L231" s="74" t="s">
        <v>104</v>
      </c>
      <c r="M231" s="74" t="s">
        <v>104</v>
      </c>
      <c r="N231" s="74">
        <f>SUM(N223:N230)</f>
        <v>21319706.419999998</v>
      </c>
      <c r="O231" s="74">
        <f t="shared" ref="O231:V231" si="184">SUM(O223:O230)</f>
        <v>15178208.960000001</v>
      </c>
      <c r="P231" s="74"/>
      <c r="Q231" s="74">
        <f t="shared" si="184"/>
        <v>1572782.07</v>
      </c>
      <c r="R231" s="74"/>
      <c r="S231" s="74"/>
      <c r="T231" s="74">
        <f t="shared" si="184"/>
        <v>4568715.3900000006</v>
      </c>
      <c r="U231" s="74">
        <f t="shared" si="184"/>
        <v>21319706.419999998</v>
      </c>
      <c r="V231" s="74">
        <f t="shared" si="184"/>
        <v>21319706.419999998</v>
      </c>
    </row>
    <row r="232" spans="1:22" ht="90" x14ac:dyDescent="0.25">
      <c r="A232" s="235"/>
      <c r="B232" s="237" t="s">
        <v>108</v>
      </c>
      <c r="C232" s="61" t="s">
        <v>100</v>
      </c>
      <c r="D232" s="62" t="s">
        <v>101</v>
      </c>
      <c r="E232" s="60">
        <v>53</v>
      </c>
      <c r="F232" s="60">
        <v>53</v>
      </c>
      <c r="G232" s="59">
        <f t="shared" si="174"/>
        <v>53</v>
      </c>
      <c r="H232" s="60">
        <v>53</v>
      </c>
      <c r="I232" s="60">
        <v>53</v>
      </c>
      <c r="J232" s="107">
        <f>SUM(K232:M232)</f>
        <v>58731.119999999995</v>
      </c>
      <c r="K232" s="147">
        <f>41105.12+1998.78</f>
        <v>43103.9</v>
      </c>
      <c r="L232" s="70">
        <v>4001.99</v>
      </c>
      <c r="M232" s="163">
        <v>11625.23</v>
      </c>
      <c r="N232" s="73">
        <f>SUM(O232:T232)</f>
        <v>3112749.3600000003</v>
      </c>
      <c r="O232" s="149">
        <f>G232*K232</f>
        <v>2284506.7000000002</v>
      </c>
      <c r="P232" s="149"/>
      <c r="Q232" s="73">
        <f>G232*L232</f>
        <v>212105.47</v>
      </c>
      <c r="R232" s="73"/>
      <c r="S232" s="73"/>
      <c r="T232" s="156">
        <f>G232*M232</f>
        <v>616137.18999999994</v>
      </c>
      <c r="U232" s="75">
        <f>H232*J232</f>
        <v>3112749.36</v>
      </c>
      <c r="V232" s="75">
        <f t="shared" si="181"/>
        <v>3112749.36</v>
      </c>
    </row>
    <row r="233" spans="1:22" ht="119.25" x14ac:dyDescent="0.25">
      <c r="A233" s="235"/>
      <c r="B233" s="238"/>
      <c r="C233" s="61" t="s">
        <v>172</v>
      </c>
      <c r="D233" s="62" t="s">
        <v>101</v>
      </c>
      <c r="E233" s="60">
        <v>52</v>
      </c>
      <c r="F233" s="60">
        <v>52</v>
      </c>
      <c r="G233" s="59">
        <f t="shared" si="174"/>
        <v>52</v>
      </c>
      <c r="H233" s="60">
        <v>52</v>
      </c>
      <c r="I233" s="60">
        <v>52</v>
      </c>
      <c r="J233" s="107">
        <f>SUM(K233:M233)</f>
        <v>101026.57</v>
      </c>
      <c r="K233" s="147">
        <f>83400.57+1998.78</f>
        <v>85399.35</v>
      </c>
      <c r="L233" s="70">
        <v>4001.99</v>
      </c>
      <c r="M233" s="163">
        <v>11625.23</v>
      </c>
      <c r="N233" s="73">
        <f>SUM(O233:T233)</f>
        <v>5253381.6399999997</v>
      </c>
      <c r="O233" s="149">
        <f>G233*K233</f>
        <v>4440766.2</v>
      </c>
      <c r="P233" s="149"/>
      <c r="Q233" s="73">
        <f>G233*L233</f>
        <v>208103.47999999998</v>
      </c>
      <c r="R233" s="73"/>
      <c r="S233" s="73"/>
      <c r="T233" s="156">
        <f>G233*M233</f>
        <v>604511.96</v>
      </c>
      <c r="U233" s="75">
        <f t="shared" si="180"/>
        <v>5253381.6400000006</v>
      </c>
      <c r="V233" s="75">
        <f t="shared" si="181"/>
        <v>5253381.6400000006</v>
      </c>
    </row>
    <row r="234" spans="1:22" ht="120" x14ac:dyDescent="0.25">
      <c r="A234" s="235"/>
      <c r="B234" s="238"/>
      <c r="C234" s="63" t="s">
        <v>102</v>
      </c>
      <c r="D234" s="64" t="s">
        <v>101</v>
      </c>
      <c r="E234" s="59" t="s">
        <v>104</v>
      </c>
      <c r="F234" s="59" t="s">
        <v>104</v>
      </c>
      <c r="G234" s="59" t="s">
        <v>104</v>
      </c>
      <c r="H234" s="59" t="s">
        <v>104</v>
      </c>
      <c r="I234" s="59" t="s">
        <v>104</v>
      </c>
      <c r="J234" s="59" t="s">
        <v>104</v>
      </c>
      <c r="K234" s="59" t="s">
        <v>104</v>
      </c>
      <c r="L234" s="59" t="s">
        <v>104</v>
      </c>
      <c r="M234" s="59" t="s">
        <v>104</v>
      </c>
      <c r="N234" s="71"/>
      <c r="O234" s="71"/>
      <c r="P234" s="71"/>
      <c r="Q234" s="59" t="s">
        <v>104</v>
      </c>
      <c r="R234" s="59"/>
      <c r="S234" s="59"/>
      <c r="T234" s="59" t="s">
        <v>104</v>
      </c>
      <c r="U234" s="75"/>
      <c r="V234" s="75"/>
    </row>
    <row r="235" spans="1:22" x14ac:dyDescent="0.25">
      <c r="A235" s="235"/>
      <c r="B235" s="238"/>
      <c r="C235" s="63" t="s">
        <v>168</v>
      </c>
      <c r="D235" s="64" t="s">
        <v>101</v>
      </c>
      <c r="E235" s="60"/>
      <c r="F235" s="60"/>
      <c r="G235" s="59">
        <f t="shared" si="174"/>
        <v>0</v>
      </c>
      <c r="H235" s="60"/>
      <c r="I235" s="60"/>
      <c r="J235" s="75">
        <f>K235</f>
        <v>23553.439999999999</v>
      </c>
      <c r="K235" s="75">
        <v>23553.439999999999</v>
      </c>
      <c r="L235" s="59" t="s">
        <v>104</v>
      </c>
      <c r="M235" s="59" t="s">
        <v>104</v>
      </c>
      <c r="N235" s="71">
        <f>O235</f>
        <v>0</v>
      </c>
      <c r="O235" s="146">
        <f>G235*K235</f>
        <v>0</v>
      </c>
      <c r="P235" s="146"/>
      <c r="Q235" s="59" t="s">
        <v>104</v>
      </c>
      <c r="R235" s="59"/>
      <c r="S235" s="59"/>
      <c r="T235" s="59" t="s">
        <v>104</v>
      </c>
      <c r="U235" s="75">
        <f>H235*K235</f>
        <v>0</v>
      </c>
      <c r="V235" s="75">
        <f>I235*K235</f>
        <v>0</v>
      </c>
    </row>
    <row r="236" spans="1:22" ht="120" x14ac:dyDescent="0.25">
      <c r="A236" s="235"/>
      <c r="B236" s="238"/>
      <c r="C236" s="61" t="s">
        <v>105</v>
      </c>
      <c r="D236" s="64" t="s">
        <v>101</v>
      </c>
      <c r="E236" s="60"/>
      <c r="F236" s="60"/>
      <c r="G236" s="59">
        <f t="shared" si="174"/>
        <v>0</v>
      </c>
      <c r="H236" s="60"/>
      <c r="I236" s="60"/>
      <c r="J236" s="75">
        <f>SUM(K236:M236)</f>
        <v>199028.35</v>
      </c>
      <c r="K236" s="148">
        <f>181402.35+1998.78</f>
        <v>183401.13</v>
      </c>
      <c r="L236" s="72">
        <v>4001.99</v>
      </c>
      <c r="M236" s="163">
        <v>11625.23</v>
      </c>
      <c r="N236" s="73"/>
      <c r="O236" s="149"/>
      <c r="P236" s="149"/>
      <c r="Q236" s="73"/>
      <c r="R236" s="73"/>
      <c r="S236" s="73"/>
      <c r="T236" s="73"/>
      <c r="U236" s="75">
        <f t="shared" si="180"/>
        <v>0</v>
      </c>
      <c r="V236" s="75">
        <f t="shared" si="181"/>
        <v>0</v>
      </c>
    </row>
    <row r="237" spans="1:22" x14ac:dyDescent="0.25">
      <c r="A237" s="235"/>
      <c r="B237" s="239"/>
      <c r="C237" s="66" t="s">
        <v>106</v>
      </c>
      <c r="D237" s="64"/>
      <c r="E237" s="60">
        <f>E232+E236</f>
        <v>53</v>
      </c>
      <c r="F237" s="60">
        <f t="shared" ref="F237:I237" si="185">F232+F236</f>
        <v>53</v>
      </c>
      <c r="G237" s="60">
        <f t="shared" si="185"/>
        <v>53</v>
      </c>
      <c r="H237" s="60">
        <f t="shared" si="185"/>
        <v>53</v>
      </c>
      <c r="I237" s="60">
        <f t="shared" si="185"/>
        <v>53</v>
      </c>
      <c r="J237" s="73" t="s">
        <v>104</v>
      </c>
      <c r="K237" s="73" t="s">
        <v>104</v>
      </c>
      <c r="L237" s="74" t="s">
        <v>104</v>
      </c>
      <c r="M237" s="74" t="s">
        <v>104</v>
      </c>
      <c r="N237" s="74">
        <f>SUM(N232:N236)</f>
        <v>8366131</v>
      </c>
      <c r="O237" s="74">
        <f t="shared" ref="O237:V237" si="186">SUM(O232:O236)</f>
        <v>6725272.9000000004</v>
      </c>
      <c r="P237" s="74"/>
      <c r="Q237" s="74">
        <f t="shared" si="186"/>
        <v>420208.94999999995</v>
      </c>
      <c r="R237" s="74"/>
      <c r="S237" s="74"/>
      <c r="T237" s="74">
        <f t="shared" si="186"/>
        <v>1220649.1499999999</v>
      </c>
      <c r="U237" s="74">
        <f t="shared" si="186"/>
        <v>8366131</v>
      </c>
      <c r="V237" s="74">
        <f t="shared" si="186"/>
        <v>8366131</v>
      </c>
    </row>
    <row r="238" spans="1:22" ht="105" x14ac:dyDescent="0.25">
      <c r="A238" s="235"/>
      <c r="B238" s="137" t="s">
        <v>109</v>
      </c>
      <c r="C238" s="61" t="s">
        <v>187</v>
      </c>
      <c r="D238" s="64" t="s">
        <v>101</v>
      </c>
      <c r="E238" s="60">
        <v>1235</v>
      </c>
      <c r="F238" s="60">
        <v>1235</v>
      </c>
      <c r="G238" s="59">
        <f t="shared" si="174"/>
        <v>1235</v>
      </c>
      <c r="H238" s="60">
        <v>1235</v>
      </c>
      <c r="I238" s="60">
        <v>1235</v>
      </c>
      <c r="J238" s="75">
        <f>K238</f>
        <v>3978.76</v>
      </c>
      <c r="K238" s="75">
        <v>3978.76</v>
      </c>
      <c r="L238" s="72" t="s">
        <v>104</v>
      </c>
      <c r="M238" s="72" t="s">
        <v>104</v>
      </c>
      <c r="N238" s="73">
        <f>SUM(O238:T238)</f>
        <v>4913768.6000000006</v>
      </c>
      <c r="O238" s="149">
        <f>G238*K238</f>
        <v>4913768.6000000006</v>
      </c>
      <c r="P238" s="149"/>
      <c r="Q238" s="73" t="s">
        <v>104</v>
      </c>
      <c r="R238" s="73"/>
      <c r="S238" s="73"/>
      <c r="T238" s="73" t="s">
        <v>104</v>
      </c>
      <c r="U238" s="75">
        <f t="shared" si="180"/>
        <v>4913768.6000000006</v>
      </c>
      <c r="V238" s="75">
        <f t="shared" si="181"/>
        <v>4913768.6000000006</v>
      </c>
    </row>
    <row r="239" spans="1:22" x14ac:dyDescent="0.25">
      <c r="A239" s="235"/>
      <c r="B239" s="69"/>
      <c r="C239" s="66" t="s">
        <v>106</v>
      </c>
      <c r="D239" s="69"/>
      <c r="E239" s="60">
        <f>SUM(E238:E238)</f>
        <v>1235</v>
      </c>
      <c r="F239" s="60">
        <f>SUM(F238:F238)</f>
        <v>1235</v>
      </c>
      <c r="G239" s="60">
        <f>SUM(G238:G238)</f>
        <v>1235</v>
      </c>
      <c r="H239" s="60">
        <f>SUM(H238:H238)</f>
        <v>1235</v>
      </c>
      <c r="I239" s="60">
        <f>SUM(I238:I238)</f>
        <v>1235</v>
      </c>
      <c r="J239" s="73" t="s">
        <v>104</v>
      </c>
      <c r="K239" s="73" t="s">
        <v>104</v>
      </c>
      <c r="L239" s="74" t="s">
        <v>104</v>
      </c>
      <c r="M239" s="74">
        <f t="shared" ref="M239:V239" si="187">SUM(M238:M238)</f>
        <v>0</v>
      </c>
      <c r="N239" s="74">
        <f t="shared" si="187"/>
        <v>4913768.6000000006</v>
      </c>
      <c r="O239" s="74">
        <f t="shared" si="187"/>
        <v>4913768.6000000006</v>
      </c>
      <c r="P239" s="74"/>
      <c r="Q239" s="74">
        <f t="shared" si="187"/>
        <v>0</v>
      </c>
      <c r="R239" s="74"/>
      <c r="S239" s="74"/>
      <c r="T239" s="74">
        <f t="shared" si="187"/>
        <v>0</v>
      </c>
      <c r="U239" s="75">
        <f t="shared" si="187"/>
        <v>4913768.6000000006</v>
      </c>
      <c r="V239" s="75">
        <f t="shared" si="187"/>
        <v>4913768.6000000006</v>
      </c>
    </row>
    <row r="240" spans="1:22" x14ac:dyDescent="0.25">
      <c r="A240" s="235"/>
      <c r="B240" s="101" t="s">
        <v>112</v>
      </c>
      <c r="C240" s="101"/>
      <c r="D240" s="69"/>
      <c r="E240" s="102"/>
      <c r="F240" s="102"/>
      <c r="G240" s="102"/>
      <c r="H240" s="102"/>
      <c r="I240" s="102"/>
      <c r="J240" s="104"/>
      <c r="K240" s="104"/>
      <c r="L240" s="103"/>
      <c r="M240" s="103"/>
      <c r="N240" s="103">
        <f t="shared" ref="N240:V240" si="188">N222+N231+N237+N239</f>
        <v>48371568.530000001</v>
      </c>
      <c r="O240" s="103">
        <f t="shared" si="188"/>
        <v>35463484.810000002</v>
      </c>
      <c r="P240" s="103"/>
      <c r="Q240" s="103">
        <f t="shared" si="188"/>
        <v>3305643.74</v>
      </c>
      <c r="R240" s="103"/>
      <c r="S240" s="103"/>
      <c r="T240" s="103">
        <f t="shared" si="188"/>
        <v>9602439.9800000004</v>
      </c>
      <c r="U240" s="103">
        <f t="shared" si="188"/>
        <v>48371568.530000001</v>
      </c>
      <c r="V240" s="103">
        <f t="shared" si="188"/>
        <v>48371568.530000001</v>
      </c>
    </row>
    <row r="241" spans="1:23" ht="187.15" customHeight="1" x14ac:dyDescent="0.25">
      <c r="A241" s="235" t="s">
        <v>119</v>
      </c>
      <c r="B241" s="236" t="s">
        <v>99</v>
      </c>
      <c r="C241" s="61" t="s">
        <v>120</v>
      </c>
      <c r="D241" s="62" t="s">
        <v>121</v>
      </c>
      <c r="E241" s="121" t="s">
        <v>192</v>
      </c>
      <c r="F241" s="121" t="s">
        <v>192</v>
      </c>
      <c r="G241" s="121" t="s">
        <v>192</v>
      </c>
      <c r="H241" s="121" t="s">
        <v>192</v>
      </c>
      <c r="I241" s="121" t="s">
        <v>192</v>
      </c>
      <c r="J241" s="151" t="s">
        <v>214</v>
      </c>
      <c r="K241" s="147" t="s">
        <v>195</v>
      </c>
      <c r="L241" s="70" t="s">
        <v>185</v>
      </c>
      <c r="M241" s="163" t="s">
        <v>213</v>
      </c>
      <c r="N241" s="71">
        <f>SUM(O241:T241)</f>
        <v>3267447.26</v>
      </c>
      <c r="O241" s="146">
        <f>(668575.57*3)+((1351.63*67)/12*8+(1351.63*67)/12*4)</f>
        <v>2096285.92</v>
      </c>
      <c r="P241" s="146"/>
      <c r="Q241" s="71">
        <f>((4001.99*67)/12*8)+((4001.99*67)/12*4)</f>
        <v>268133.32999999996</v>
      </c>
      <c r="R241" s="71"/>
      <c r="S241" s="71"/>
      <c r="T241" s="156">
        <f>((13478.03*67)/12*8)+((13478.03*67)/12*4)</f>
        <v>903028.01</v>
      </c>
      <c r="U241" s="46">
        <f>668575.57*3+18831.65*67</f>
        <v>3267447.26</v>
      </c>
      <c r="V241" s="75">
        <f>U241</f>
        <v>3267447.26</v>
      </c>
    </row>
    <row r="242" spans="1:23" ht="202.15" customHeight="1" x14ac:dyDescent="0.25">
      <c r="A242" s="235"/>
      <c r="B242" s="236"/>
      <c r="C242" s="61" t="s">
        <v>128</v>
      </c>
      <c r="D242" s="62" t="s">
        <v>121</v>
      </c>
      <c r="E242" s="121" t="s">
        <v>193</v>
      </c>
      <c r="F242" s="121" t="s">
        <v>193</v>
      </c>
      <c r="G242" s="121" t="s">
        <v>193</v>
      </c>
      <c r="H242" s="121" t="s">
        <v>193</v>
      </c>
      <c r="I242" s="121" t="s">
        <v>193</v>
      </c>
      <c r="J242" s="151" t="s">
        <v>215</v>
      </c>
      <c r="K242" s="147" t="s">
        <v>194</v>
      </c>
      <c r="L242" s="70" t="s">
        <v>185</v>
      </c>
      <c r="M242" s="163" t="s">
        <v>213</v>
      </c>
      <c r="N242" s="71">
        <f t="shared" ref="N242:N248" si="189">SUM(O242:T242)</f>
        <v>940427.04</v>
      </c>
      <c r="O242" s="146">
        <f>(((628912.16*1)/12*8+(628912.16*1)/12*4)+((1351.63*19)/12*8+(1351.63*19)/12*4))</f>
        <v>654593.13</v>
      </c>
      <c r="P242" s="146"/>
      <c r="Q242" s="71">
        <f>((4001.99*19)/12*8)+((4001.99*19)/12*4)</f>
        <v>76037.81</v>
      </c>
      <c r="R242" s="71"/>
      <c r="S242" s="71"/>
      <c r="T242" s="75">
        <f>((11041.9*19)/12*8)+((11041.9*19)/12*4)</f>
        <v>209796.10000000003</v>
      </c>
      <c r="U242" s="46">
        <f>628912.16*1+16395.52*19</f>
        <v>940427.04</v>
      </c>
      <c r="V242" s="75">
        <f>U242</f>
        <v>940427.04</v>
      </c>
    </row>
    <row r="243" spans="1:23" ht="120" x14ac:dyDescent="0.25">
      <c r="A243" s="235"/>
      <c r="B243" s="236"/>
      <c r="C243" s="63" t="s">
        <v>102</v>
      </c>
      <c r="D243" s="64" t="s">
        <v>101</v>
      </c>
      <c r="E243" s="65"/>
      <c r="F243" s="65"/>
      <c r="G243" s="65"/>
      <c r="H243" s="65"/>
      <c r="I243" s="65"/>
      <c r="J243" s="150" t="s">
        <v>103</v>
      </c>
      <c r="K243" s="150" t="s">
        <v>103</v>
      </c>
      <c r="L243" s="150" t="s">
        <v>103</v>
      </c>
      <c r="M243" s="150" t="s">
        <v>103</v>
      </c>
      <c r="N243" s="150" t="s">
        <v>103</v>
      </c>
      <c r="O243" s="150" t="s">
        <v>103</v>
      </c>
      <c r="P243" s="150"/>
      <c r="Q243" s="150" t="s">
        <v>103</v>
      </c>
      <c r="R243" s="150"/>
      <c r="S243" s="150"/>
      <c r="T243" s="150" t="s">
        <v>103</v>
      </c>
      <c r="U243" s="150" t="s">
        <v>103</v>
      </c>
      <c r="V243" s="150" t="s">
        <v>103</v>
      </c>
    </row>
    <row r="244" spans="1:23" x14ac:dyDescent="0.25">
      <c r="A244" s="235"/>
      <c r="B244" s="236"/>
      <c r="C244" s="63" t="s">
        <v>166</v>
      </c>
      <c r="D244" s="64" t="s">
        <v>101</v>
      </c>
      <c r="E244" s="59">
        <v>2</v>
      </c>
      <c r="F244" s="59">
        <v>2</v>
      </c>
      <c r="G244" s="59">
        <f t="shared" ref="G244:G245" si="190">((E244*8)+(F244*4))/12</f>
        <v>2</v>
      </c>
      <c r="H244" s="59">
        <v>2</v>
      </c>
      <c r="I244" s="59">
        <v>2</v>
      </c>
      <c r="J244" s="148">
        <f>K244</f>
        <v>80183.77</v>
      </c>
      <c r="K244" s="148">
        <v>80183.77</v>
      </c>
      <c r="L244" s="72"/>
      <c r="M244" s="72"/>
      <c r="N244" s="71"/>
      <c r="O244" s="146">
        <f>G244*K244</f>
        <v>160367.54</v>
      </c>
      <c r="P244" s="146"/>
      <c r="Q244" s="71"/>
      <c r="R244" s="71"/>
      <c r="S244" s="71"/>
      <c r="T244" s="118"/>
      <c r="U244" s="75">
        <f>K244*G244</f>
        <v>160367.54</v>
      </c>
      <c r="V244" s="75">
        <f>U244</f>
        <v>160367.54</v>
      </c>
    </row>
    <row r="245" spans="1:23" ht="105" x14ac:dyDescent="0.25">
      <c r="A245" s="235"/>
      <c r="B245" s="236"/>
      <c r="C245" s="61" t="s">
        <v>174</v>
      </c>
      <c r="D245" s="64" t="s">
        <v>101</v>
      </c>
      <c r="E245" s="59"/>
      <c r="F245" s="59"/>
      <c r="G245" s="59">
        <f t="shared" si="190"/>
        <v>0</v>
      </c>
      <c r="H245" s="59"/>
      <c r="I245" s="59"/>
      <c r="J245" s="75">
        <f>K245</f>
        <v>25930.91</v>
      </c>
      <c r="K245" s="75">
        <v>25930.91</v>
      </c>
      <c r="L245" s="71" t="s">
        <v>104</v>
      </c>
      <c r="M245" s="71" t="s">
        <v>104</v>
      </c>
      <c r="N245" s="71">
        <f>O245</f>
        <v>0</v>
      </c>
      <c r="O245" s="146">
        <f>G245*K245</f>
        <v>0</v>
      </c>
      <c r="P245" s="146"/>
      <c r="Q245" s="71" t="s">
        <v>104</v>
      </c>
      <c r="R245" s="71"/>
      <c r="S245" s="71"/>
      <c r="T245" s="118" t="s">
        <v>104</v>
      </c>
      <c r="U245" s="75">
        <f>H245*K245</f>
        <v>0</v>
      </c>
      <c r="V245" s="75">
        <f>I245*K245</f>
        <v>0</v>
      </c>
    </row>
    <row r="246" spans="1:23" x14ac:dyDescent="0.25">
      <c r="A246" s="235"/>
      <c r="B246" s="236"/>
      <c r="C246" s="66" t="s">
        <v>106</v>
      </c>
      <c r="D246" s="67"/>
      <c r="E246" s="121" t="s">
        <v>198</v>
      </c>
      <c r="F246" s="121" t="s">
        <v>198</v>
      </c>
      <c r="G246" s="121" t="s">
        <v>198</v>
      </c>
      <c r="H246" s="121" t="s">
        <v>198</v>
      </c>
      <c r="I246" s="121" t="s">
        <v>198</v>
      </c>
      <c r="J246" s="71" t="s">
        <v>104</v>
      </c>
      <c r="K246" s="71" t="s">
        <v>104</v>
      </c>
      <c r="L246" s="71" t="s">
        <v>104</v>
      </c>
      <c r="M246" s="71" t="s">
        <v>104</v>
      </c>
      <c r="N246" s="71">
        <f>SUM(O246:T246)</f>
        <v>4368241.84</v>
      </c>
      <c r="O246" s="71">
        <f>SUM(O241:O245)</f>
        <v>2911246.59</v>
      </c>
      <c r="P246" s="71"/>
      <c r="Q246" s="71">
        <f>SUM(Q241:Q245)</f>
        <v>344171.13999999996</v>
      </c>
      <c r="R246" s="71"/>
      <c r="S246" s="71"/>
      <c r="T246" s="71">
        <f t="shared" ref="T246:V246" si="191">SUM(T241:T245)</f>
        <v>1112824.1100000001</v>
      </c>
      <c r="U246" s="71">
        <f t="shared" si="191"/>
        <v>4368241.84</v>
      </c>
      <c r="V246" s="71">
        <f t="shared" si="191"/>
        <v>4368241.84</v>
      </c>
    </row>
    <row r="247" spans="1:23" ht="225" x14ac:dyDescent="0.25">
      <c r="A247" s="235"/>
      <c r="B247" s="236" t="s">
        <v>107</v>
      </c>
      <c r="C247" s="61" t="s">
        <v>120</v>
      </c>
      <c r="D247" s="62" t="s">
        <v>121</v>
      </c>
      <c r="E247" s="121" t="s">
        <v>198</v>
      </c>
      <c r="F247" s="121" t="s">
        <v>198</v>
      </c>
      <c r="G247" s="121" t="s">
        <v>198</v>
      </c>
      <c r="H247" s="121" t="s">
        <v>198</v>
      </c>
      <c r="I247" s="121" t="s">
        <v>198</v>
      </c>
      <c r="J247" s="151" t="s">
        <v>216</v>
      </c>
      <c r="K247" s="147" t="s">
        <v>197</v>
      </c>
      <c r="L247" s="70" t="s">
        <v>185</v>
      </c>
      <c r="M247" s="163" t="s">
        <v>213</v>
      </c>
      <c r="N247" s="71">
        <f t="shared" si="189"/>
        <v>5408628.8399999999</v>
      </c>
      <c r="O247" s="146">
        <f>(((993246.1*4)/12*8+(993246.1*4)/12*4)+((1649.65*86)/12*8+(1649.65*86)/12*4))</f>
        <v>4114854.3</v>
      </c>
      <c r="P247" s="146"/>
      <c r="Q247" s="71">
        <f>((4001.99*86)/12*8)+((4001.99*86)/12*4)</f>
        <v>344171.13999999996</v>
      </c>
      <c r="R247" s="71"/>
      <c r="S247" s="71"/>
      <c r="T247" s="71">
        <f>((11041.9*86)/12*8)+((11041.9*86)/12*4)</f>
        <v>949603.4</v>
      </c>
      <c r="U247" s="46">
        <f>4*993246.1+86*16693.54</f>
        <v>5408628.8399999999</v>
      </c>
      <c r="V247" s="75">
        <f>U247</f>
        <v>5408628.8399999999</v>
      </c>
      <c r="W247" s="124"/>
    </row>
    <row r="248" spans="1:23" ht="240" x14ac:dyDescent="0.25">
      <c r="A248" s="235"/>
      <c r="B248" s="236"/>
      <c r="C248" s="61" t="s">
        <v>128</v>
      </c>
      <c r="D248" s="62" t="s">
        <v>121</v>
      </c>
      <c r="E248" s="79" t="s">
        <v>199</v>
      </c>
      <c r="F248" s="79" t="s">
        <v>199</v>
      </c>
      <c r="G248" s="79" t="s">
        <v>199</v>
      </c>
      <c r="H248" s="79" t="s">
        <v>199</v>
      </c>
      <c r="I248" s="79" t="s">
        <v>199</v>
      </c>
      <c r="J248" s="151" t="s">
        <v>217</v>
      </c>
      <c r="K248" s="147" t="s">
        <v>196</v>
      </c>
      <c r="L248" s="70" t="s">
        <v>185</v>
      </c>
      <c r="M248" s="163" t="s">
        <v>213</v>
      </c>
      <c r="N248" s="71">
        <f t="shared" si="189"/>
        <v>2058739.2200000002</v>
      </c>
      <c r="O248" s="146">
        <f>(((787313.28*2)/12*8+(787313.28*2)/12*4)+((1649.65*29)/12*8+(1649.65*29)/12*4))</f>
        <v>1622466.4100000001</v>
      </c>
      <c r="P248" s="146"/>
      <c r="Q248" s="71">
        <f>((4001.99*29)/12*8)+((4001.99*29)/12*4)</f>
        <v>116057.70999999999</v>
      </c>
      <c r="R248" s="71"/>
      <c r="S248" s="71"/>
      <c r="T248" s="71">
        <f>((11041.9*29)/12*8)+((11041.9*29)/12*4)</f>
        <v>320215.09999999998</v>
      </c>
      <c r="U248" s="46">
        <f>2*787313.28+16693.54*29</f>
        <v>2058739.2200000002</v>
      </c>
      <c r="V248" s="75">
        <f>U248</f>
        <v>2058739.2200000002</v>
      </c>
    </row>
    <row r="249" spans="1:23" ht="135" x14ac:dyDescent="0.25">
      <c r="A249" s="235"/>
      <c r="B249" s="236"/>
      <c r="C249" s="63" t="s">
        <v>163</v>
      </c>
      <c r="D249" s="64" t="s">
        <v>101</v>
      </c>
      <c r="E249" s="59" t="s">
        <v>104</v>
      </c>
      <c r="F249" s="59" t="s">
        <v>104</v>
      </c>
      <c r="G249" s="59" t="s">
        <v>104</v>
      </c>
      <c r="H249" s="59" t="s">
        <v>104</v>
      </c>
      <c r="I249" s="59" t="s">
        <v>104</v>
      </c>
      <c r="J249" s="59" t="s">
        <v>104</v>
      </c>
      <c r="K249" s="59" t="s">
        <v>104</v>
      </c>
      <c r="L249" s="59" t="s">
        <v>104</v>
      </c>
      <c r="M249" s="59" t="s">
        <v>104</v>
      </c>
      <c r="N249" s="71"/>
      <c r="O249" s="71"/>
      <c r="P249" s="71"/>
      <c r="Q249" s="59" t="s">
        <v>104</v>
      </c>
      <c r="R249" s="59"/>
      <c r="S249" s="59"/>
      <c r="T249" s="59" t="s">
        <v>104</v>
      </c>
      <c r="U249" s="75"/>
      <c r="V249" s="75"/>
    </row>
    <row r="250" spans="1:23" x14ac:dyDescent="0.25">
      <c r="A250" s="235"/>
      <c r="B250" s="110"/>
      <c r="C250" s="63" t="s">
        <v>165</v>
      </c>
      <c r="D250" s="64"/>
      <c r="E250" s="60">
        <v>1</v>
      </c>
      <c r="F250" s="60">
        <v>1</v>
      </c>
      <c r="G250" s="59">
        <f t="shared" ref="G250:G253" si="192">((E250*8)+(F250*4))/12</f>
        <v>1</v>
      </c>
      <c r="H250" s="60">
        <v>1</v>
      </c>
      <c r="I250" s="60">
        <v>1</v>
      </c>
      <c r="J250" s="75">
        <f>K250</f>
        <v>112063.65</v>
      </c>
      <c r="K250" s="75">
        <v>112063.65</v>
      </c>
      <c r="L250" s="59" t="s">
        <v>104</v>
      </c>
      <c r="M250" s="59" t="s">
        <v>104</v>
      </c>
      <c r="N250" s="71">
        <f>O250</f>
        <v>112063.65</v>
      </c>
      <c r="O250" s="149">
        <f>G250*K250</f>
        <v>112063.65</v>
      </c>
      <c r="P250" s="149"/>
      <c r="Q250" s="59" t="s">
        <v>104</v>
      </c>
      <c r="R250" s="59"/>
      <c r="S250" s="59"/>
      <c r="T250" s="59" t="s">
        <v>104</v>
      </c>
      <c r="U250" s="75">
        <f>H250*K250</f>
        <v>112063.65</v>
      </c>
      <c r="V250" s="75">
        <f>I250*K250</f>
        <v>112063.65</v>
      </c>
    </row>
    <row r="251" spans="1:23" x14ac:dyDescent="0.25">
      <c r="A251" s="235"/>
      <c r="B251" s="110"/>
      <c r="C251" s="63" t="s">
        <v>168</v>
      </c>
      <c r="D251" s="64"/>
      <c r="E251" s="60">
        <v>1</v>
      </c>
      <c r="F251" s="60">
        <v>1</v>
      </c>
      <c r="G251" s="59">
        <f t="shared" si="192"/>
        <v>1</v>
      </c>
      <c r="H251" s="60">
        <v>1</v>
      </c>
      <c r="I251" s="60">
        <v>1</v>
      </c>
      <c r="J251" s="75">
        <f>K251</f>
        <v>28342.92</v>
      </c>
      <c r="K251" s="75">
        <v>28342.92</v>
      </c>
      <c r="L251" s="105" t="s">
        <v>104</v>
      </c>
      <c r="M251" s="59" t="s">
        <v>104</v>
      </c>
      <c r="N251" s="71">
        <f>O251</f>
        <v>28342.92</v>
      </c>
      <c r="O251" s="149">
        <f>G251*K251</f>
        <v>28342.92</v>
      </c>
      <c r="P251" s="149"/>
      <c r="Q251" s="59" t="s">
        <v>104</v>
      </c>
      <c r="R251" s="59"/>
      <c r="S251" s="59"/>
      <c r="T251" s="59" t="s">
        <v>104</v>
      </c>
      <c r="U251" s="75">
        <f>H251*K251</f>
        <v>28342.92</v>
      </c>
      <c r="V251" s="75">
        <f>I251*K251</f>
        <v>28342.92</v>
      </c>
    </row>
    <row r="252" spans="1:23" ht="120" x14ac:dyDescent="0.25">
      <c r="A252" s="235"/>
      <c r="B252" s="110"/>
      <c r="C252" s="76" t="s">
        <v>173</v>
      </c>
      <c r="D252" s="64" t="s">
        <v>101</v>
      </c>
      <c r="E252" s="79">
        <v>1</v>
      </c>
      <c r="F252" s="79">
        <v>1</v>
      </c>
      <c r="G252" s="59">
        <f t="shared" si="192"/>
        <v>1</v>
      </c>
      <c r="H252" s="79">
        <v>1</v>
      </c>
      <c r="I252" s="79">
        <v>1</v>
      </c>
      <c r="J252" s="75">
        <f>SUM(K252:M252)</f>
        <v>227560.27</v>
      </c>
      <c r="K252" s="75">
        <f>225910.62+1649.65</f>
        <v>227560.27</v>
      </c>
      <c r="L252" s="70" t="s">
        <v>185</v>
      </c>
      <c r="M252" s="163" t="s">
        <v>213</v>
      </c>
      <c r="N252" s="73">
        <f>SUM(O252:T252)</f>
        <v>242604.15999999997</v>
      </c>
      <c r="O252" s="149">
        <f>G252*K252</f>
        <v>227560.27</v>
      </c>
      <c r="P252" s="149"/>
      <c r="Q252" s="73">
        <f>G252*4001.99</f>
        <v>4001.99</v>
      </c>
      <c r="R252" s="73"/>
      <c r="S252" s="73"/>
      <c r="T252" s="73">
        <f>G252*11041.9</f>
        <v>11041.9</v>
      </c>
      <c r="U252" s="75">
        <f>N252</f>
        <v>242604.15999999997</v>
      </c>
      <c r="V252" s="75">
        <f>U252</f>
        <v>242604.15999999997</v>
      </c>
    </row>
    <row r="253" spans="1:23" ht="105" x14ac:dyDescent="0.25">
      <c r="A253" s="235"/>
      <c r="B253" s="110"/>
      <c r="C253" s="61" t="s">
        <v>174</v>
      </c>
      <c r="D253" s="64" t="s">
        <v>101</v>
      </c>
      <c r="E253" s="79">
        <v>1</v>
      </c>
      <c r="F253" s="79">
        <v>1</v>
      </c>
      <c r="G253" s="59">
        <f t="shared" si="192"/>
        <v>1</v>
      </c>
      <c r="H253" s="79">
        <v>1</v>
      </c>
      <c r="I253" s="79">
        <v>1</v>
      </c>
      <c r="J253" s="75">
        <f>K253</f>
        <v>41057.29</v>
      </c>
      <c r="K253" s="75">
        <v>41057.29</v>
      </c>
      <c r="L253" s="74"/>
      <c r="M253" s="74"/>
      <c r="N253" s="73">
        <f>O253</f>
        <v>41057.29</v>
      </c>
      <c r="O253" s="149">
        <f>G253*K253</f>
        <v>41057.29</v>
      </c>
      <c r="P253" s="149"/>
      <c r="Q253" s="73"/>
      <c r="R253" s="73"/>
      <c r="S253" s="73"/>
      <c r="T253" s="73"/>
      <c r="U253" s="75">
        <f>H253*K253</f>
        <v>41057.29</v>
      </c>
      <c r="V253" s="75">
        <f>I253*K253</f>
        <v>41057.29</v>
      </c>
    </row>
    <row r="254" spans="1:23" x14ac:dyDescent="0.25">
      <c r="A254" s="235"/>
      <c r="B254" s="110"/>
      <c r="C254" s="66" t="s">
        <v>106</v>
      </c>
      <c r="D254" s="64"/>
      <c r="E254" s="77" t="s">
        <v>202</v>
      </c>
      <c r="F254" s="77" t="s">
        <v>202</v>
      </c>
      <c r="G254" s="77" t="s">
        <v>202</v>
      </c>
      <c r="H254" s="77" t="s">
        <v>202</v>
      </c>
      <c r="I254" s="77" t="s">
        <v>202</v>
      </c>
      <c r="J254" s="73" t="s">
        <v>104</v>
      </c>
      <c r="K254" s="73" t="s">
        <v>104</v>
      </c>
      <c r="L254" s="74" t="s">
        <v>104</v>
      </c>
      <c r="M254" s="74" t="s">
        <v>104</v>
      </c>
      <c r="N254" s="74">
        <f>SUM(O254:T254)</f>
        <v>7891436.0800000001</v>
      </c>
      <c r="O254" s="74">
        <f>SUM(O247:O253)</f>
        <v>6146344.8399999999</v>
      </c>
      <c r="P254" s="74"/>
      <c r="Q254" s="74">
        <f>SUM(Q247:Q253)</f>
        <v>464230.83999999997</v>
      </c>
      <c r="R254" s="74"/>
      <c r="S254" s="74"/>
      <c r="T254" s="74">
        <f t="shared" ref="T254:V254" si="193">SUM(T247:T253)</f>
        <v>1280860.3999999999</v>
      </c>
      <c r="U254" s="74">
        <f t="shared" si="193"/>
        <v>7891436.080000001</v>
      </c>
      <c r="V254" s="74">
        <f t="shared" si="193"/>
        <v>7891436.080000001</v>
      </c>
    </row>
    <row r="255" spans="1:23" ht="205.9" customHeight="1" x14ac:dyDescent="0.25">
      <c r="A255" s="235"/>
      <c r="B255" s="110" t="s">
        <v>108</v>
      </c>
      <c r="C255" s="61" t="s">
        <v>128</v>
      </c>
      <c r="D255" s="62" t="s">
        <v>121</v>
      </c>
      <c r="E255" s="121" t="s">
        <v>201</v>
      </c>
      <c r="F255" s="121" t="s">
        <v>201</v>
      </c>
      <c r="G255" s="121" t="s">
        <v>201</v>
      </c>
      <c r="H255" s="121" t="s">
        <v>201</v>
      </c>
      <c r="I255" s="121" t="s">
        <v>201</v>
      </c>
      <c r="J255" s="151" t="s">
        <v>218</v>
      </c>
      <c r="K255" s="147" t="s">
        <v>200</v>
      </c>
      <c r="L255" s="70" t="s">
        <v>185</v>
      </c>
      <c r="M255" s="163" t="s">
        <v>213</v>
      </c>
      <c r="N255" s="73">
        <f>SUM(O255:T255)</f>
        <v>1937937.97</v>
      </c>
      <c r="O255" s="146">
        <f>(841148.96*2)+((1998.78*15)/12*8+(1998.78*15)/12*4)</f>
        <v>1712279.6199999999</v>
      </c>
      <c r="P255" s="146"/>
      <c r="Q255" s="73">
        <f>((15*4001.99)/12*8)+((15*4001.99)/12*4)</f>
        <v>60029.850000000006</v>
      </c>
      <c r="R255" s="73"/>
      <c r="S255" s="73"/>
      <c r="T255" s="46">
        <f>((15*11041.9)/12*8)+((15*11041.9)/12*4)</f>
        <v>165628.5</v>
      </c>
      <c r="U255" s="46">
        <f>841148.96*2+15*17042.67</f>
        <v>1937937.97</v>
      </c>
      <c r="V255" s="75">
        <f>U255</f>
        <v>1937937.97</v>
      </c>
    </row>
    <row r="256" spans="1:23" ht="90" customHeight="1" x14ac:dyDescent="0.25">
      <c r="A256" s="235"/>
      <c r="B256" s="144"/>
      <c r="C256" s="63" t="s">
        <v>163</v>
      </c>
      <c r="D256" s="64" t="s">
        <v>101</v>
      </c>
      <c r="E256" s="121"/>
      <c r="F256" s="121"/>
      <c r="G256" s="121"/>
      <c r="H256" s="121"/>
      <c r="I256" s="121"/>
      <c r="J256" s="107"/>
      <c r="K256" s="147"/>
      <c r="L256" s="70"/>
      <c r="M256" s="70"/>
      <c r="N256" s="73"/>
      <c r="O256" s="71"/>
      <c r="P256" s="71"/>
      <c r="Q256" s="73"/>
      <c r="R256" s="73"/>
      <c r="S256" s="73"/>
      <c r="T256" s="46"/>
      <c r="U256" s="46"/>
      <c r="V256" s="75"/>
    </row>
    <row r="257" spans="1:24" ht="14.45" customHeight="1" x14ac:dyDescent="0.25">
      <c r="A257" s="235"/>
      <c r="B257" s="144"/>
      <c r="C257" s="63" t="s">
        <v>165</v>
      </c>
      <c r="D257" s="64" t="s">
        <v>101</v>
      </c>
      <c r="E257" s="121">
        <v>1</v>
      </c>
      <c r="F257" s="121">
        <v>1</v>
      </c>
      <c r="G257" s="59">
        <f>((E257*8)+(F257*4))/12</f>
        <v>1</v>
      </c>
      <c r="H257" s="121">
        <v>1</v>
      </c>
      <c r="I257" s="121">
        <v>1</v>
      </c>
      <c r="J257" s="107">
        <f>K257</f>
        <v>112063.65</v>
      </c>
      <c r="K257" s="147">
        <v>112063.65</v>
      </c>
      <c r="L257" s="70"/>
      <c r="M257" s="70"/>
      <c r="N257" s="73">
        <f>O257</f>
        <v>112063.65</v>
      </c>
      <c r="O257" s="146">
        <f>K257*G257</f>
        <v>112063.65</v>
      </c>
      <c r="P257" s="146"/>
      <c r="Q257" s="73"/>
      <c r="R257" s="73"/>
      <c r="S257" s="73"/>
      <c r="T257" s="46"/>
      <c r="U257" s="46">
        <f>G257*K257</f>
        <v>112063.65</v>
      </c>
      <c r="V257" s="75">
        <f>U257</f>
        <v>112063.65</v>
      </c>
    </row>
    <row r="258" spans="1:24" ht="16.149999999999999" customHeight="1" x14ac:dyDescent="0.25">
      <c r="A258" s="235"/>
      <c r="B258" s="144"/>
      <c r="C258" s="63" t="s">
        <v>168</v>
      </c>
      <c r="D258" s="64" t="s">
        <v>101</v>
      </c>
      <c r="E258" s="121">
        <v>1</v>
      </c>
      <c r="F258" s="121">
        <v>1</v>
      </c>
      <c r="G258" s="59">
        <f t="shared" ref="G258:G260" si="194">((E258*8)+(F258*4))/12</f>
        <v>1</v>
      </c>
      <c r="H258" s="121">
        <v>1</v>
      </c>
      <c r="I258" s="121">
        <v>1</v>
      </c>
      <c r="J258" s="107">
        <f>K258</f>
        <v>28342.92</v>
      </c>
      <c r="K258" s="147">
        <v>28342.92</v>
      </c>
      <c r="L258" s="70"/>
      <c r="M258" s="70"/>
      <c r="N258" s="73">
        <f>O258</f>
        <v>28342.92</v>
      </c>
      <c r="O258" s="146">
        <f>K258*G258</f>
        <v>28342.92</v>
      </c>
      <c r="P258" s="146"/>
      <c r="Q258" s="73"/>
      <c r="R258" s="73"/>
      <c r="S258" s="73"/>
      <c r="T258" s="46"/>
      <c r="U258" s="46">
        <f>G258*K258</f>
        <v>28342.92</v>
      </c>
      <c r="V258" s="75">
        <f>U258</f>
        <v>28342.92</v>
      </c>
    </row>
    <row r="259" spans="1:24" x14ac:dyDescent="0.25">
      <c r="A259" s="235"/>
      <c r="B259" s="110"/>
      <c r="C259" s="66" t="s">
        <v>106</v>
      </c>
      <c r="D259" s="64"/>
      <c r="E259" s="121" t="str">
        <f>E255</f>
        <v>2\15</v>
      </c>
      <c r="F259" s="121" t="str">
        <f>F255</f>
        <v>2\15</v>
      </c>
      <c r="G259" s="121" t="str">
        <f>G255</f>
        <v>2\15</v>
      </c>
      <c r="H259" s="121" t="str">
        <f>H255</f>
        <v>2\15</v>
      </c>
      <c r="I259" s="121" t="str">
        <f>I255</f>
        <v>2\15</v>
      </c>
      <c r="J259" s="73" t="s">
        <v>104</v>
      </c>
      <c r="K259" s="73" t="s">
        <v>104</v>
      </c>
      <c r="L259" s="74" t="s">
        <v>104</v>
      </c>
      <c r="M259" s="74" t="s">
        <v>104</v>
      </c>
      <c r="N259" s="74">
        <f>SUM(N255:N258)</f>
        <v>2078344.5399999998</v>
      </c>
      <c r="O259" s="74">
        <f>SUM(O255:O258)</f>
        <v>1852686.1899999997</v>
      </c>
      <c r="P259" s="74"/>
      <c r="Q259" s="74">
        <f t="shared" ref="Q259:V259" si="195">SUM(Q255:Q258)</f>
        <v>60029.850000000006</v>
      </c>
      <c r="R259" s="74"/>
      <c r="S259" s="74"/>
      <c r="T259" s="74">
        <f t="shared" si="195"/>
        <v>165628.5</v>
      </c>
      <c r="U259" s="74">
        <f t="shared" si="195"/>
        <v>2078344.5399999998</v>
      </c>
      <c r="V259" s="74">
        <f t="shared" si="195"/>
        <v>2078344.5399999998</v>
      </c>
    </row>
    <row r="260" spans="1:24" ht="105" x14ac:dyDescent="0.25">
      <c r="A260" s="235"/>
      <c r="B260" s="137" t="s">
        <v>109</v>
      </c>
      <c r="C260" s="61" t="s">
        <v>186</v>
      </c>
      <c r="D260" s="64" t="s">
        <v>101</v>
      </c>
      <c r="E260" s="60">
        <v>307</v>
      </c>
      <c r="F260" s="60">
        <v>307</v>
      </c>
      <c r="G260" s="59">
        <f t="shared" si="194"/>
        <v>307</v>
      </c>
      <c r="H260" s="60">
        <v>307</v>
      </c>
      <c r="I260" s="60">
        <v>307</v>
      </c>
      <c r="J260" s="75">
        <f>K260</f>
        <v>4982.75</v>
      </c>
      <c r="K260" s="75">
        <v>4982.75</v>
      </c>
      <c r="L260" s="72" t="s">
        <v>104</v>
      </c>
      <c r="M260" s="72" t="s">
        <v>104</v>
      </c>
      <c r="N260" s="73">
        <f>SUM(O260:T260)</f>
        <v>1529704.25</v>
      </c>
      <c r="O260" s="149">
        <f>K260*G260</f>
        <v>1529704.25</v>
      </c>
      <c r="P260" s="149"/>
      <c r="Q260" s="73" t="s">
        <v>104</v>
      </c>
      <c r="R260" s="73"/>
      <c r="S260" s="73"/>
      <c r="T260" s="73" t="s">
        <v>104</v>
      </c>
      <c r="U260" s="75">
        <f t="shared" ref="U260" si="196">H260*J260</f>
        <v>1529704.25</v>
      </c>
      <c r="V260" s="75">
        <f t="shared" ref="V260" si="197">I260*J260</f>
        <v>1529704.25</v>
      </c>
    </row>
    <row r="261" spans="1:24" x14ac:dyDescent="0.25">
      <c r="A261" s="235"/>
      <c r="B261" s="69"/>
      <c r="C261" s="66" t="s">
        <v>106</v>
      </c>
      <c r="D261" s="69"/>
      <c r="E261" s="60">
        <f>SUM(E260:E260)</f>
        <v>307</v>
      </c>
      <c r="F261" s="60">
        <f>SUM(F260:F260)</f>
        <v>307</v>
      </c>
      <c r="G261" s="60">
        <f>SUM(G260:G260)</f>
        <v>307</v>
      </c>
      <c r="H261" s="60">
        <f>SUM(H260:H260)</f>
        <v>307</v>
      </c>
      <c r="I261" s="60">
        <f>SUM(I260:I260)</f>
        <v>307</v>
      </c>
      <c r="J261" s="74" t="s">
        <v>104</v>
      </c>
      <c r="K261" s="74" t="s">
        <v>104</v>
      </c>
      <c r="L261" s="74" t="s">
        <v>104</v>
      </c>
      <c r="M261" s="74">
        <f t="shared" ref="M261:V261" si="198">SUM(M260:M260)</f>
        <v>0</v>
      </c>
      <c r="N261" s="74">
        <f t="shared" si="198"/>
        <v>1529704.25</v>
      </c>
      <c r="O261" s="74">
        <f t="shared" si="198"/>
        <v>1529704.25</v>
      </c>
      <c r="P261" s="74"/>
      <c r="Q261" s="74">
        <f t="shared" si="198"/>
        <v>0</v>
      </c>
      <c r="R261" s="74"/>
      <c r="S261" s="74"/>
      <c r="T261" s="74">
        <f t="shared" si="198"/>
        <v>0</v>
      </c>
      <c r="U261" s="74">
        <f t="shared" si="198"/>
        <v>1529704.25</v>
      </c>
      <c r="V261" s="74">
        <f t="shared" si="198"/>
        <v>1529704.25</v>
      </c>
    </row>
    <row r="262" spans="1:24" x14ac:dyDescent="0.25">
      <c r="A262" s="235"/>
      <c r="B262" s="101" t="s">
        <v>112</v>
      </c>
      <c r="C262" s="101"/>
      <c r="D262" s="69"/>
      <c r="E262" s="103"/>
      <c r="F262" s="103"/>
      <c r="G262" s="103"/>
      <c r="H262" s="103"/>
      <c r="I262" s="103"/>
      <c r="J262" s="103"/>
      <c r="K262" s="103"/>
      <c r="L262" s="103"/>
      <c r="M262" s="103"/>
      <c r="N262" s="103">
        <f t="shared" ref="N262:V262" si="199">N246+N254+N259+N261</f>
        <v>15867726.709999999</v>
      </c>
      <c r="O262" s="103">
        <f t="shared" si="199"/>
        <v>12439981.869999999</v>
      </c>
      <c r="P262" s="103"/>
      <c r="Q262" s="103">
        <f t="shared" si="199"/>
        <v>868431.83</v>
      </c>
      <c r="R262" s="103"/>
      <c r="S262" s="103"/>
      <c r="T262" s="103">
        <f t="shared" si="199"/>
        <v>2559313.0099999998</v>
      </c>
      <c r="U262" s="103">
        <f t="shared" si="199"/>
        <v>15867726.710000001</v>
      </c>
      <c r="V262" s="103">
        <f t="shared" si="199"/>
        <v>15867726.710000001</v>
      </c>
      <c r="X262" s="85"/>
    </row>
    <row r="263" spans="1:24" x14ac:dyDescent="0.25">
      <c r="A263" s="96" t="s">
        <v>156</v>
      </c>
    </row>
    <row r="264" spans="1:24" ht="30" x14ac:dyDescent="0.25">
      <c r="A264" s="109" t="s">
        <v>3</v>
      </c>
      <c r="B264" s="109" t="s">
        <v>81</v>
      </c>
      <c r="C264" s="109" t="s">
        <v>4</v>
      </c>
      <c r="D264" s="233" t="s">
        <v>5</v>
      </c>
      <c r="E264" s="233"/>
      <c r="F264" s="233"/>
      <c r="G264" s="233"/>
      <c r="H264" s="233"/>
      <c r="I264" s="234" t="s">
        <v>6</v>
      </c>
      <c r="J264" s="234" t="s">
        <v>7</v>
      </c>
      <c r="K264" s="234"/>
      <c r="L264" s="234"/>
    </row>
    <row r="265" spans="1:24" ht="30" x14ac:dyDescent="0.25">
      <c r="A265" s="82"/>
      <c r="B265" s="82"/>
      <c r="C265" s="82"/>
      <c r="D265" s="154" t="s">
        <v>176</v>
      </c>
      <c r="E265" s="155" t="s">
        <v>208</v>
      </c>
      <c r="F265" s="153" t="s">
        <v>206</v>
      </c>
      <c r="G265" s="154" t="s">
        <v>183</v>
      </c>
      <c r="H265" s="154" t="s">
        <v>211</v>
      </c>
      <c r="I265" s="234"/>
      <c r="J265" s="154" t="s">
        <v>176</v>
      </c>
      <c r="K265" s="154" t="s">
        <v>183</v>
      </c>
      <c r="L265" s="154" t="s">
        <v>205</v>
      </c>
    </row>
    <row r="266" spans="1:24" ht="94.5" customHeight="1" x14ac:dyDescent="0.25">
      <c r="A266" s="83" t="s">
        <v>13</v>
      </c>
      <c r="B266" s="83" t="s">
        <v>14</v>
      </c>
      <c r="C266" s="109" t="s">
        <v>15</v>
      </c>
      <c r="D266" s="83" t="s">
        <v>16</v>
      </c>
      <c r="E266" s="83" t="s">
        <v>16</v>
      </c>
      <c r="F266" s="83" t="s">
        <v>16</v>
      </c>
      <c r="G266" s="83" t="s">
        <v>16</v>
      </c>
      <c r="H266" s="83" t="s">
        <v>16</v>
      </c>
      <c r="I266" s="109" t="s">
        <v>17</v>
      </c>
      <c r="J266" s="109" t="s">
        <v>17</v>
      </c>
      <c r="K266" s="132" t="s">
        <v>17</v>
      </c>
      <c r="L266" s="109" t="s">
        <v>17</v>
      </c>
    </row>
    <row r="267" spans="1:24" ht="105" x14ac:dyDescent="0.25">
      <c r="A267" s="106" t="s">
        <v>157</v>
      </c>
      <c r="B267" s="109" t="s">
        <v>158</v>
      </c>
      <c r="C267" s="82" t="s">
        <v>177</v>
      </c>
      <c r="D267" s="173">
        <v>207360</v>
      </c>
      <c r="E267" s="173">
        <v>207360</v>
      </c>
      <c r="F267" s="173">
        <v>207360</v>
      </c>
      <c r="G267" s="173">
        <v>207360</v>
      </c>
      <c r="H267" s="173">
        <v>207360</v>
      </c>
      <c r="I267" s="170"/>
      <c r="J267" s="170">
        <f>I267*F267</f>
        <v>0</v>
      </c>
      <c r="K267" s="170">
        <f>I267*G267</f>
        <v>0</v>
      </c>
      <c r="L267" s="170">
        <f>K267</f>
        <v>0</v>
      </c>
      <c r="M267" s="85"/>
    </row>
    <row r="268" spans="1:24" ht="105" x14ac:dyDescent="0.25">
      <c r="A268" s="112" t="s">
        <v>160</v>
      </c>
      <c r="B268" s="109" t="s">
        <v>158</v>
      </c>
      <c r="C268" s="82" t="s">
        <v>177</v>
      </c>
      <c r="D268" s="172">
        <v>40824</v>
      </c>
      <c r="E268" s="172">
        <v>40824</v>
      </c>
      <c r="F268" s="172">
        <v>40824</v>
      </c>
      <c r="G268" s="172">
        <v>40824</v>
      </c>
      <c r="H268" s="172">
        <v>40824</v>
      </c>
      <c r="I268" s="156">
        <v>161.44</v>
      </c>
      <c r="J268" s="156">
        <f>I268*F268</f>
        <v>6590626.5599999996</v>
      </c>
      <c r="K268" s="156">
        <f>I268*G268</f>
        <v>6590626.5599999996</v>
      </c>
      <c r="L268" s="156">
        <f t="shared" ref="L268" si="200">K268</f>
        <v>6590626.5599999996</v>
      </c>
      <c r="M268" s="85"/>
    </row>
    <row r="271" spans="1:24" x14ac:dyDescent="0.25">
      <c r="A271" s="80" t="s">
        <v>178</v>
      </c>
    </row>
  </sheetData>
  <mergeCells count="41">
    <mergeCell ref="N105:V105"/>
    <mergeCell ref="A5:V5"/>
    <mergeCell ref="J8:M8"/>
    <mergeCell ref="N8:V8"/>
    <mergeCell ref="N10:T10"/>
    <mergeCell ref="A104:C104"/>
    <mergeCell ref="E9:G9"/>
    <mergeCell ref="A105:A106"/>
    <mergeCell ref="B105:B106"/>
    <mergeCell ref="D105:D106"/>
    <mergeCell ref="E105:I105"/>
    <mergeCell ref="J105:M105"/>
    <mergeCell ref="N9:T9"/>
    <mergeCell ref="C68:C69"/>
    <mergeCell ref="D68:D69"/>
    <mergeCell ref="A135:A158"/>
    <mergeCell ref="B135:B143"/>
    <mergeCell ref="B144:B149"/>
    <mergeCell ref="B151:B154"/>
    <mergeCell ref="A108:A134"/>
    <mergeCell ref="B108:B119"/>
    <mergeCell ref="B120:B125"/>
    <mergeCell ref="B127:B130"/>
    <mergeCell ref="A184:A211"/>
    <mergeCell ref="B184:B194"/>
    <mergeCell ref="B195:B202"/>
    <mergeCell ref="B204:B207"/>
    <mergeCell ref="A159:A183"/>
    <mergeCell ref="B159:B167"/>
    <mergeCell ref="B168:B173"/>
    <mergeCell ref="B175:B179"/>
    <mergeCell ref="D264:H264"/>
    <mergeCell ref="I264:I265"/>
    <mergeCell ref="J264:L264"/>
    <mergeCell ref="A212:A240"/>
    <mergeCell ref="A241:A262"/>
    <mergeCell ref="B241:B246"/>
    <mergeCell ref="B247:B249"/>
    <mergeCell ref="B232:B237"/>
    <mergeCell ref="B223:B231"/>
    <mergeCell ref="B212:B222"/>
  </mergeCells>
  <pageMargins left="0.51181102362204722" right="0.51181102362204722" top="0.35433070866141736" bottom="0.35433070866141736" header="0.31496062992125984" footer="0.31496062992125984"/>
  <pageSetup paperSize="9" scale="45" orientation="landscape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8"/>
  <sheetViews>
    <sheetView tabSelected="1" topLeftCell="I1" zoomScale="90" zoomScaleNormal="90" workbookViewId="0">
      <selection activeCell="T1" sqref="T1"/>
    </sheetView>
  </sheetViews>
  <sheetFormatPr defaultColWidth="9.140625" defaultRowHeight="15" x14ac:dyDescent="0.25"/>
  <cols>
    <col min="1" max="1" width="19.42578125" style="80" customWidth="1"/>
    <col min="2" max="2" width="28.7109375" style="80" customWidth="1"/>
    <col min="3" max="3" width="24.5703125" style="80" customWidth="1"/>
    <col min="4" max="4" width="8.7109375" style="80" customWidth="1"/>
    <col min="5" max="5" width="18.28515625" style="80" hidden="1" customWidth="1"/>
    <col min="6" max="6" width="13.28515625" style="80" hidden="1" customWidth="1"/>
    <col min="7" max="7" width="8.28515625" style="80" bestFit="1" customWidth="1"/>
    <col min="8" max="9" width="12" style="80" bestFit="1" customWidth="1"/>
    <col min="10" max="10" width="17.28515625" style="80" customWidth="1"/>
    <col min="11" max="11" width="16" style="80" customWidth="1"/>
    <col min="12" max="12" width="13.85546875" style="80" customWidth="1"/>
    <col min="13" max="13" width="13.5703125" style="80" customWidth="1"/>
    <col min="14" max="14" width="16.7109375" style="80" customWidth="1"/>
    <col min="15" max="15" width="15.42578125" style="80" customWidth="1"/>
    <col min="16" max="16" width="14.7109375" style="80" customWidth="1"/>
    <col min="17" max="17" width="21.85546875" style="80" customWidth="1"/>
    <col min="18" max="19" width="14.28515625" style="80" customWidth="1"/>
    <col min="20" max="20" width="16.140625" style="80" customWidth="1"/>
    <col min="21" max="21" width="19" style="80" customWidth="1"/>
    <col min="22" max="22" width="15.28515625" style="80" customWidth="1"/>
    <col min="23" max="23" width="13.5703125" style="80" customWidth="1"/>
    <col min="24" max="24" width="22" style="80" customWidth="1"/>
    <col min="25" max="26" width="9.140625" style="80" customWidth="1"/>
    <col min="27" max="16384" width="9.140625" style="80"/>
  </cols>
  <sheetData>
    <row r="1" spans="1:21" x14ac:dyDescent="0.25">
      <c r="T1" s="117" t="s">
        <v>272</v>
      </c>
    </row>
    <row r="2" spans="1:21" x14ac:dyDescent="0.25">
      <c r="T2" s="117" t="s">
        <v>264</v>
      </c>
    </row>
    <row r="3" spans="1:21" x14ac:dyDescent="0.25">
      <c r="R3" s="117"/>
      <c r="S3" s="117"/>
      <c r="T3" s="117" t="s">
        <v>175</v>
      </c>
    </row>
    <row r="4" spans="1:21" x14ac:dyDescent="0.25">
      <c r="R4" s="117"/>
      <c r="S4" s="117"/>
      <c r="T4" s="117" t="s">
        <v>261</v>
      </c>
    </row>
    <row r="5" spans="1:21" hidden="1" x14ac:dyDescent="0.25">
      <c r="R5" s="117" t="s">
        <v>175</v>
      </c>
      <c r="S5" s="117"/>
    </row>
    <row r="6" spans="1:21" hidden="1" x14ac:dyDescent="0.25">
      <c r="R6" s="117" t="s">
        <v>189</v>
      </c>
      <c r="S6" s="117"/>
    </row>
    <row r="7" spans="1:21" x14ac:dyDescent="0.25">
      <c r="A7" s="241" t="s">
        <v>207</v>
      </c>
      <c r="B7" s="241"/>
      <c r="C7" s="242"/>
      <c r="D7" s="241"/>
      <c r="E7" s="241"/>
      <c r="F7" s="242"/>
      <c r="G7" s="242"/>
      <c r="H7" s="241"/>
      <c r="I7" s="241"/>
      <c r="J7" s="241"/>
      <c r="K7" s="242"/>
      <c r="L7" s="241"/>
      <c r="M7" s="241"/>
      <c r="N7" s="241"/>
      <c r="O7" s="241"/>
      <c r="P7" s="242"/>
      <c r="Q7" s="242"/>
      <c r="R7" s="241"/>
      <c r="S7" s="242"/>
      <c r="T7" s="241"/>
      <c r="U7" s="241"/>
    </row>
    <row r="8" spans="1:21" x14ac:dyDescent="0.25">
      <c r="A8" s="247" t="s">
        <v>154</v>
      </c>
      <c r="B8" s="247"/>
      <c r="C8" s="247"/>
      <c r="D8" s="86"/>
      <c r="E8" s="87"/>
      <c r="F8" s="87"/>
      <c r="G8" s="87"/>
      <c r="H8" s="87"/>
      <c r="I8" s="87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</row>
    <row r="9" spans="1:21" ht="30" x14ac:dyDescent="0.25">
      <c r="A9" s="251" t="s">
        <v>3</v>
      </c>
      <c r="B9" s="251" t="s">
        <v>86</v>
      </c>
      <c r="C9" s="197" t="s">
        <v>87</v>
      </c>
      <c r="D9" s="251" t="s">
        <v>4</v>
      </c>
      <c r="E9" s="252" t="s">
        <v>5</v>
      </c>
      <c r="F9" s="252"/>
      <c r="G9" s="252"/>
      <c r="H9" s="252"/>
      <c r="I9" s="252"/>
      <c r="J9" s="240" t="s">
        <v>6</v>
      </c>
      <c r="K9" s="240"/>
      <c r="L9" s="240"/>
      <c r="M9" s="240"/>
      <c r="N9" s="240" t="s">
        <v>7</v>
      </c>
      <c r="O9" s="240"/>
      <c r="P9" s="240"/>
      <c r="Q9" s="240"/>
      <c r="R9" s="240"/>
      <c r="S9" s="240"/>
      <c r="T9" s="240"/>
      <c r="U9" s="240"/>
    </row>
    <row r="10" spans="1:21" ht="120" x14ac:dyDescent="0.25">
      <c r="A10" s="251"/>
      <c r="B10" s="251"/>
      <c r="C10" s="197"/>
      <c r="D10" s="251"/>
      <c r="E10" s="198" t="s">
        <v>176</v>
      </c>
      <c r="F10" s="198" t="s">
        <v>208</v>
      </c>
      <c r="G10" s="198" t="s">
        <v>212</v>
      </c>
      <c r="H10" s="198" t="s">
        <v>183</v>
      </c>
      <c r="I10" s="198" t="s">
        <v>205</v>
      </c>
      <c r="J10" s="194" t="s">
        <v>88</v>
      </c>
      <c r="K10" s="194" t="s">
        <v>89</v>
      </c>
      <c r="L10" s="194" t="s">
        <v>90</v>
      </c>
      <c r="M10" s="212" t="s">
        <v>91</v>
      </c>
      <c r="N10" s="217" t="s">
        <v>209</v>
      </c>
      <c r="O10" s="212" t="s">
        <v>93</v>
      </c>
      <c r="P10" s="212" t="s">
        <v>94</v>
      </c>
      <c r="Q10" s="212" t="s">
        <v>222</v>
      </c>
      <c r="R10" s="212" t="s">
        <v>95</v>
      </c>
      <c r="S10" s="212" t="s">
        <v>223</v>
      </c>
      <c r="T10" s="194" t="s">
        <v>184</v>
      </c>
      <c r="U10" s="194" t="s">
        <v>210</v>
      </c>
    </row>
    <row r="11" spans="1:21" ht="60" x14ac:dyDescent="0.25">
      <c r="A11" s="98" t="s">
        <v>13</v>
      </c>
      <c r="B11" s="98" t="s">
        <v>13</v>
      </c>
      <c r="C11" s="98"/>
      <c r="D11" s="98" t="s">
        <v>15</v>
      </c>
      <c r="E11" s="99" t="s">
        <v>16</v>
      </c>
      <c r="F11" s="99" t="s">
        <v>16</v>
      </c>
      <c r="G11" s="99"/>
      <c r="H11" s="99" t="s">
        <v>16</v>
      </c>
      <c r="I11" s="99" t="s">
        <v>16</v>
      </c>
      <c r="J11" s="194" t="s">
        <v>17</v>
      </c>
      <c r="K11" s="194" t="s">
        <v>17</v>
      </c>
      <c r="L11" s="194" t="s">
        <v>17</v>
      </c>
      <c r="M11" s="212" t="s">
        <v>17</v>
      </c>
      <c r="N11" s="217" t="s">
        <v>17</v>
      </c>
      <c r="O11" s="212" t="s">
        <v>17</v>
      </c>
      <c r="P11" s="212" t="s">
        <v>17</v>
      </c>
      <c r="Q11" s="212"/>
      <c r="R11" s="212" t="s">
        <v>17</v>
      </c>
      <c r="S11" s="212"/>
      <c r="T11" s="194" t="s">
        <v>17</v>
      </c>
      <c r="U11" s="194" t="s">
        <v>17</v>
      </c>
    </row>
    <row r="12" spans="1:21" ht="90" x14ac:dyDescent="0.25">
      <c r="A12" s="235" t="s">
        <v>98</v>
      </c>
      <c r="B12" s="237" t="s">
        <v>245</v>
      </c>
      <c r="C12" s="61" t="s">
        <v>100</v>
      </c>
      <c r="D12" s="62" t="s">
        <v>101</v>
      </c>
      <c r="E12" s="59">
        <v>268</v>
      </c>
      <c r="F12" s="59">
        <v>268</v>
      </c>
      <c r="G12" s="59">
        <f>((E12*8)+(F12*4))/12</f>
        <v>268</v>
      </c>
      <c r="H12" s="59">
        <v>268</v>
      </c>
      <c r="I12" s="59">
        <v>268</v>
      </c>
      <c r="J12" s="107">
        <f>SUM(K12:M12)</f>
        <v>44252.5462883</v>
      </c>
      <c r="K12" s="107">
        <f>22739.74+1342.39</f>
        <v>24082.13</v>
      </c>
      <c r="L12" s="70">
        <f>4001.99*2.3654</f>
        <v>9466.307146000001</v>
      </c>
      <c r="M12" s="70">
        <f>8021.06+58.14+726.2774+1087.59125+811.0404923</f>
        <v>10704.1091423</v>
      </c>
      <c r="N12" s="71">
        <f>SUM(O12:R12)</f>
        <v>11859682.5752644</v>
      </c>
      <c r="O12" s="71">
        <f>G12*K12+0.17</f>
        <v>6454011.0099999998</v>
      </c>
      <c r="P12" s="71">
        <f>G12*L12</f>
        <v>2536970.3151280005</v>
      </c>
      <c r="Q12" s="71"/>
      <c r="R12" s="75">
        <f>G12*M12</f>
        <v>2868701.2501364001</v>
      </c>
      <c r="S12" s="75"/>
      <c r="T12" s="75">
        <f>N12</f>
        <v>11859682.5752644</v>
      </c>
      <c r="U12" s="75">
        <f>T12</f>
        <v>11859682.5752644</v>
      </c>
    </row>
    <row r="13" spans="1:21" ht="90" x14ac:dyDescent="0.25">
      <c r="A13" s="235"/>
      <c r="B13" s="238"/>
      <c r="C13" s="63" t="s">
        <v>163</v>
      </c>
      <c r="D13" s="64" t="s">
        <v>101</v>
      </c>
      <c r="E13" s="59" t="s">
        <v>104</v>
      </c>
      <c r="F13" s="59" t="s">
        <v>104</v>
      </c>
      <c r="G13" s="59"/>
      <c r="H13" s="59" t="s">
        <v>104</v>
      </c>
      <c r="I13" s="59" t="s">
        <v>104</v>
      </c>
      <c r="J13" s="59" t="s">
        <v>104</v>
      </c>
      <c r="K13" s="59" t="s">
        <v>104</v>
      </c>
      <c r="L13" s="72" t="s">
        <v>104</v>
      </c>
      <c r="M13" s="72" t="s">
        <v>104</v>
      </c>
      <c r="N13" s="217"/>
      <c r="O13" s="71"/>
      <c r="P13" s="72" t="s">
        <v>104</v>
      </c>
      <c r="Q13" s="72"/>
      <c r="R13" s="72" t="s">
        <v>104</v>
      </c>
      <c r="S13" s="72"/>
      <c r="T13" s="100"/>
      <c r="U13" s="100"/>
    </row>
    <row r="14" spans="1:21" x14ac:dyDescent="0.25">
      <c r="A14" s="235"/>
      <c r="B14" s="238"/>
      <c r="C14" s="63" t="s">
        <v>164</v>
      </c>
      <c r="D14" s="64"/>
      <c r="E14" s="59"/>
      <c r="F14" s="59"/>
      <c r="G14" s="59">
        <f>((E14*8)+(F14*4))/12</f>
        <v>0</v>
      </c>
      <c r="H14" s="59"/>
      <c r="I14" s="59"/>
      <c r="J14" s="71">
        <f>K14</f>
        <v>25589.72</v>
      </c>
      <c r="K14" s="75">
        <v>25589.72</v>
      </c>
      <c r="L14" s="72" t="s">
        <v>104</v>
      </c>
      <c r="M14" s="72" t="s">
        <v>104</v>
      </c>
      <c r="N14" s="217">
        <f>O14</f>
        <v>0</v>
      </c>
      <c r="O14" s="71">
        <f>G14*K14</f>
        <v>0</v>
      </c>
      <c r="P14" s="72" t="s">
        <v>104</v>
      </c>
      <c r="Q14" s="72"/>
      <c r="R14" s="72" t="s">
        <v>104</v>
      </c>
      <c r="S14" s="72"/>
      <c r="T14" s="100">
        <f>H14*K14</f>
        <v>0</v>
      </c>
      <c r="U14" s="100">
        <f>I14*K14</f>
        <v>0</v>
      </c>
    </row>
    <row r="15" spans="1:21" x14ac:dyDescent="0.25">
      <c r="A15" s="235"/>
      <c r="B15" s="238"/>
      <c r="C15" s="63" t="s">
        <v>169</v>
      </c>
      <c r="D15" s="64"/>
      <c r="E15" s="59">
        <v>7</v>
      </c>
      <c r="F15" s="59">
        <v>7</v>
      </c>
      <c r="G15" s="59">
        <f t="shared" ref="G15:G22" si="0">((E15*8)+(F15*4))/12</f>
        <v>7</v>
      </c>
      <c r="H15" s="59">
        <v>7</v>
      </c>
      <c r="I15" s="59">
        <v>7</v>
      </c>
      <c r="J15" s="71">
        <f>K15</f>
        <v>69362.66</v>
      </c>
      <c r="K15" s="71">
        <v>69362.66</v>
      </c>
      <c r="L15" s="72" t="s">
        <v>104</v>
      </c>
      <c r="M15" s="72" t="s">
        <v>104</v>
      </c>
      <c r="N15" s="217">
        <f>O15</f>
        <v>485538.62</v>
      </c>
      <c r="O15" s="71">
        <f t="shared" ref="O15:O21" si="1">G15*K15</f>
        <v>485538.62</v>
      </c>
      <c r="P15" s="72" t="s">
        <v>104</v>
      </c>
      <c r="Q15" s="72"/>
      <c r="R15" s="72" t="s">
        <v>104</v>
      </c>
      <c r="S15" s="72"/>
      <c r="T15" s="100">
        <f>H15*K15</f>
        <v>485538.62</v>
      </c>
      <c r="U15" s="100">
        <f>I15*K15</f>
        <v>485538.62</v>
      </c>
    </row>
    <row r="16" spans="1:21" x14ac:dyDescent="0.25">
      <c r="A16" s="235"/>
      <c r="B16" s="238"/>
      <c r="C16" s="63" t="s">
        <v>165</v>
      </c>
      <c r="D16" s="64"/>
      <c r="E16" s="59">
        <v>4</v>
      </c>
      <c r="F16" s="59">
        <v>4</v>
      </c>
      <c r="G16" s="59">
        <f t="shared" si="0"/>
        <v>4</v>
      </c>
      <c r="H16" s="59">
        <v>4</v>
      </c>
      <c r="I16" s="59">
        <v>4</v>
      </c>
      <c r="J16" s="71">
        <f t="shared" ref="J16:J21" si="2">K16</f>
        <v>92468.25</v>
      </c>
      <c r="K16" s="75">
        <v>92468.25</v>
      </c>
      <c r="L16" s="72" t="s">
        <v>104</v>
      </c>
      <c r="M16" s="72" t="s">
        <v>104</v>
      </c>
      <c r="N16" s="217">
        <f t="shared" ref="N16:N21" si="3">O16</f>
        <v>369873</v>
      </c>
      <c r="O16" s="71">
        <f t="shared" si="1"/>
        <v>369873</v>
      </c>
      <c r="P16" s="72" t="s">
        <v>104</v>
      </c>
      <c r="Q16" s="72"/>
      <c r="R16" s="72" t="s">
        <v>104</v>
      </c>
      <c r="S16" s="72"/>
      <c r="T16" s="100">
        <f t="shared" ref="T16:T21" si="4">H16*K16</f>
        <v>369873</v>
      </c>
      <c r="U16" s="100">
        <f t="shared" ref="U16:U21" si="5">I16*K16</f>
        <v>369873</v>
      </c>
    </row>
    <row r="17" spans="1:24" x14ac:dyDescent="0.25">
      <c r="A17" s="235"/>
      <c r="B17" s="238"/>
      <c r="C17" s="63" t="s">
        <v>166</v>
      </c>
      <c r="D17" s="64"/>
      <c r="E17" s="59">
        <v>17</v>
      </c>
      <c r="F17" s="59">
        <v>17</v>
      </c>
      <c r="G17" s="59">
        <f t="shared" si="0"/>
        <v>17</v>
      </c>
      <c r="H17" s="59">
        <v>17</v>
      </c>
      <c r="I17" s="59">
        <v>17</v>
      </c>
      <c r="J17" s="71">
        <f t="shared" si="2"/>
        <v>66361.320000000007</v>
      </c>
      <c r="K17" s="75">
        <v>66361.320000000007</v>
      </c>
      <c r="L17" s="72" t="s">
        <v>104</v>
      </c>
      <c r="M17" s="72" t="s">
        <v>104</v>
      </c>
      <c r="N17" s="217">
        <f t="shared" si="3"/>
        <v>1128142.4400000002</v>
      </c>
      <c r="O17" s="71">
        <f t="shared" si="1"/>
        <v>1128142.4400000002</v>
      </c>
      <c r="P17" s="72" t="s">
        <v>104</v>
      </c>
      <c r="Q17" s="72"/>
      <c r="R17" s="72" t="s">
        <v>104</v>
      </c>
      <c r="S17" s="72"/>
      <c r="T17" s="100">
        <f t="shared" si="4"/>
        <v>1128142.4400000002</v>
      </c>
      <c r="U17" s="100">
        <f t="shared" si="5"/>
        <v>1128142.4400000002</v>
      </c>
    </row>
    <row r="18" spans="1:24" x14ac:dyDescent="0.25">
      <c r="A18" s="235"/>
      <c r="B18" s="238"/>
      <c r="C18" s="63" t="s">
        <v>167</v>
      </c>
      <c r="D18" s="64"/>
      <c r="E18" s="59">
        <v>1</v>
      </c>
      <c r="F18" s="59">
        <v>1</v>
      </c>
      <c r="G18" s="59">
        <f t="shared" si="0"/>
        <v>1</v>
      </c>
      <c r="H18" s="59">
        <v>1</v>
      </c>
      <c r="I18" s="59">
        <v>1</v>
      </c>
      <c r="J18" s="71">
        <f t="shared" si="2"/>
        <v>174890.83</v>
      </c>
      <c r="K18" s="75">
        <v>174890.83</v>
      </c>
      <c r="L18" s="72" t="s">
        <v>104</v>
      </c>
      <c r="M18" s="72" t="s">
        <v>104</v>
      </c>
      <c r="N18" s="217">
        <f t="shared" si="3"/>
        <v>174890.83</v>
      </c>
      <c r="O18" s="71">
        <f t="shared" si="1"/>
        <v>174890.83</v>
      </c>
      <c r="P18" s="72" t="s">
        <v>104</v>
      </c>
      <c r="Q18" s="72"/>
      <c r="R18" s="72" t="s">
        <v>104</v>
      </c>
      <c r="S18" s="72"/>
      <c r="T18" s="100">
        <f t="shared" si="4"/>
        <v>174890.83</v>
      </c>
      <c r="U18" s="100">
        <f t="shared" si="5"/>
        <v>174890.83</v>
      </c>
    </row>
    <row r="19" spans="1:24" x14ac:dyDescent="0.25">
      <c r="A19" s="235"/>
      <c r="B19" s="238"/>
      <c r="C19" s="63" t="s">
        <v>190</v>
      </c>
      <c r="D19" s="64"/>
      <c r="E19" s="59">
        <v>1</v>
      </c>
      <c r="F19" s="59">
        <v>1</v>
      </c>
      <c r="G19" s="157">
        <f t="shared" si="0"/>
        <v>1</v>
      </c>
      <c r="H19" s="59">
        <v>1</v>
      </c>
      <c r="I19" s="59">
        <v>1</v>
      </c>
      <c r="J19" s="71">
        <f t="shared" si="2"/>
        <v>178794.98</v>
      </c>
      <c r="K19" s="75">
        <v>178794.98</v>
      </c>
      <c r="L19" s="72"/>
      <c r="M19" s="72"/>
      <c r="N19" s="217">
        <f t="shared" si="3"/>
        <v>178794.98</v>
      </c>
      <c r="O19" s="71">
        <f t="shared" si="1"/>
        <v>178794.98</v>
      </c>
      <c r="P19" s="72" t="s">
        <v>104</v>
      </c>
      <c r="Q19" s="72"/>
      <c r="R19" s="72" t="s">
        <v>104</v>
      </c>
      <c r="S19" s="72"/>
      <c r="T19" s="100">
        <f t="shared" si="4"/>
        <v>178794.98</v>
      </c>
      <c r="U19" s="100">
        <f t="shared" si="5"/>
        <v>178794.98</v>
      </c>
    </row>
    <row r="20" spans="1:24" x14ac:dyDescent="0.25">
      <c r="A20" s="235"/>
      <c r="B20" s="238"/>
      <c r="C20" s="63" t="s">
        <v>170</v>
      </c>
      <c r="D20" s="64"/>
      <c r="E20" s="59">
        <v>1</v>
      </c>
      <c r="F20" s="59">
        <v>1</v>
      </c>
      <c r="G20" s="59">
        <f t="shared" si="0"/>
        <v>1</v>
      </c>
      <c r="H20" s="59">
        <v>1</v>
      </c>
      <c r="I20" s="59">
        <v>1</v>
      </c>
      <c r="J20" s="71">
        <f t="shared" si="2"/>
        <v>99648.29</v>
      </c>
      <c r="K20" s="75">
        <v>99648.29</v>
      </c>
      <c r="L20" s="72" t="s">
        <v>104</v>
      </c>
      <c r="M20" s="72" t="s">
        <v>104</v>
      </c>
      <c r="N20" s="217">
        <f t="shared" si="3"/>
        <v>99648.29</v>
      </c>
      <c r="O20" s="71">
        <f t="shared" si="1"/>
        <v>99648.29</v>
      </c>
      <c r="P20" s="72" t="s">
        <v>104</v>
      </c>
      <c r="Q20" s="72"/>
      <c r="R20" s="72" t="s">
        <v>104</v>
      </c>
      <c r="S20" s="72"/>
      <c r="T20" s="100">
        <f t="shared" si="4"/>
        <v>99648.29</v>
      </c>
      <c r="U20" s="100">
        <f t="shared" si="5"/>
        <v>99648.29</v>
      </c>
    </row>
    <row r="21" spans="1:24" x14ac:dyDescent="0.25">
      <c r="A21" s="235"/>
      <c r="B21" s="238"/>
      <c r="C21" s="63" t="s">
        <v>168</v>
      </c>
      <c r="D21" s="64"/>
      <c r="E21" s="59">
        <v>1</v>
      </c>
      <c r="F21" s="59">
        <v>1</v>
      </c>
      <c r="G21" s="157">
        <f t="shared" si="0"/>
        <v>1</v>
      </c>
      <c r="H21" s="59">
        <v>1</v>
      </c>
      <c r="I21" s="59">
        <v>1</v>
      </c>
      <c r="J21" s="71">
        <f t="shared" si="2"/>
        <v>23553.439999999999</v>
      </c>
      <c r="K21" s="75">
        <v>23553.439999999999</v>
      </c>
      <c r="L21" s="72" t="s">
        <v>104</v>
      </c>
      <c r="M21" s="72" t="s">
        <v>104</v>
      </c>
      <c r="N21" s="217">
        <f t="shared" si="3"/>
        <v>23553.439999999999</v>
      </c>
      <c r="O21" s="71">
        <f t="shared" si="1"/>
        <v>23553.439999999999</v>
      </c>
      <c r="P21" s="72" t="s">
        <v>104</v>
      </c>
      <c r="Q21" s="72"/>
      <c r="R21" s="72" t="s">
        <v>104</v>
      </c>
      <c r="S21" s="72"/>
      <c r="T21" s="100">
        <f t="shared" si="4"/>
        <v>23553.439999999999</v>
      </c>
      <c r="U21" s="100">
        <f t="shared" si="5"/>
        <v>23553.439999999999</v>
      </c>
    </row>
    <row r="22" spans="1:24" ht="120" x14ac:dyDescent="0.25">
      <c r="A22" s="235"/>
      <c r="B22" s="238"/>
      <c r="C22" s="61" t="s">
        <v>105</v>
      </c>
      <c r="D22" s="64" t="s">
        <v>101</v>
      </c>
      <c r="E22" s="59">
        <v>4</v>
      </c>
      <c r="F22" s="59">
        <v>4</v>
      </c>
      <c r="G22" s="59">
        <f t="shared" si="0"/>
        <v>4</v>
      </c>
      <c r="H22" s="59">
        <v>4</v>
      </c>
      <c r="I22" s="59">
        <v>4</v>
      </c>
      <c r="J22" s="75">
        <f>SUM(K22:M22)</f>
        <v>142925.72628830001</v>
      </c>
      <c r="K22" s="75">
        <f>121412.92+1342.39</f>
        <v>122755.31</v>
      </c>
      <c r="L22" s="72">
        <f>4001.99*2.3654</f>
        <v>9466.307146000001</v>
      </c>
      <c r="M22" s="70">
        <f>8021.06+58.14+726.2774+1087.59125+811.0404923</f>
        <v>10704.1091423</v>
      </c>
      <c r="N22" s="71">
        <f>SUM(O22:R22)</f>
        <v>571702.90515320003</v>
      </c>
      <c r="O22" s="71">
        <f>G22*K22</f>
        <v>491021.24</v>
      </c>
      <c r="P22" s="71">
        <f>G22*L22</f>
        <v>37865.228584000004</v>
      </c>
      <c r="Q22" s="71"/>
      <c r="R22" s="75">
        <f>G22*M22</f>
        <v>42816.436569199999</v>
      </c>
      <c r="S22" s="75"/>
      <c r="T22" s="100">
        <f>H22*J22</f>
        <v>571702.90515320003</v>
      </c>
      <c r="U22" s="100">
        <f t="shared" ref="U22:U118" si="6">I22*J22</f>
        <v>571702.90515320003</v>
      </c>
    </row>
    <row r="23" spans="1:24" x14ac:dyDescent="0.25">
      <c r="A23" s="235"/>
      <c r="B23" s="239"/>
      <c r="C23" s="66" t="s">
        <v>106</v>
      </c>
      <c r="D23" s="67"/>
      <c r="E23" s="59">
        <f>E12+E22</f>
        <v>272</v>
      </c>
      <c r="F23" s="59">
        <f>F12+F22</f>
        <v>272</v>
      </c>
      <c r="G23" s="59">
        <f>G12+G22</f>
        <v>272</v>
      </c>
      <c r="H23" s="59">
        <f t="shared" ref="H23:I23" si="7">H12+H22</f>
        <v>272</v>
      </c>
      <c r="I23" s="59">
        <f t="shared" si="7"/>
        <v>272</v>
      </c>
      <c r="J23" s="71" t="s">
        <v>104</v>
      </c>
      <c r="K23" s="71" t="s">
        <v>104</v>
      </c>
      <c r="L23" s="71" t="s">
        <v>104</v>
      </c>
      <c r="M23" s="71" t="s">
        <v>104</v>
      </c>
      <c r="N23" s="71">
        <f>SUM(N12:N22)</f>
        <v>14891827.080417598</v>
      </c>
      <c r="O23" s="71">
        <f t="shared" ref="O23:R23" si="8">SUM(O12:O22)</f>
        <v>9405473.8499999996</v>
      </c>
      <c r="P23" s="71">
        <f t="shared" si="8"/>
        <v>2574835.5437120004</v>
      </c>
      <c r="Q23" s="71"/>
      <c r="R23" s="71">
        <f t="shared" si="8"/>
        <v>2911517.6867056</v>
      </c>
      <c r="S23" s="71"/>
      <c r="T23" s="75">
        <f>SUM(T12:T22)</f>
        <v>14891827.080417598</v>
      </c>
      <c r="U23" s="75">
        <f>SUM(U12:U22)</f>
        <v>14891827.080417598</v>
      </c>
    </row>
    <row r="24" spans="1:24" ht="90" x14ac:dyDescent="0.25">
      <c r="A24" s="235"/>
      <c r="B24" s="236" t="s">
        <v>246</v>
      </c>
      <c r="C24" s="61" t="s">
        <v>100</v>
      </c>
      <c r="D24" s="62" t="s">
        <v>101</v>
      </c>
      <c r="E24" s="59">
        <v>226</v>
      </c>
      <c r="F24" s="59">
        <v>226</v>
      </c>
      <c r="G24" s="59">
        <f>((E24*8)+(F24*4))/12</f>
        <v>226</v>
      </c>
      <c r="H24" s="59">
        <v>226</v>
      </c>
      <c r="I24" s="59">
        <v>226</v>
      </c>
      <c r="J24" s="107">
        <f>SUM(K24:M24)</f>
        <v>56154.846288300003</v>
      </c>
      <c r="K24" s="107">
        <f>34346.05+1638.38</f>
        <v>35984.43</v>
      </c>
      <c r="L24" s="70">
        <f>4001.99*2.3654</f>
        <v>9466.307146000001</v>
      </c>
      <c r="M24" s="70">
        <f>8021.06+58.14+726.2774+1087.59125+811.0404923</f>
        <v>10704.1091423</v>
      </c>
      <c r="N24" s="71">
        <f>SUM(O24:R24)</f>
        <v>12690995.261155799</v>
      </c>
      <c r="O24" s="71">
        <f>G24*K24</f>
        <v>8132481.1799999997</v>
      </c>
      <c r="P24" s="73">
        <f>G24*L24</f>
        <v>2139385.414996</v>
      </c>
      <c r="Q24" s="73"/>
      <c r="R24" s="75">
        <f>G24*M24</f>
        <v>2419128.6661597998</v>
      </c>
      <c r="S24" s="75"/>
      <c r="T24" s="75">
        <f t="shared" ref="T24:T118" si="9">H24*J24</f>
        <v>12690995.261155801</v>
      </c>
      <c r="U24" s="75">
        <f t="shared" si="6"/>
        <v>12690995.261155801</v>
      </c>
      <c r="X24" s="85"/>
    </row>
    <row r="25" spans="1:24" ht="111.75" customHeight="1" x14ac:dyDescent="0.25">
      <c r="A25" s="235"/>
      <c r="B25" s="236"/>
      <c r="C25" s="63" t="s">
        <v>102</v>
      </c>
      <c r="D25" s="64" t="s">
        <v>101</v>
      </c>
      <c r="E25" s="59" t="s">
        <v>104</v>
      </c>
      <c r="F25" s="59" t="s">
        <v>104</v>
      </c>
      <c r="G25" s="59" t="s">
        <v>104</v>
      </c>
      <c r="H25" s="59" t="s">
        <v>104</v>
      </c>
      <c r="I25" s="59" t="s">
        <v>104</v>
      </c>
      <c r="J25" s="59" t="s">
        <v>104</v>
      </c>
      <c r="K25" s="59" t="s">
        <v>104</v>
      </c>
      <c r="L25" s="59" t="s">
        <v>104</v>
      </c>
      <c r="M25" s="59" t="s">
        <v>104</v>
      </c>
      <c r="N25" s="71"/>
      <c r="O25" s="71"/>
      <c r="P25" s="59" t="s">
        <v>104</v>
      </c>
      <c r="Q25" s="59"/>
      <c r="R25" s="59" t="s">
        <v>104</v>
      </c>
      <c r="S25" s="59"/>
      <c r="T25" s="75"/>
      <c r="U25" s="75"/>
    </row>
    <row r="26" spans="1:24" ht="20.25" customHeight="1" x14ac:dyDescent="0.25">
      <c r="A26" s="235"/>
      <c r="B26" s="236"/>
      <c r="C26" s="63" t="s">
        <v>165</v>
      </c>
      <c r="D26" s="64" t="s">
        <v>101</v>
      </c>
      <c r="E26" s="60">
        <v>2</v>
      </c>
      <c r="F26" s="60">
        <v>2</v>
      </c>
      <c r="G26" s="59">
        <f>((E26*8)+(F26*4))/12</f>
        <v>2</v>
      </c>
      <c r="H26" s="60">
        <v>2</v>
      </c>
      <c r="I26" s="60">
        <v>2</v>
      </c>
      <c r="J26" s="71">
        <f>K26</f>
        <v>92468.25</v>
      </c>
      <c r="K26" s="75">
        <v>92468.25</v>
      </c>
      <c r="L26" s="59" t="s">
        <v>104</v>
      </c>
      <c r="M26" s="59" t="s">
        <v>104</v>
      </c>
      <c r="N26" s="71">
        <f>O26</f>
        <v>184936.5</v>
      </c>
      <c r="O26" s="71">
        <f>G26*K26</f>
        <v>184936.5</v>
      </c>
      <c r="P26" s="59" t="s">
        <v>104</v>
      </c>
      <c r="Q26" s="59"/>
      <c r="R26" s="59" t="s">
        <v>104</v>
      </c>
      <c r="S26" s="59"/>
      <c r="T26" s="75">
        <f>H26*K26</f>
        <v>184936.5</v>
      </c>
      <c r="U26" s="75">
        <f>I26*K26</f>
        <v>184936.5</v>
      </c>
    </row>
    <row r="27" spans="1:24" ht="21" customHeight="1" x14ac:dyDescent="0.25">
      <c r="A27" s="235"/>
      <c r="B27" s="236"/>
      <c r="C27" s="63" t="s">
        <v>167</v>
      </c>
      <c r="D27" s="64" t="s">
        <v>101</v>
      </c>
      <c r="E27" s="60">
        <v>1</v>
      </c>
      <c r="F27" s="60">
        <v>1</v>
      </c>
      <c r="G27" s="157">
        <f t="shared" ref="G27:G29" si="10">((E27*8)+(F27*4))/12</f>
        <v>1</v>
      </c>
      <c r="H27" s="60">
        <v>1</v>
      </c>
      <c r="I27" s="60">
        <v>1</v>
      </c>
      <c r="J27" s="71">
        <f t="shared" ref="J27:J28" si="11">K27</f>
        <v>266106.15000000002</v>
      </c>
      <c r="K27" s="75">
        <v>266106.15000000002</v>
      </c>
      <c r="L27" s="59" t="s">
        <v>104</v>
      </c>
      <c r="M27" s="59" t="s">
        <v>104</v>
      </c>
      <c r="N27" s="71">
        <f t="shared" ref="N27:N28" si="12">O27</f>
        <v>266106.15000000002</v>
      </c>
      <c r="O27" s="71">
        <f t="shared" ref="O27:O28" si="13">G27*K27</f>
        <v>266106.15000000002</v>
      </c>
      <c r="P27" s="59" t="s">
        <v>104</v>
      </c>
      <c r="Q27" s="59"/>
      <c r="R27" s="59" t="s">
        <v>104</v>
      </c>
      <c r="S27" s="59"/>
      <c r="T27" s="75">
        <f t="shared" ref="T27:T28" si="14">H27*K27</f>
        <v>266106.15000000002</v>
      </c>
      <c r="U27" s="75">
        <f t="shared" ref="U27:U28" si="15">I27*K27</f>
        <v>266106.15000000002</v>
      </c>
    </row>
    <row r="28" spans="1:24" ht="21" customHeight="1" x14ac:dyDescent="0.25">
      <c r="A28" s="235"/>
      <c r="B28" s="236"/>
      <c r="C28" s="63" t="s">
        <v>168</v>
      </c>
      <c r="D28" s="64" t="s">
        <v>101</v>
      </c>
      <c r="E28" s="60">
        <v>3</v>
      </c>
      <c r="F28" s="60">
        <v>3</v>
      </c>
      <c r="G28" s="59">
        <f t="shared" si="10"/>
        <v>3</v>
      </c>
      <c r="H28" s="60">
        <v>3</v>
      </c>
      <c r="I28" s="60">
        <v>3</v>
      </c>
      <c r="J28" s="71">
        <f t="shared" si="11"/>
        <v>23553.439999999999</v>
      </c>
      <c r="K28" s="75">
        <v>23553.439999999999</v>
      </c>
      <c r="L28" s="59" t="s">
        <v>104</v>
      </c>
      <c r="M28" s="59" t="s">
        <v>104</v>
      </c>
      <c r="N28" s="71">
        <f t="shared" si="12"/>
        <v>70660.319999999992</v>
      </c>
      <c r="O28" s="71">
        <f t="shared" si="13"/>
        <v>70660.319999999992</v>
      </c>
      <c r="P28" s="59" t="s">
        <v>104</v>
      </c>
      <c r="Q28" s="59"/>
      <c r="R28" s="59" t="s">
        <v>104</v>
      </c>
      <c r="S28" s="59"/>
      <c r="T28" s="75">
        <f t="shared" si="14"/>
        <v>70660.319999999992</v>
      </c>
      <c r="U28" s="75">
        <f t="shared" si="15"/>
        <v>70660.319999999992</v>
      </c>
    </row>
    <row r="29" spans="1:24" ht="120" x14ac:dyDescent="0.25">
      <c r="A29" s="235"/>
      <c r="B29" s="236"/>
      <c r="C29" s="61" t="s">
        <v>105</v>
      </c>
      <c r="D29" s="64" t="s">
        <v>101</v>
      </c>
      <c r="E29" s="60"/>
      <c r="F29" s="60">
        <v>0</v>
      </c>
      <c r="G29" s="59">
        <f t="shared" si="10"/>
        <v>0</v>
      </c>
      <c r="H29" s="60"/>
      <c r="I29" s="60"/>
      <c r="J29" s="71">
        <f>K29</f>
        <v>153046.01</v>
      </c>
      <c r="K29" s="73">
        <f>151407.63+1638.38</f>
        <v>153046.01</v>
      </c>
      <c r="L29" s="70">
        <f>4001.99*2.3654</f>
        <v>9466.307146000001</v>
      </c>
      <c r="M29" s="70">
        <f>8021.06+58.14+726.2774+1087.59125+811.0404923</f>
        <v>10704.1091423</v>
      </c>
      <c r="N29" s="71">
        <f>SUM(O29:R29)</f>
        <v>0</v>
      </c>
      <c r="O29" s="71">
        <f>G29*K29</f>
        <v>0</v>
      </c>
      <c r="P29" s="73">
        <f>G29*L29</f>
        <v>0</v>
      </c>
      <c r="Q29" s="73"/>
      <c r="R29" s="75">
        <f>G29*M29</f>
        <v>0</v>
      </c>
      <c r="S29" s="75"/>
      <c r="T29" s="75">
        <f>N29</f>
        <v>0</v>
      </c>
      <c r="U29" s="75">
        <f>T29</f>
        <v>0</v>
      </c>
    </row>
    <row r="30" spans="1:24" x14ac:dyDescent="0.25">
      <c r="A30" s="235"/>
      <c r="B30" s="199"/>
      <c r="C30" s="66" t="s">
        <v>106</v>
      </c>
      <c r="D30" s="64"/>
      <c r="E30" s="60">
        <f>E24+E29</f>
        <v>226</v>
      </c>
      <c r="F30" s="60">
        <f>F24+F29</f>
        <v>226</v>
      </c>
      <c r="G30" s="60">
        <f>G24+G29</f>
        <v>226</v>
      </c>
      <c r="H30" s="60">
        <f t="shared" ref="H30:I30" si="16">H24+H29</f>
        <v>226</v>
      </c>
      <c r="I30" s="60">
        <f t="shared" si="16"/>
        <v>226</v>
      </c>
      <c r="J30" s="59" t="s">
        <v>104</v>
      </c>
      <c r="K30" s="59" t="s">
        <v>104</v>
      </c>
      <c r="L30" s="59" t="s">
        <v>104</v>
      </c>
      <c r="M30" s="59" t="s">
        <v>104</v>
      </c>
      <c r="N30" s="74">
        <f>SUM(N24:N29)</f>
        <v>13212698.2311558</v>
      </c>
      <c r="O30" s="74">
        <f t="shared" ref="O30:U30" si="17">SUM(O24:O29)</f>
        <v>8654184.1500000004</v>
      </c>
      <c r="P30" s="74">
        <f t="shared" si="17"/>
        <v>2139385.414996</v>
      </c>
      <c r="Q30" s="74"/>
      <c r="R30" s="74">
        <f t="shared" si="17"/>
        <v>2419128.6661597998</v>
      </c>
      <c r="S30" s="74"/>
      <c r="T30" s="74">
        <f t="shared" si="17"/>
        <v>13212698.231155802</v>
      </c>
      <c r="U30" s="74">
        <f t="shared" si="17"/>
        <v>13212698.231155802</v>
      </c>
    </row>
    <row r="31" spans="1:24" ht="82.9" customHeight="1" x14ac:dyDescent="0.25">
      <c r="A31" s="235"/>
      <c r="B31" s="237" t="s">
        <v>247</v>
      </c>
      <c r="C31" s="61" t="s">
        <v>100</v>
      </c>
      <c r="D31" s="62" t="s">
        <v>101</v>
      </c>
      <c r="E31" s="60">
        <v>50</v>
      </c>
      <c r="F31" s="60">
        <v>50</v>
      </c>
      <c r="G31" s="59">
        <f>((E31*8)+(F31*4))/12</f>
        <v>50</v>
      </c>
      <c r="H31" s="60">
        <v>50</v>
      </c>
      <c r="I31" s="60">
        <v>50</v>
      </c>
      <c r="J31" s="107">
        <f>SUM(K31:M31)</f>
        <v>63260.656288300001</v>
      </c>
      <c r="K31" s="107">
        <f>41105.12+1985.12</f>
        <v>43090.240000000005</v>
      </c>
      <c r="L31" s="70">
        <f>4001.99*2.3654</f>
        <v>9466.307146000001</v>
      </c>
      <c r="M31" s="70">
        <f>8021.06+58.14+726.2774+1087.59125+811.0404923</f>
        <v>10704.1091423</v>
      </c>
      <c r="N31" s="73">
        <f>SUM(O31:R31)</f>
        <v>3163032.8844150007</v>
      </c>
      <c r="O31" s="73">
        <f>G31*K31</f>
        <v>2154512.0000000005</v>
      </c>
      <c r="P31" s="73">
        <f>G31*L31+0.09</f>
        <v>473315.44730000006</v>
      </c>
      <c r="Q31" s="73"/>
      <c r="R31" s="75">
        <f>G31*M31-0.02</f>
        <v>535205.43711499998</v>
      </c>
      <c r="S31" s="75"/>
      <c r="T31" s="75">
        <f>N31</f>
        <v>3163032.8844150007</v>
      </c>
      <c r="U31" s="75">
        <f>T31</f>
        <v>3163032.8844150007</v>
      </c>
    </row>
    <row r="32" spans="1:24" ht="90" x14ac:dyDescent="0.25">
      <c r="A32" s="235"/>
      <c r="B32" s="238"/>
      <c r="C32" s="63" t="s">
        <v>102</v>
      </c>
      <c r="D32" s="64" t="s">
        <v>101</v>
      </c>
      <c r="E32" s="59" t="s">
        <v>104</v>
      </c>
      <c r="F32" s="59" t="s">
        <v>104</v>
      </c>
      <c r="G32" s="59" t="s">
        <v>104</v>
      </c>
      <c r="H32" s="59" t="s">
        <v>104</v>
      </c>
      <c r="I32" s="59" t="s">
        <v>104</v>
      </c>
      <c r="J32" s="59" t="s">
        <v>104</v>
      </c>
      <c r="K32" s="59" t="s">
        <v>104</v>
      </c>
      <c r="L32" s="59" t="s">
        <v>104</v>
      </c>
      <c r="M32" s="59" t="s">
        <v>104</v>
      </c>
      <c r="N32" s="71"/>
      <c r="O32" s="71"/>
      <c r="P32" s="59" t="s">
        <v>104</v>
      </c>
      <c r="Q32" s="59"/>
      <c r="R32" s="59" t="s">
        <v>104</v>
      </c>
      <c r="S32" s="59"/>
      <c r="T32" s="75"/>
      <c r="U32" s="75"/>
    </row>
    <row r="33" spans="1:24" x14ac:dyDescent="0.25">
      <c r="A33" s="235"/>
      <c r="B33" s="238"/>
      <c r="C33" s="63" t="s">
        <v>168</v>
      </c>
      <c r="D33" s="64" t="s">
        <v>101</v>
      </c>
      <c r="E33" s="59"/>
      <c r="F33" s="59"/>
      <c r="G33" s="59">
        <f>((E33*8)+(F33*4))/12</f>
        <v>0</v>
      </c>
      <c r="H33" s="59"/>
      <c r="I33" s="59"/>
      <c r="J33" s="71">
        <f t="shared" ref="J33" si="18">K33</f>
        <v>23553.439999999999</v>
      </c>
      <c r="K33" s="75">
        <v>23553.439999999999</v>
      </c>
      <c r="L33" s="59" t="s">
        <v>104</v>
      </c>
      <c r="M33" s="59" t="s">
        <v>104</v>
      </c>
      <c r="N33" s="71">
        <f t="shared" ref="N33" si="19">O33</f>
        <v>0</v>
      </c>
      <c r="O33" s="71">
        <f>G33*K33</f>
        <v>0</v>
      </c>
      <c r="P33" s="59" t="s">
        <v>104</v>
      </c>
      <c r="Q33" s="59"/>
      <c r="R33" s="59" t="s">
        <v>104</v>
      </c>
      <c r="S33" s="59"/>
      <c r="T33" s="75">
        <f t="shared" ref="T33" si="20">H33*K33</f>
        <v>0</v>
      </c>
      <c r="U33" s="75">
        <f t="shared" ref="U33" si="21">I33*K33</f>
        <v>0</v>
      </c>
    </row>
    <row r="34" spans="1:24" ht="120" x14ac:dyDescent="0.25">
      <c r="A34" s="235"/>
      <c r="B34" s="238"/>
      <c r="C34" s="61" t="s">
        <v>105</v>
      </c>
      <c r="D34" s="64" t="s">
        <v>101</v>
      </c>
      <c r="E34" s="60"/>
      <c r="F34" s="60"/>
      <c r="G34" s="60"/>
      <c r="H34" s="60"/>
      <c r="I34" s="60"/>
      <c r="J34" s="73"/>
      <c r="K34" s="73"/>
      <c r="L34" s="74"/>
      <c r="M34" s="73"/>
      <c r="N34" s="73"/>
      <c r="O34" s="73"/>
      <c r="P34" s="73"/>
      <c r="Q34" s="73"/>
      <c r="R34" s="73"/>
      <c r="S34" s="73"/>
      <c r="T34" s="75">
        <f t="shared" si="9"/>
        <v>0</v>
      </c>
      <c r="U34" s="75">
        <f t="shared" si="6"/>
        <v>0</v>
      </c>
    </row>
    <row r="35" spans="1:24" ht="90" x14ac:dyDescent="0.25">
      <c r="A35" s="235"/>
      <c r="B35" s="239"/>
      <c r="C35" s="61" t="s">
        <v>265</v>
      </c>
      <c r="D35" s="64" t="s">
        <v>101</v>
      </c>
      <c r="E35" s="60"/>
      <c r="F35" s="60"/>
      <c r="G35" s="60">
        <v>84</v>
      </c>
      <c r="H35" s="60">
        <v>84</v>
      </c>
      <c r="I35" s="60">
        <v>84</v>
      </c>
      <c r="J35" s="73">
        <f>K35+L35</f>
        <v>39950.457146000001</v>
      </c>
      <c r="K35" s="73">
        <f>28499.03+1985.12</f>
        <v>30484.149999999998</v>
      </c>
      <c r="L35" s="70">
        <f>4001.99*2.3654</f>
        <v>9466.307146000001</v>
      </c>
      <c r="M35" s="59" t="s">
        <v>104</v>
      </c>
      <c r="N35" s="73">
        <f>SUM(O35:R35)</f>
        <v>1490262.6008597317</v>
      </c>
      <c r="O35" s="73">
        <f>G35*K35/12*5.46314+0.11</f>
        <v>1165774.3646169999</v>
      </c>
      <c r="P35" s="73">
        <f>G35*L35/12*4.8969-0.68</f>
        <v>324488.2362427318</v>
      </c>
      <c r="Q35" s="59" t="s">
        <v>104</v>
      </c>
      <c r="R35" s="59" t="s">
        <v>104</v>
      </c>
      <c r="S35" s="59" t="s">
        <v>104</v>
      </c>
      <c r="T35" s="75">
        <f>N35</f>
        <v>1490262.6008597317</v>
      </c>
      <c r="U35" s="75">
        <f>T35</f>
        <v>1490262.6008597317</v>
      </c>
    </row>
    <row r="36" spans="1:24" x14ac:dyDescent="0.25">
      <c r="A36" s="235"/>
      <c r="B36" s="199"/>
      <c r="C36" s="66" t="s">
        <v>106</v>
      </c>
      <c r="D36" s="64"/>
      <c r="E36" s="60">
        <f>E31</f>
        <v>50</v>
      </c>
      <c r="F36" s="60">
        <f>F31</f>
        <v>50</v>
      </c>
      <c r="G36" s="59">
        <f t="shared" ref="G36" si="22">((E36*8)+(F36*4))/12</f>
        <v>50</v>
      </c>
      <c r="H36" s="60">
        <f>H31</f>
        <v>50</v>
      </c>
      <c r="I36" s="60">
        <f>I31</f>
        <v>50</v>
      </c>
      <c r="J36" s="73" t="s">
        <v>104</v>
      </c>
      <c r="K36" s="73" t="s">
        <v>104</v>
      </c>
      <c r="L36" s="73" t="s">
        <v>104</v>
      </c>
      <c r="M36" s="73" t="s">
        <v>104</v>
      </c>
      <c r="N36" s="74">
        <f>SUM(N31:N35)</f>
        <v>4653295.4852747321</v>
      </c>
      <c r="O36" s="74">
        <f>SUM(O31:O35)</f>
        <v>3320286.3646170003</v>
      </c>
      <c r="P36" s="74">
        <f>SUM(P31:P35)</f>
        <v>797803.68354273192</v>
      </c>
      <c r="Q36" s="74"/>
      <c r="R36" s="74">
        <f>SUM(R31:R34)</f>
        <v>535205.43711499998</v>
      </c>
      <c r="S36" s="74"/>
      <c r="T36" s="74">
        <f>SUM(T31:T35)</f>
        <v>4653295.4852747321</v>
      </c>
      <c r="U36" s="74">
        <f>SUM(U31:U35)</f>
        <v>4653295.4852747321</v>
      </c>
    </row>
    <row r="37" spans="1:24" ht="100.9" customHeight="1" x14ac:dyDescent="0.25">
      <c r="A37" s="235"/>
      <c r="B37" s="137" t="s">
        <v>248</v>
      </c>
      <c r="C37" s="61" t="s">
        <v>187</v>
      </c>
      <c r="D37" s="64" t="s">
        <v>101</v>
      </c>
      <c r="E37" s="60">
        <v>653</v>
      </c>
      <c r="F37" s="60">
        <v>653</v>
      </c>
      <c r="G37" s="59">
        <f>((E37*8)+(F37*4))/12</f>
        <v>653</v>
      </c>
      <c r="H37" s="60">
        <v>653</v>
      </c>
      <c r="I37" s="60">
        <v>653</v>
      </c>
      <c r="J37" s="75">
        <f>K37</f>
        <v>3437.2</v>
      </c>
      <c r="K37" s="75">
        <v>3437.2</v>
      </c>
      <c r="L37" s="73" t="s">
        <v>104</v>
      </c>
      <c r="M37" s="73" t="s">
        <v>104</v>
      </c>
      <c r="N37" s="73">
        <f>SUM(O37:R37)</f>
        <v>2244491</v>
      </c>
      <c r="O37" s="73">
        <f>J37*G37-0.6</f>
        <v>2244491</v>
      </c>
      <c r="P37" s="73" t="s">
        <v>104</v>
      </c>
      <c r="Q37" s="73"/>
      <c r="R37" s="73" t="s">
        <v>104</v>
      </c>
      <c r="S37" s="73"/>
      <c r="T37" s="75">
        <f>N37</f>
        <v>2244491</v>
      </c>
      <c r="U37" s="75">
        <f>T37</f>
        <v>2244491</v>
      </c>
    </row>
    <row r="38" spans="1:24" x14ac:dyDescent="0.25">
      <c r="A38" s="235"/>
      <c r="B38" s="69"/>
      <c r="C38" s="66" t="s">
        <v>106</v>
      </c>
      <c r="D38" s="69"/>
      <c r="E38" s="60">
        <f>SUM(E37:E37)</f>
        <v>653</v>
      </c>
      <c r="F38" s="60">
        <f>SUM(F37:F37)</f>
        <v>653</v>
      </c>
      <c r="G38" s="59">
        <f>G37</f>
        <v>653</v>
      </c>
      <c r="H38" s="60">
        <f>SUM(H37:H37)</f>
        <v>653</v>
      </c>
      <c r="I38" s="60">
        <f>SUM(I37:I37)</f>
        <v>653</v>
      </c>
      <c r="J38" s="73" t="s">
        <v>104</v>
      </c>
      <c r="K38" s="73" t="s">
        <v>104</v>
      </c>
      <c r="L38" s="73" t="s">
        <v>104</v>
      </c>
      <c r="M38" s="74">
        <f t="shared" ref="M38:U38" si="23">SUM(M37:M37)</f>
        <v>0</v>
      </c>
      <c r="N38" s="74">
        <f t="shared" si="23"/>
        <v>2244491</v>
      </c>
      <c r="O38" s="74">
        <f t="shared" si="23"/>
        <v>2244491</v>
      </c>
      <c r="P38" s="74">
        <f t="shared" si="23"/>
        <v>0</v>
      </c>
      <c r="Q38" s="74"/>
      <c r="R38" s="74">
        <f t="shared" si="23"/>
        <v>0</v>
      </c>
      <c r="S38" s="74"/>
      <c r="T38" s="74">
        <f t="shared" si="23"/>
        <v>2244491</v>
      </c>
      <c r="U38" s="74">
        <f t="shared" si="23"/>
        <v>2244491</v>
      </c>
    </row>
    <row r="39" spans="1:24" x14ac:dyDescent="0.25">
      <c r="A39" s="235"/>
      <c r="B39" s="89" t="s">
        <v>225</v>
      </c>
      <c r="C39" s="188" t="s">
        <v>219</v>
      </c>
      <c r="D39" s="64" t="s">
        <v>101</v>
      </c>
      <c r="E39" s="60"/>
      <c r="F39" s="60"/>
      <c r="G39" s="59">
        <v>17</v>
      </c>
      <c r="H39" s="60">
        <v>17</v>
      </c>
      <c r="I39" s="60">
        <v>17</v>
      </c>
      <c r="J39" s="73"/>
      <c r="K39" s="73"/>
      <c r="L39" s="73"/>
      <c r="M39" s="74"/>
      <c r="N39" s="74"/>
      <c r="O39" s="74"/>
      <c r="P39" s="74"/>
      <c r="Q39" s="74"/>
      <c r="R39" s="74"/>
      <c r="S39" s="74">
        <v>2716614</v>
      </c>
      <c r="T39" s="74">
        <f>S39</f>
        <v>2716614</v>
      </c>
      <c r="U39" s="74">
        <f>T39</f>
        <v>2716614</v>
      </c>
    </row>
    <row r="40" spans="1:24" x14ac:dyDescent="0.25">
      <c r="A40" s="235"/>
      <c r="B40" s="89" t="s">
        <v>225</v>
      </c>
      <c r="C40" s="188" t="s">
        <v>226</v>
      </c>
      <c r="D40" s="64" t="s">
        <v>101</v>
      </c>
      <c r="E40" s="60"/>
      <c r="F40" s="60"/>
      <c r="G40" s="59"/>
      <c r="H40" s="60"/>
      <c r="I40" s="60"/>
      <c r="J40" s="73"/>
      <c r="K40" s="73"/>
      <c r="L40" s="73"/>
      <c r="M40" s="74"/>
      <c r="N40" s="74"/>
      <c r="O40" s="74"/>
      <c r="P40" s="74"/>
      <c r="Q40" s="74"/>
      <c r="R40" s="74"/>
      <c r="S40" s="74"/>
      <c r="T40" s="74">
        <f>Q40</f>
        <v>0</v>
      </c>
      <c r="U40" s="74">
        <f>T40</f>
        <v>0</v>
      </c>
    </row>
    <row r="41" spans="1:24" x14ac:dyDescent="0.25">
      <c r="A41" s="235"/>
      <c r="B41" s="101" t="s">
        <v>112</v>
      </c>
      <c r="C41" s="101"/>
      <c r="D41" s="69"/>
      <c r="E41" s="102"/>
      <c r="F41" s="102"/>
      <c r="G41" s="102">
        <f>G23+G30+G36</f>
        <v>548</v>
      </c>
      <c r="H41" s="102">
        <f>H23+H30+H36</f>
        <v>548</v>
      </c>
      <c r="I41" s="102">
        <f>I23+I30+I36</f>
        <v>548</v>
      </c>
      <c r="J41" s="104"/>
      <c r="K41" s="104"/>
      <c r="L41" s="103"/>
      <c r="M41" s="103"/>
      <c r="N41" s="103">
        <f>SUM(O41:S41)</f>
        <v>37718925.796848133</v>
      </c>
      <c r="O41" s="103">
        <f>O23+O30+O36+O38</f>
        <v>23624435.364617001</v>
      </c>
      <c r="P41" s="103">
        <f>P23+P30+P36+P38</f>
        <v>5512024.6422507325</v>
      </c>
      <c r="Q41" s="103">
        <f>Q40</f>
        <v>0</v>
      </c>
      <c r="R41" s="103">
        <f>R23+R30+R36+R38</f>
        <v>5865851.7899803994</v>
      </c>
      <c r="S41" s="103">
        <f>S39</f>
        <v>2716614</v>
      </c>
      <c r="T41" s="103">
        <f>T23+T30+T36+T38+T39+T40</f>
        <v>37718925.796848133</v>
      </c>
      <c r="U41" s="103">
        <f>U23+U30+U36+U38+U39+U40</f>
        <v>37718925.796848133</v>
      </c>
      <c r="V41" s="80">
        <v>5865851.79</v>
      </c>
      <c r="W41" s="85">
        <f>V41-R41</f>
        <v>1.9600614905357361E-5</v>
      </c>
      <c r="X41" s="80">
        <f>W41/I41</f>
        <v>3.5767545447732408E-8</v>
      </c>
    </row>
    <row r="42" spans="1:24" ht="90" x14ac:dyDescent="0.25">
      <c r="A42" s="235" t="s">
        <v>113</v>
      </c>
      <c r="B42" s="236" t="s">
        <v>245</v>
      </c>
      <c r="C42" s="61" t="s">
        <v>100</v>
      </c>
      <c r="D42" s="62" t="s">
        <v>101</v>
      </c>
      <c r="E42" s="59">
        <v>261</v>
      </c>
      <c r="F42" s="59">
        <v>261</v>
      </c>
      <c r="G42" s="59">
        <f>((E42*8)+(F42*4))/12</f>
        <v>261</v>
      </c>
      <c r="H42" s="59">
        <v>261</v>
      </c>
      <c r="I42" s="59">
        <v>261</v>
      </c>
      <c r="J42" s="107">
        <f>SUM(K42:M42)</f>
        <v>42562.808248662004</v>
      </c>
      <c r="K42" s="107">
        <f>22739.74+1342.39</f>
        <v>24082.13</v>
      </c>
      <c r="L42" s="70">
        <f>4001.99*2.3654</f>
        <v>9466.307146000001</v>
      </c>
      <c r="M42" s="70">
        <f>8021.06+58.14+208.1749+2038.688218-1312.072243+0.380227662</f>
        <v>9014.3711026620003</v>
      </c>
      <c r="N42" s="71">
        <f>SUM(O42:R42)</f>
        <v>11108892.462900782</v>
      </c>
      <c r="O42" s="71">
        <f>G42*K42-0.49</f>
        <v>6285435.4400000004</v>
      </c>
      <c r="P42" s="71">
        <f>G42*L42</f>
        <v>2470706.1651060004</v>
      </c>
      <c r="Q42" s="71"/>
      <c r="R42" s="75">
        <f>G42*M42</f>
        <v>2352750.8577947821</v>
      </c>
      <c r="S42" s="75"/>
      <c r="T42" s="75">
        <f>N42</f>
        <v>11108892.462900782</v>
      </c>
      <c r="U42" s="75">
        <f>T42</f>
        <v>11108892.462900782</v>
      </c>
    </row>
    <row r="43" spans="1:24" ht="90" x14ac:dyDescent="0.25">
      <c r="A43" s="235"/>
      <c r="B43" s="236"/>
      <c r="C43" s="63" t="s">
        <v>163</v>
      </c>
      <c r="D43" s="64" t="s">
        <v>101</v>
      </c>
      <c r="E43" s="59" t="s">
        <v>104</v>
      </c>
      <c r="F43" s="59" t="s">
        <v>104</v>
      </c>
      <c r="G43" s="59" t="s">
        <v>104</v>
      </c>
      <c r="H43" s="59" t="s">
        <v>104</v>
      </c>
      <c r="I43" s="59" t="s">
        <v>104</v>
      </c>
      <c r="J43" s="59" t="s">
        <v>104</v>
      </c>
      <c r="K43" s="59" t="s">
        <v>104</v>
      </c>
      <c r="L43" s="59" t="s">
        <v>104</v>
      </c>
      <c r="M43" s="59" t="s">
        <v>104</v>
      </c>
      <c r="N43" s="71"/>
      <c r="O43" s="71"/>
      <c r="P43" s="59" t="s">
        <v>104</v>
      </c>
      <c r="Q43" s="59"/>
      <c r="R43" s="59" t="s">
        <v>104</v>
      </c>
      <c r="S43" s="59"/>
      <c r="T43" s="75"/>
      <c r="U43" s="75"/>
    </row>
    <row r="44" spans="1:24" x14ac:dyDescent="0.25">
      <c r="A44" s="235"/>
      <c r="B44" s="236"/>
      <c r="C44" s="63" t="s">
        <v>169</v>
      </c>
      <c r="D44" s="64" t="s">
        <v>101</v>
      </c>
      <c r="E44" s="59">
        <v>6</v>
      </c>
      <c r="F44" s="59">
        <v>6</v>
      </c>
      <c r="G44" s="59">
        <f>((E44*8)+(F44*4))/12</f>
        <v>6</v>
      </c>
      <c r="H44" s="59">
        <v>6</v>
      </c>
      <c r="I44" s="59">
        <v>6</v>
      </c>
      <c r="J44" s="75">
        <f t="shared" ref="J44:J48" si="24">K44</f>
        <v>69362.66</v>
      </c>
      <c r="K44" s="71">
        <v>69362.66</v>
      </c>
      <c r="L44" s="59"/>
      <c r="M44" s="59"/>
      <c r="N44" s="71">
        <f t="shared" ref="N44:N48" si="25">O44</f>
        <v>416175.96</v>
      </c>
      <c r="O44" s="71">
        <f t="shared" ref="O44:O49" si="26">G44*K44</f>
        <v>416175.96</v>
      </c>
      <c r="P44" s="59" t="s">
        <v>104</v>
      </c>
      <c r="Q44" s="59"/>
      <c r="R44" s="59" t="s">
        <v>104</v>
      </c>
      <c r="S44" s="59"/>
      <c r="T44" s="75">
        <f t="shared" ref="T44:T48" si="27">H44*K44</f>
        <v>416175.96</v>
      </c>
      <c r="U44" s="75">
        <f t="shared" ref="U44:U48" si="28">I44*K44</f>
        <v>416175.96</v>
      </c>
    </row>
    <row r="45" spans="1:24" x14ac:dyDescent="0.25">
      <c r="A45" s="235"/>
      <c r="B45" s="236"/>
      <c r="C45" s="63" t="s">
        <v>166</v>
      </c>
      <c r="D45" s="64" t="s">
        <v>101</v>
      </c>
      <c r="E45" s="59">
        <v>8</v>
      </c>
      <c r="F45" s="59">
        <v>8</v>
      </c>
      <c r="G45" s="59">
        <f t="shared" ref="G45:G48" si="29">((E45*8)+(F45*4))/12</f>
        <v>8</v>
      </c>
      <c r="H45" s="59">
        <v>8</v>
      </c>
      <c r="I45" s="59">
        <v>8</v>
      </c>
      <c r="J45" s="75">
        <f t="shared" si="24"/>
        <v>66361.320000000007</v>
      </c>
      <c r="K45" s="75">
        <v>66361.320000000007</v>
      </c>
      <c r="L45" s="59" t="s">
        <v>104</v>
      </c>
      <c r="M45" s="59" t="s">
        <v>104</v>
      </c>
      <c r="N45" s="71">
        <f>O45</f>
        <v>530890.56000000006</v>
      </c>
      <c r="O45" s="71">
        <f t="shared" si="26"/>
        <v>530890.56000000006</v>
      </c>
      <c r="P45" s="59" t="s">
        <v>104</v>
      </c>
      <c r="Q45" s="59"/>
      <c r="R45" s="59" t="s">
        <v>104</v>
      </c>
      <c r="S45" s="59"/>
      <c r="T45" s="75">
        <f t="shared" si="27"/>
        <v>530890.56000000006</v>
      </c>
      <c r="U45" s="75">
        <f t="shared" si="28"/>
        <v>530890.56000000006</v>
      </c>
    </row>
    <row r="46" spans="1:24" x14ac:dyDescent="0.25">
      <c r="A46" s="235"/>
      <c r="B46" s="236"/>
      <c r="C46" s="63" t="s">
        <v>167</v>
      </c>
      <c r="D46" s="64" t="s">
        <v>101</v>
      </c>
      <c r="E46" s="59">
        <v>4</v>
      </c>
      <c r="F46" s="59">
        <v>4</v>
      </c>
      <c r="G46" s="59">
        <f t="shared" si="29"/>
        <v>4</v>
      </c>
      <c r="H46" s="59">
        <v>4</v>
      </c>
      <c r="I46" s="59">
        <v>4</v>
      </c>
      <c r="J46" s="75">
        <f t="shared" si="24"/>
        <v>174890.83</v>
      </c>
      <c r="K46" s="75">
        <v>174890.83</v>
      </c>
      <c r="L46" s="59" t="s">
        <v>104</v>
      </c>
      <c r="M46" s="59" t="s">
        <v>104</v>
      </c>
      <c r="N46" s="71">
        <f t="shared" si="25"/>
        <v>699563.32</v>
      </c>
      <c r="O46" s="71">
        <f t="shared" si="26"/>
        <v>699563.32</v>
      </c>
      <c r="P46" s="59" t="s">
        <v>104</v>
      </c>
      <c r="Q46" s="59"/>
      <c r="R46" s="59" t="s">
        <v>104</v>
      </c>
      <c r="S46" s="59"/>
      <c r="T46" s="75">
        <f t="shared" si="27"/>
        <v>699563.32</v>
      </c>
      <c r="U46" s="75">
        <f t="shared" si="28"/>
        <v>699563.32</v>
      </c>
    </row>
    <row r="47" spans="1:24" x14ac:dyDescent="0.25">
      <c r="A47" s="235"/>
      <c r="B47" s="236"/>
      <c r="C47" s="63" t="s">
        <v>170</v>
      </c>
      <c r="D47" s="64" t="s">
        <v>101</v>
      </c>
      <c r="E47" s="59">
        <v>1</v>
      </c>
      <c r="F47" s="59">
        <v>1</v>
      </c>
      <c r="G47" s="59">
        <f t="shared" si="29"/>
        <v>1</v>
      </c>
      <c r="H47" s="59">
        <v>1</v>
      </c>
      <c r="I47" s="59">
        <v>1</v>
      </c>
      <c r="J47" s="75">
        <f t="shared" si="24"/>
        <v>99648.29</v>
      </c>
      <c r="K47" s="75">
        <v>99648.29</v>
      </c>
      <c r="L47" s="59"/>
      <c r="M47" s="59"/>
      <c r="N47" s="71">
        <f t="shared" si="25"/>
        <v>99648.29</v>
      </c>
      <c r="O47" s="71">
        <f t="shared" si="26"/>
        <v>99648.29</v>
      </c>
      <c r="P47" s="59" t="s">
        <v>104</v>
      </c>
      <c r="Q47" s="59"/>
      <c r="R47" s="59" t="s">
        <v>104</v>
      </c>
      <c r="S47" s="59"/>
      <c r="T47" s="75">
        <f t="shared" si="27"/>
        <v>99648.29</v>
      </c>
      <c r="U47" s="75">
        <f t="shared" si="28"/>
        <v>99648.29</v>
      </c>
    </row>
    <row r="48" spans="1:24" x14ac:dyDescent="0.25">
      <c r="A48" s="235"/>
      <c r="B48" s="236"/>
      <c r="C48" s="63" t="s">
        <v>168</v>
      </c>
      <c r="D48" s="64" t="s">
        <v>101</v>
      </c>
      <c r="E48" s="59">
        <v>1</v>
      </c>
      <c r="F48" s="59">
        <v>1</v>
      </c>
      <c r="G48" s="59">
        <f t="shared" si="29"/>
        <v>1</v>
      </c>
      <c r="H48" s="59">
        <v>1</v>
      </c>
      <c r="I48" s="59">
        <v>1</v>
      </c>
      <c r="J48" s="75">
        <f t="shared" si="24"/>
        <v>23553.439999999999</v>
      </c>
      <c r="K48" s="75">
        <v>23553.439999999999</v>
      </c>
      <c r="L48" s="59" t="s">
        <v>104</v>
      </c>
      <c r="M48" s="59" t="s">
        <v>104</v>
      </c>
      <c r="N48" s="71">
        <f t="shared" si="25"/>
        <v>23553.439999999999</v>
      </c>
      <c r="O48" s="71">
        <f t="shared" si="26"/>
        <v>23553.439999999999</v>
      </c>
      <c r="P48" s="59" t="s">
        <v>104</v>
      </c>
      <c r="Q48" s="59"/>
      <c r="R48" s="59" t="s">
        <v>104</v>
      </c>
      <c r="S48" s="59"/>
      <c r="T48" s="75">
        <f t="shared" si="27"/>
        <v>23553.439999999999</v>
      </c>
      <c r="U48" s="75">
        <f t="shared" si="28"/>
        <v>23553.439999999999</v>
      </c>
    </row>
    <row r="49" spans="1:21" ht="120" x14ac:dyDescent="0.25">
      <c r="A49" s="235"/>
      <c r="B49" s="236"/>
      <c r="C49" s="61" t="s">
        <v>105</v>
      </c>
      <c r="D49" s="64" t="s">
        <v>101</v>
      </c>
      <c r="E49" s="59"/>
      <c r="F49" s="59"/>
      <c r="G49" s="59"/>
      <c r="H49" s="59"/>
      <c r="I49" s="59"/>
      <c r="J49" s="75">
        <f>SUM(K49:M49)</f>
        <v>141235.988248662</v>
      </c>
      <c r="K49" s="75">
        <f>121412.92+1342.39</f>
        <v>122755.31</v>
      </c>
      <c r="L49" s="72">
        <f>4001.99*2.3654</f>
        <v>9466.307146000001</v>
      </c>
      <c r="M49" s="70">
        <f>8021.06+58.14+208.1749+2038.688218-1312.072243+0.380227662</f>
        <v>9014.3711026620003</v>
      </c>
      <c r="N49" s="71">
        <f>SUM(O49:R49)</f>
        <v>0</v>
      </c>
      <c r="O49" s="71">
        <f t="shared" si="26"/>
        <v>0</v>
      </c>
      <c r="P49" s="71">
        <f>G49*L49</f>
        <v>0</v>
      </c>
      <c r="Q49" s="71"/>
      <c r="R49" s="75">
        <f>G49*M49</f>
        <v>0</v>
      </c>
      <c r="S49" s="75"/>
      <c r="T49" s="75">
        <f t="shared" si="9"/>
        <v>0</v>
      </c>
      <c r="U49" s="75">
        <f t="shared" si="6"/>
        <v>0</v>
      </c>
    </row>
    <row r="50" spans="1:21" x14ac:dyDescent="0.25">
      <c r="A50" s="235"/>
      <c r="B50" s="236"/>
      <c r="C50" s="66" t="s">
        <v>106</v>
      </c>
      <c r="D50" s="67"/>
      <c r="E50" s="59">
        <f>E42+E49</f>
        <v>261</v>
      </c>
      <c r="F50" s="59">
        <f>F42+F49</f>
        <v>261</v>
      </c>
      <c r="G50" s="59">
        <f>G42+G49</f>
        <v>261</v>
      </c>
      <c r="H50" s="59">
        <f>H42+H49</f>
        <v>261</v>
      </c>
      <c r="I50" s="59">
        <f>I42+I49</f>
        <v>261</v>
      </c>
      <c r="J50" s="71" t="s">
        <v>104</v>
      </c>
      <c r="K50" s="71" t="s">
        <v>104</v>
      </c>
      <c r="L50" s="71" t="s">
        <v>104</v>
      </c>
      <c r="M50" s="71" t="s">
        <v>104</v>
      </c>
      <c r="N50" s="71">
        <f t="shared" ref="N50:R50" si="30">SUM(N42:N49)</f>
        <v>12878724.032900782</v>
      </c>
      <c r="O50" s="71">
        <f t="shared" si="30"/>
        <v>8055267.0100000016</v>
      </c>
      <c r="P50" s="71">
        <f>SUM(P42:P49)</f>
        <v>2470706.1651060004</v>
      </c>
      <c r="Q50" s="71"/>
      <c r="R50" s="71">
        <f t="shared" si="30"/>
        <v>2352750.8577947821</v>
      </c>
      <c r="S50" s="71"/>
      <c r="T50" s="75">
        <f>SUM(T42:T49)</f>
        <v>12878724.032900782</v>
      </c>
      <c r="U50" s="75">
        <f>SUM(U42:U49)</f>
        <v>12878724.032900782</v>
      </c>
    </row>
    <row r="51" spans="1:21" ht="90" x14ac:dyDescent="0.25">
      <c r="A51" s="235"/>
      <c r="B51" s="236" t="s">
        <v>246</v>
      </c>
      <c r="C51" s="61" t="s">
        <v>100</v>
      </c>
      <c r="D51" s="62" t="s">
        <v>101</v>
      </c>
      <c r="E51" s="59">
        <v>224</v>
      </c>
      <c r="F51" s="59">
        <v>224</v>
      </c>
      <c r="G51" s="59">
        <f t="shared" ref="G51" si="31">((E51*8)+(F51*4))/12</f>
        <v>224</v>
      </c>
      <c r="H51" s="59">
        <v>224</v>
      </c>
      <c r="I51" s="59">
        <v>224</v>
      </c>
      <c r="J51" s="107">
        <f>SUM(K51:M51)</f>
        <v>54465.108248662</v>
      </c>
      <c r="K51" s="107">
        <f>34346.05+1638.38</f>
        <v>35984.43</v>
      </c>
      <c r="L51" s="70">
        <f>4001.99*2.3654</f>
        <v>9466.307146000001</v>
      </c>
      <c r="M51" s="70">
        <f>8021.06+58.14+208.1749+2038.688218-1312.072243+0.380227662</f>
        <v>9014.3711026620003</v>
      </c>
      <c r="N51" s="71">
        <f>SUM(O51:R51)</f>
        <v>12200184.247700289</v>
      </c>
      <c r="O51" s="71">
        <f>G51*K51</f>
        <v>8060512.3200000003</v>
      </c>
      <c r="P51" s="71">
        <f>G51*L51</f>
        <v>2120452.8007040001</v>
      </c>
      <c r="Q51" s="71"/>
      <c r="R51" s="75">
        <f>G51*M51</f>
        <v>2019219.1269962881</v>
      </c>
      <c r="S51" s="75"/>
      <c r="T51" s="75">
        <f t="shared" si="9"/>
        <v>12200184.247700289</v>
      </c>
      <c r="U51" s="75">
        <f t="shared" si="6"/>
        <v>12200184.247700289</v>
      </c>
    </row>
    <row r="52" spans="1:21" ht="90" x14ac:dyDescent="0.25">
      <c r="A52" s="235"/>
      <c r="B52" s="236"/>
      <c r="C52" s="63" t="s">
        <v>102</v>
      </c>
      <c r="D52" s="64" t="s">
        <v>101</v>
      </c>
      <c r="E52" s="59" t="s">
        <v>104</v>
      </c>
      <c r="F52" s="59" t="s">
        <v>104</v>
      </c>
      <c r="G52" s="59" t="s">
        <v>104</v>
      </c>
      <c r="H52" s="59" t="s">
        <v>104</v>
      </c>
      <c r="I52" s="59" t="s">
        <v>104</v>
      </c>
      <c r="J52" s="59" t="s">
        <v>104</v>
      </c>
      <c r="K52" s="59" t="s">
        <v>191</v>
      </c>
      <c r="L52" s="59" t="s">
        <v>104</v>
      </c>
      <c r="M52" s="59" t="s">
        <v>104</v>
      </c>
      <c r="N52" s="71"/>
      <c r="O52" s="71"/>
      <c r="P52" s="59" t="s">
        <v>104</v>
      </c>
      <c r="Q52" s="59"/>
      <c r="R52" s="59" t="s">
        <v>104</v>
      </c>
      <c r="S52" s="59"/>
      <c r="T52" s="75"/>
      <c r="U52" s="75"/>
    </row>
    <row r="53" spans="1:21" x14ac:dyDescent="0.25">
      <c r="A53" s="235"/>
      <c r="B53" s="236"/>
      <c r="C53" s="63" t="s">
        <v>167</v>
      </c>
      <c r="D53" s="64" t="s">
        <v>101</v>
      </c>
      <c r="E53" s="60">
        <v>1</v>
      </c>
      <c r="F53" s="60">
        <v>1</v>
      </c>
      <c r="G53" s="59">
        <f t="shared" ref="G53:G60" si="32">((E53*8)+(F53*4))/12</f>
        <v>1</v>
      </c>
      <c r="H53" s="60">
        <v>1</v>
      </c>
      <c r="I53" s="60">
        <v>1</v>
      </c>
      <c r="J53" s="75">
        <f t="shared" ref="J53:J55" si="33">K53</f>
        <v>266106.15000000002</v>
      </c>
      <c r="K53" s="75">
        <v>266106.15000000002</v>
      </c>
      <c r="L53" s="59" t="s">
        <v>104</v>
      </c>
      <c r="M53" s="59" t="s">
        <v>104</v>
      </c>
      <c r="N53" s="71">
        <f t="shared" ref="N53:N55" si="34">O53</f>
        <v>266106.15000000002</v>
      </c>
      <c r="O53" s="71">
        <f>G53*K53</f>
        <v>266106.15000000002</v>
      </c>
      <c r="P53" s="59" t="s">
        <v>104</v>
      </c>
      <c r="Q53" s="59"/>
      <c r="R53" s="59" t="s">
        <v>104</v>
      </c>
      <c r="S53" s="59"/>
      <c r="T53" s="75">
        <f t="shared" ref="T53:T55" si="35">H53*K53</f>
        <v>266106.15000000002</v>
      </c>
      <c r="U53" s="75">
        <f t="shared" ref="U53:U55" si="36">I53*K53</f>
        <v>266106.15000000002</v>
      </c>
    </row>
    <row r="54" spans="1:21" x14ac:dyDescent="0.25">
      <c r="A54" s="235"/>
      <c r="B54" s="236"/>
      <c r="C54" s="63" t="s">
        <v>170</v>
      </c>
      <c r="D54" s="64" t="s">
        <v>101</v>
      </c>
      <c r="E54" s="60">
        <v>2</v>
      </c>
      <c r="F54" s="60">
        <v>2</v>
      </c>
      <c r="G54" s="59">
        <f t="shared" si="32"/>
        <v>2</v>
      </c>
      <c r="H54" s="60">
        <v>2</v>
      </c>
      <c r="I54" s="60">
        <v>2</v>
      </c>
      <c r="J54" s="75">
        <f t="shared" si="33"/>
        <v>32769.75</v>
      </c>
      <c r="K54" s="75">
        <v>32769.75</v>
      </c>
      <c r="L54" s="59" t="s">
        <v>104</v>
      </c>
      <c r="M54" s="59" t="s">
        <v>104</v>
      </c>
      <c r="N54" s="71">
        <f t="shared" si="34"/>
        <v>65539.5</v>
      </c>
      <c r="O54" s="71">
        <f t="shared" ref="O54:O55" si="37">G54*K54</f>
        <v>65539.5</v>
      </c>
      <c r="P54" s="59" t="s">
        <v>104</v>
      </c>
      <c r="Q54" s="59"/>
      <c r="R54" s="59" t="s">
        <v>104</v>
      </c>
      <c r="S54" s="59"/>
      <c r="T54" s="75">
        <f t="shared" si="35"/>
        <v>65539.5</v>
      </c>
      <c r="U54" s="75">
        <f t="shared" si="36"/>
        <v>65539.5</v>
      </c>
    </row>
    <row r="55" spans="1:21" x14ac:dyDescent="0.25">
      <c r="A55" s="235"/>
      <c r="B55" s="236"/>
      <c r="C55" s="63" t="s">
        <v>168</v>
      </c>
      <c r="D55" s="64" t="s">
        <v>101</v>
      </c>
      <c r="E55" s="60">
        <v>5</v>
      </c>
      <c r="F55" s="60">
        <v>5</v>
      </c>
      <c r="G55" s="59">
        <f t="shared" si="32"/>
        <v>5</v>
      </c>
      <c r="H55" s="60">
        <v>5</v>
      </c>
      <c r="I55" s="60">
        <v>5</v>
      </c>
      <c r="J55" s="75">
        <f t="shared" si="33"/>
        <v>23553.439999999999</v>
      </c>
      <c r="K55" s="75">
        <v>23553.439999999999</v>
      </c>
      <c r="L55" s="59" t="s">
        <v>104</v>
      </c>
      <c r="M55" s="59" t="s">
        <v>104</v>
      </c>
      <c r="N55" s="71">
        <f t="shared" si="34"/>
        <v>117767.2</v>
      </c>
      <c r="O55" s="71">
        <f t="shared" si="37"/>
        <v>117767.2</v>
      </c>
      <c r="P55" s="59" t="s">
        <v>104</v>
      </c>
      <c r="Q55" s="59"/>
      <c r="R55" s="59" t="s">
        <v>104</v>
      </c>
      <c r="S55" s="59"/>
      <c r="T55" s="75">
        <f t="shared" si="35"/>
        <v>117767.2</v>
      </c>
      <c r="U55" s="75">
        <f t="shared" si="36"/>
        <v>117767.2</v>
      </c>
    </row>
    <row r="56" spans="1:21" ht="120" x14ac:dyDescent="0.25">
      <c r="A56" s="235"/>
      <c r="B56" s="236"/>
      <c r="C56" s="61" t="s">
        <v>105</v>
      </c>
      <c r="D56" s="64" t="s">
        <v>101</v>
      </c>
      <c r="E56" s="60">
        <v>2</v>
      </c>
      <c r="F56" s="60">
        <v>2</v>
      </c>
      <c r="G56" s="59">
        <f t="shared" si="32"/>
        <v>2</v>
      </c>
      <c r="H56" s="60">
        <v>2</v>
      </c>
      <c r="I56" s="60">
        <v>2</v>
      </c>
      <c r="J56" s="75">
        <f>SUM(K56:M56)</f>
        <v>171526.68824866202</v>
      </c>
      <c r="K56" s="75">
        <f>151407.63+1638.38</f>
        <v>153046.01</v>
      </c>
      <c r="L56" s="72">
        <f>4001.99*2.3654</f>
        <v>9466.307146000001</v>
      </c>
      <c r="M56" s="70">
        <f>8021.06+58.14+208.1749+2038.688218-1312.072243+0.380227662</f>
        <v>9014.3711026620003</v>
      </c>
      <c r="N56" s="71">
        <f>SUM(O56:R56)</f>
        <v>343053.37649732403</v>
      </c>
      <c r="O56" s="71">
        <f>G56*K56</f>
        <v>306092.02</v>
      </c>
      <c r="P56" s="73">
        <f>G56*L56</f>
        <v>18932.614292000002</v>
      </c>
      <c r="Q56" s="73"/>
      <c r="R56" s="75">
        <f>G56*M56</f>
        <v>18028.742205324001</v>
      </c>
      <c r="S56" s="75"/>
      <c r="T56" s="75">
        <f t="shared" si="9"/>
        <v>343053.37649732403</v>
      </c>
      <c r="U56" s="75">
        <f t="shared" si="6"/>
        <v>343053.37649732403</v>
      </c>
    </row>
    <row r="57" spans="1:21" x14ac:dyDescent="0.25">
      <c r="A57" s="235"/>
      <c r="B57" s="199"/>
      <c r="C57" s="66" t="s">
        <v>106</v>
      </c>
      <c r="D57" s="64"/>
      <c r="E57" s="60">
        <f>E51+E56</f>
        <v>226</v>
      </c>
      <c r="F57" s="60">
        <f>F51+F56</f>
        <v>226</v>
      </c>
      <c r="G57" s="60">
        <f>G51+G56</f>
        <v>226</v>
      </c>
      <c r="H57" s="60">
        <f>H51+H56</f>
        <v>226</v>
      </c>
      <c r="I57" s="60">
        <f>I51+I56</f>
        <v>226</v>
      </c>
      <c r="J57" s="73" t="s">
        <v>104</v>
      </c>
      <c r="K57" s="73" t="s">
        <v>104</v>
      </c>
      <c r="L57" s="74" t="s">
        <v>104</v>
      </c>
      <c r="M57" s="74" t="s">
        <v>104</v>
      </c>
      <c r="N57" s="74">
        <f t="shared" ref="N57:U57" si="38">SUM(N51:N56)</f>
        <v>12992650.474197613</v>
      </c>
      <c r="O57" s="74">
        <f t="shared" si="38"/>
        <v>8816017.1899999995</v>
      </c>
      <c r="P57" s="74">
        <f t="shared" si="38"/>
        <v>2139385.414996</v>
      </c>
      <c r="Q57" s="74"/>
      <c r="R57" s="74">
        <f t="shared" si="38"/>
        <v>2037247.8692016122</v>
      </c>
      <c r="S57" s="74"/>
      <c r="T57" s="75">
        <f t="shared" si="38"/>
        <v>12992650.474197613</v>
      </c>
      <c r="U57" s="75">
        <f t="shared" si="38"/>
        <v>12992650.474197613</v>
      </c>
    </row>
    <row r="58" spans="1:21" ht="90" x14ac:dyDescent="0.25">
      <c r="A58" s="235"/>
      <c r="B58" s="236" t="s">
        <v>247</v>
      </c>
      <c r="C58" s="61" t="s">
        <v>100</v>
      </c>
      <c r="D58" s="62" t="s">
        <v>101</v>
      </c>
      <c r="E58" s="60">
        <v>39</v>
      </c>
      <c r="F58" s="60">
        <v>39</v>
      </c>
      <c r="G58" s="59">
        <f t="shared" si="32"/>
        <v>39</v>
      </c>
      <c r="H58" s="60">
        <v>39</v>
      </c>
      <c r="I58" s="60">
        <v>39</v>
      </c>
      <c r="J58" s="107">
        <f>SUM(K58:M58)</f>
        <v>61570.918248662005</v>
      </c>
      <c r="K58" s="107">
        <f>41105.12+1985.12</f>
        <v>43090.240000000005</v>
      </c>
      <c r="L58" s="70">
        <f>4001.99*2.3654</f>
        <v>9466.307146000001</v>
      </c>
      <c r="M58" s="70">
        <f>8021.06+58.14+208.1749+2038.688218-1312.072243+0.380227662</f>
        <v>9014.3711026620003</v>
      </c>
      <c r="N58" s="73">
        <f>SUM(O58:R58)</f>
        <v>2401266.0016978183</v>
      </c>
      <c r="O58" s="73">
        <f>G58*K58</f>
        <v>1680519.36</v>
      </c>
      <c r="P58" s="73">
        <f>G58*L58+0.19</f>
        <v>369186.16869400005</v>
      </c>
      <c r="Q58" s="73"/>
      <c r="R58" s="75">
        <f>G58*M58</f>
        <v>351560.47300381801</v>
      </c>
      <c r="S58" s="75"/>
      <c r="T58" s="75">
        <f>N58</f>
        <v>2401266.0016978183</v>
      </c>
      <c r="U58" s="75">
        <f>T58</f>
        <v>2401266.0016978183</v>
      </c>
    </row>
    <row r="59" spans="1:21" ht="90" x14ac:dyDescent="0.25">
      <c r="A59" s="235"/>
      <c r="B59" s="236"/>
      <c r="C59" s="63" t="s">
        <v>102</v>
      </c>
      <c r="D59" s="64" t="s">
        <v>101</v>
      </c>
      <c r="E59" s="59" t="s">
        <v>104</v>
      </c>
      <c r="F59" s="59" t="s">
        <v>104</v>
      </c>
      <c r="G59" s="59" t="s">
        <v>104</v>
      </c>
      <c r="H59" s="59" t="s">
        <v>104</v>
      </c>
      <c r="I59" s="59" t="s">
        <v>104</v>
      </c>
      <c r="J59" s="59" t="s">
        <v>104</v>
      </c>
      <c r="K59" s="59" t="s">
        <v>104</v>
      </c>
      <c r="L59" s="59" t="s">
        <v>104</v>
      </c>
      <c r="M59" s="59" t="s">
        <v>104</v>
      </c>
      <c r="N59" s="71"/>
      <c r="O59" s="71"/>
      <c r="P59" s="59" t="s">
        <v>104</v>
      </c>
      <c r="Q59" s="59"/>
      <c r="R59" s="59" t="s">
        <v>104</v>
      </c>
      <c r="S59" s="59"/>
      <c r="T59" s="75"/>
      <c r="U59" s="75"/>
    </row>
    <row r="60" spans="1:21" x14ac:dyDescent="0.25">
      <c r="A60" s="235"/>
      <c r="B60" s="236"/>
      <c r="C60" s="63" t="s">
        <v>168</v>
      </c>
      <c r="D60" s="64" t="s">
        <v>101</v>
      </c>
      <c r="E60" s="60">
        <v>1</v>
      </c>
      <c r="F60" s="60">
        <v>1</v>
      </c>
      <c r="G60" s="59">
        <f t="shared" si="32"/>
        <v>1</v>
      </c>
      <c r="H60" s="60">
        <v>1</v>
      </c>
      <c r="I60" s="60">
        <v>1</v>
      </c>
      <c r="J60" s="75">
        <f>K60</f>
        <v>23553.439999999999</v>
      </c>
      <c r="K60" s="75">
        <v>23553.439999999999</v>
      </c>
      <c r="L60" s="59" t="s">
        <v>104</v>
      </c>
      <c r="M60" s="59" t="s">
        <v>104</v>
      </c>
      <c r="N60" s="71">
        <f>O60</f>
        <v>23553.439999999999</v>
      </c>
      <c r="O60" s="71">
        <f>G60*K60</f>
        <v>23553.439999999999</v>
      </c>
      <c r="P60" s="59" t="s">
        <v>104</v>
      </c>
      <c r="Q60" s="59"/>
      <c r="R60" s="59" t="s">
        <v>104</v>
      </c>
      <c r="S60" s="59"/>
      <c r="T60" s="75">
        <f>H60*K60</f>
        <v>23553.439999999999</v>
      </c>
      <c r="U60" s="75">
        <f>I60*K60</f>
        <v>23553.439999999999</v>
      </c>
    </row>
    <row r="61" spans="1:21" ht="120" x14ac:dyDescent="0.25">
      <c r="A61" s="235"/>
      <c r="B61" s="236"/>
      <c r="C61" s="61" t="s">
        <v>105</v>
      </c>
      <c r="D61" s="64" t="s">
        <v>101</v>
      </c>
      <c r="E61" s="60">
        <v>0</v>
      </c>
      <c r="F61" s="60"/>
      <c r="G61" s="60"/>
      <c r="H61" s="60">
        <v>0</v>
      </c>
      <c r="I61" s="60">
        <v>0</v>
      </c>
      <c r="J61" s="73">
        <f>K61</f>
        <v>183387.47</v>
      </c>
      <c r="K61" s="73">
        <f>181402.35+1985.12</f>
        <v>183387.47</v>
      </c>
      <c r="L61" s="70">
        <f>4001.99*2.3654</f>
        <v>9466.307146000001</v>
      </c>
      <c r="M61" s="70">
        <f>8021.06+58.14+208.1749+2038.688218-1312.072243+0.380227662</f>
        <v>9014.3711026620003</v>
      </c>
      <c r="N61" s="71">
        <f>SUM(O61:R61)</f>
        <v>0</v>
      </c>
      <c r="O61" s="73">
        <f>G61*K61</f>
        <v>0</v>
      </c>
      <c r="P61" s="73">
        <f>E61*L61</f>
        <v>0</v>
      </c>
      <c r="Q61" s="73"/>
      <c r="R61" s="75">
        <f>G61*M61</f>
        <v>0</v>
      </c>
      <c r="S61" s="75"/>
      <c r="T61" s="75">
        <f>H61*K61</f>
        <v>0</v>
      </c>
      <c r="U61" s="75">
        <f>I61*K61</f>
        <v>0</v>
      </c>
    </row>
    <row r="62" spans="1:21" x14ac:dyDescent="0.25">
      <c r="A62" s="235"/>
      <c r="B62" s="199"/>
      <c r="C62" s="66" t="s">
        <v>106</v>
      </c>
      <c r="D62" s="64"/>
      <c r="E62" s="60">
        <f>E58+E61</f>
        <v>39</v>
      </c>
      <c r="F62" s="60">
        <f>F58+F61</f>
        <v>39</v>
      </c>
      <c r="G62" s="60">
        <f>G58+G61</f>
        <v>39</v>
      </c>
      <c r="H62" s="60">
        <f>H58+H61</f>
        <v>39</v>
      </c>
      <c r="I62" s="60">
        <f>I58+I61</f>
        <v>39</v>
      </c>
      <c r="J62" s="73" t="s">
        <v>104</v>
      </c>
      <c r="K62" s="73" t="s">
        <v>104</v>
      </c>
      <c r="L62" s="74" t="s">
        <v>104</v>
      </c>
      <c r="M62" s="74" t="s">
        <v>104</v>
      </c>
      <c r="N62" s="74">
        <f t="shared" ref="N62:R62" si="39">SUM(N58:N61)</f>
        <v>2424819.4416978182</v>
      </c>
      <c r="O62" s="74">
        <f t="shared" si="39"/>
        <v>1704072.8</v>
      </c>
      <c r="P62" s="74">
        <f t="shared" si="39"/>
        <v>369186.16869400005</v>
      </c>
      <c r="Q62" s="74"/>
      <c r="R62" s="74">
        <f t="shared" si="39"/>
        <v>351560.47300381801</v>
      </c>
      <c r="S62" s="74"/>
      <c r="T62" s="75">
        <f>SUM(T58:T61)</f>
        <v>2424819.4416978182</v>
      </c>
      <c r="U62" s="75">
        <f>SUM(U58:U61)</f>
        <v>2424819.4416978182</v>
      </c>
    </row>
    <row r="63" spans="1:21" ht="100.9" customHeight="1" x14ac:dyDescent="0.25">
      <c r="A63" s="235"/>
      <c r="B63" s="137" t="s">
        <v>248</v>
      </c>
      <c r="C63" s="61" t="s">
        <v>187</v>
      </c>
      <c r="D63" s="64" t="s">
        <v>101</v>
      </c>
      <c r="E63" s="60">
        <v>776</v>
      </c>
      <c r="F63" s="60">
        <v>776</v>
      </c>
      <c r="G63" s="59">
        <f t="shared" ref="G63" si="40">((E63*8)+(F63*4))/12</f>
        <v>776</v>
      </c>
      <c r="H63" s="60">
        <v>776</v>
      </c>
      <c r="I63" s="60">
        <v>776</v>
      </c>
      <c r="J63" s="75">
        <f>K63</f>
        <v>3437.2</v>
      </c>
      <c r="K63" s="75">
        <v>3437.2</v>
      </c>
      <c r="L63" s="72" t="s">
        <v>104</v>
      </c>
      <c r="M63" s="72" t="s">
        <v>104</v>
      </c>
      <c r="N63" s="73">
        <f>SUM(O63:R63)</f>
        <v>2667266.9999999995</v>
      </c>
      <c r="O63" s="73">
        <f>K63*G63-0.2</f>
        <v>2667266.9999999995</v>
      </c>
      <c r="P63" s="73" t="s">
        <v>104</v>
      </c>
      <c r="Q63" s="73"/>
      <c r="R63" s="73" t="s">
        <v>104</v>
      </c>
      <c r="S63" s="73"/>
      <c r="T63" s="75">
        <f>N63</f>
        <v>2667266.9999999995</v>
      </c>
      <c r="U63" s="75">
        <f>T63</f>
        <v>2667266.9999999995</v>
      </c>
    </row>
    <row r="64" spans="1:21" x14ac:dyDescent="0.25">
      <c r="A64" s="235"/>
      <c r="B64" s="69"/>
      <c r="C64" s="66" t="s">
        <v>106</v>
      </c>
      <c r="D64" s="69"/>
      <c r="E64" s="60">
        <f>SUM(E63:E63)</f>
        <v>776</v>
      </c>
      <c r="F64" s="60">
        <f>SUM(F63:F63)</f>
        <v>776</v>
      </c>
      <c r="G64" s="60">
        <f>SUM(G63:G63)</f>
        <v>776</v>
      </c>
      <c r="H64" s="60">
        <f>SUM(H63:H63)</f>
        <v>776</v>
      </c>
      <c r="I64" s="60">
        <f>SUM(I63:I63)</f>
        <v>776</v>
      </c>
      <c r="J64" s="73" t="s">
        <v>104</v>
      </c>
      <c r="K64" s="73" t="s">
        <v>104</v>
      </c>
      <c r="L64" s="74" t="s">
        <v>104</v>
      </c>
      <c r="M64" s="74">
        <f t="shared" ref="M64:R64" si="41">SUM(M63:M63)</f>
        <v>0</v>
      </c>
      <c r="N64" s="74">
        <f t="shared" si="41"/>
        <v>2667266.9999999995</v>
      </c>
      <c r="O64" s="74">
        <f t="shared" si="41"/>
        <v>2667266.9999999995</v>
      </c>
      <c r="P64" s="74">
        <f t="shared" si="41"/>
        <v>0</v>
      </c>
      <c r="Q64" s="74"/>
      <c r="R64" s="74">
        <f t="shared" si="41"/>
        <v>0</v>
      </c>
      <c r="S64" s="74"/>
      <c r="T64" s="75">
        <f>N64</f>
        <v>2667266.9999999995</v>
      </c>
      <c r="U64" s="75">
        <f>T64</f>
        <v>2667266.9999999995</v>
      </c>
    </row>
    <row r="65" spans="1:24" x14ac:dyDescent="0.25">
      <c r="A65" s="235"/>
      <c r="B65" s="89" t="s">
        <v>225</v>
      </c>
      <c r="C65" s="188" t="s">
        <v>219</v>
      </c>
      <c r="D65" s="64" t="s">
        <v>101</v>
      </c>
      <c r="E65" s="60"/>
      <c r="F65" s="60"/>
      <c r="G65" s="60">
        <v>19</v>
      </c>
      <c r="H65" s="60">
        <v>19</v>
      </c>
      <c r="I65" s="60">
        <v>19</v>
      </c>
      <c r="J65" s="73"/>
      <c r="K65" s="73"/>
      <c r="L65" s="74"/>
      <c r="M65" s="74"/>
      <c r="N65" s="74"/>
      <c r="O65" s="74"/>
      <c r="P65" s="74"/>
      <c r="Q65" s="74"/>
      <c r="R65" s="74"/>
      <c r="S65" s="74">
        <v>3089218</v>
      </c>
      <c r="T65" s="75">
        <f>S65</f>
        <v>3089218</v>
      </c>
      <c r="U65" s="75">
        <f>T65</f>
        <v>3089218</v>
      </c>
    </row>
    <row r="66" spans="1:24" x14ac:dyDescent="0.25">
      <c r="A66" s="235"/>
      <c r="B66" s="89" t="s">
        <v>225</v>
      </c>
      <c r="C66" s="188" t="s">
        <v>226</v>
      </c>
      <c r="D66" s="64" t="s">
        <v>101</v>
      </c>
      <c r="E66" s="60"/>
      <c r="F66" s="60"/>
      <c r="G66" s="60">
        <v>3</v>
      </c>
      <c r="H66" s="60">
        <v>3</v>
      </c>
      <c r="I66" s="60">
        <v>3</v>
      </c>
      <c r="J66" s="73"/>
      <c r="K66" s="73"/>
      <c r="L66" s="74"/>
      <c r="M66" s="74"/>
      <c r="N66" s="74"/>
      <c r="O66" s="74"/>
      <c r="P66" s="74"/>
      <c r="Q66" s="74">
        <f>321333.33+115665+53720</f>
        <v>490718.33</v>
      </c>
      <c r="R66" s="74"/>
      <c r="S66" s="74"/>
      <c r="T66" s="75">
        <f>Q66</f>
        <v>490718.33</v>
      </c>
      <c r="U66" s="75">
        <f>T66</f>
        <v>490718.33</v>
      </c>
    </row>
    <row r="67" spans="1:24" x14ac:dyDescent="0.25">
      <c r="A67" s="235"/>
      <c r="B67" s="101" t="s">
        <v>112</v>
      </c>
      <c r="C67" s="101"/>
      <c r="D67" s="69"/>
      <c r="E67" s="102"/>
      <c r="F67" s="102"/>
      <c r="G67" s="102">
        <f>G50+G57+G62</f>
        <v>526</v>
      </c>
      <c r="H67" s="102">
        <f t="shared" ref="H67:I67" si="42">H50+H57+H62</f>
        <v>526</v>
      </c>
      <c r="I67" s="102">
        <f t="shared" si="42"/>
        <v>526</v>
      </c>
      <c r="J67" s="104"/>
      <c r="K67" s="104"/>
      <c r="L67" s="103"/>
      <c r="M67" s="103"/>
      <c r="N67" s="103">
        <f>SUM(O67:S67)</f>
        <v>34543397.278796211</v>
      </c>
      <c r="O67" s="103">
        <f>O50+O57+O62+O64</f>
        <v>21242624.000000004</v>
      </c>
      <c r="P67" s="103">
        <f>P50+P57+P62+P64</f>
        <v>4979277.7487960001</v>
      </c>
      <c r="Q67" s="103">
        <f>Q66</f>
        <v>490718.33</v>
      </c>
      <c r="R67" s="103">
        <f>R50+R57+R62+R64</f>
        <v>4741559.2000002116</v>
      </c>
      <c r="S67" s="103">
        <f>S65</f>
        <v>3089218</v>
      </c>
      <c r="T67" s="103">
        <f>T50+T57+T62+T64+T65+T66</f>
        <v>34543397.278796211</v>
      </c>
      <c r="U67" s="103">
        <f>U50+U57+U62+U64+U65+U66</f>
        <v>34543397.278796211</v>
      </c>
      <c r="V67" s="80">
        <v>4741559.2</v>
      </c>
      <c r="W67" s="85">
        <f>V67-R67</f>
        <v>-2.1141022443771362E-7</v>
      </c>
      <c r="X67" s="80">
        <f>W67/I67</f>
        <v>-4.0192057877892326E-10</v>
      </c>
    </row>
    <row r="68" spans="1:24" ht="90" x14ac:dyDescent="0.25">
      <c r="A68" s="235" t="s">
        <v>114</v>
      </c>
      <c r="B68" s="236" t="s">
        <v>245</v>
      </c>
      <c r="C68" s="61" t="s">
        <v>100</v>
      </c>
      <c r="D68" s="62" t="s">
        <v>101</v>
      </c>
      <c r="E68" s="59">
        <v>211</v>
      </c>
      <c r="F68" s="59">
        <v>211</v>
      </c>
      <c r="G68" s="59">
        <f t="shared" ref="G68:G90" si="43">((E68*8)+(F68*4))/12</f>
        <v>211</v>
      </c>
      <c r="H68" s="59">
        <v>211</v>
      </c>
      <c r="I68" s="59">
        <v>211</v>
      </c>
      <c r="J68" s="107">
        <f>SUM(K68:M68)</f>
        <v>41737.888391100001</v>
      </c>
      <c r="K68" s="107">
        <f>22739.74+1342.39</f>
        <v>24082.13</v>
      </c>
      <c r="L68" s="70">
        <f>4001.99*2.3654</f>
        <v>9466.307146000001</v>
      </c>
      <c r="M68" s="70">
        <f>8021.06+58.14+110.2512451</f>
        <v>8189.451245100001</v>
      </c>
      <c r="N68" s="71">
        <f>SUM(O68:R68)</f>
        <v>8806694.0405221004</v>
      </c>
      <c r="O68" s="71">
        <f>G68*K68-0.41</f>
        <v>5081329.0200000005</v>
      </c>
      <c r="P68" s="71">
        <f>G68*L68</f>
        <v>1997390.8078060001</v>
      </c>
      <c r="Q68" s="71"/>
      <c r="R68" s="75">
        <f>G68*M68</f>
        <v>1727974.2127161003</v>
      </c>
      <c r="S68" s="75"/>
      <c r="T68" s="75">
        <f>N68</f>
        <v>8806694.0405221004</v>
      </c>
      <c r="U68" s="75">
        <f>T68</f>
        <v>8806694.0405221004</v>
      </c>
    </row>
    <row r="69" spans="1:24" ht="90" x14ac:dyDescent="0.25">
      <c r="A69" s="235"/>
      <c r="B69" s="236"/>
      <c r="C69" s="63" t="s">
        <v>163</v>
      </c>
      <c r="D69" s="64" t="s">
        <v>101</v>
      </c>
      <c r="E69" s="59" t="s">
        <v>104</v>
      </c>
      <c r="F69" s="59" t="s">
        <v>104</v>
      </c>
      <c r="G69" s="59" t="s">
        <v>104</v>
      </c>
      <c r="H69" s="59" t="s">
        <v>104</v>
      </c>
      <c r="I69" s="59" t="s">
        <v>104</v>
      </c>
      <c r="J69" s="59" t="s">
        <v>104</v>
      </c>
      <c r="K69" s="59" t="s">
        <v>104</v>
      </c>
      <c r="L69" s="59" t="s">
        <v>104</v>
      </c>
      <c r="M69" s="59" t="s">
        <v>104</v>
      </c>
      <c r="N69" s="59"/>
      <c r="O69" s="59"/>
      <c r="P69" s="59" t="s">
        <v>104</v>
      </c>
      <c r="Q69" s="59"/>
      <c r="R69" s="59" t="s">
        <v>104</v>
      </c>
      <c r="S69" s="59"/>
      <c r="T69" s="75"/>
      <c r="U69" s="75"/>
    </row>
    <row r="70" spans="1:24" x14ac:dyDescent="0.25">
      <c r="A70" s="235"/>
      <c r="B70" s="236"/>
      <c r="C70" s="63" t="s">
        <v>171</v>
      </c>
      <c r="D70" s="64" t="s">
        <v>101</v>
      </c>
      <c r="E70" s="59">
        <v>1</v>
      </c>
      <c r="F70" s="59">
        <v>1</v>
      </c>
      <c r="G70" s="59">
        <f t="shared" si="43"/>
        <v>1</v>
      </c>
      <c r="H70" s="59">
        <v>1</v>
      </c>
      <c r="I70" s="59">
        <v>1</v>
      </c>
      <c r="J70" s="75">
        <f t="shared" ref="J70:J74" si="44">K70</f>
        <v>69362.66</v>
      </c>
      <c r="K70" s="75">
        <v>69362.66</v>
      </c>
      <c r="L70" s="59" t="s">
        <v>104</v>
      </c>
      <c r="M70" s="59" t="s">
        <v>104</v>
      </c>
      <c r="N70" s="71">
        <f>O70</f>
        <v>69362.66</v>
      </c>
      <c r="O70" s="71">
        <f>G70*K70</f>
        <v>69362.66</v>
      </c>
      <c r="P70" s="59" t="s">
        <v>104</v>
      </c>
      <c r="Q70" s="59"/>
      <c r="R70" s="59" t="s">
        <v>104</v>
      </c>
      <c r="S70" s="59"/>
      <c r="T70" s="75">
        <f>H70*K70</f>
        <v>69362.66</v>
      </c>
      <c r="U70" s="75">
        <f>I70*K70</f>
        <v>69362.66</v>
      </c>
    </row>
    <row r="71" spans="1:24" x14ac:dyDescent="0.25">
      <c r="A71" s="235"/>
      <c r="B71" s="236"/>
      <c r="C71" s="63" t="s">
        <v>164</v>
      </c>
      <c r="D71" s="64" t="s">
        <v>101</v>
      </c>
      <c r="E71" s="59">
        <v>4</v>
      </c>
      <c r="F71" s="59">
        <v>4</v>
      </c>
      <c r="G71" s="59">
        <f t="shared" si="43"/>
        <v>4</v>
      </c>
      <c r="H71" s="59">
        <v>4</v>
      </c>
      <c r="I71" s="59">
        <v>4</v>
      </c>
      <c r="J71" s="75">
        <f t="shared" si="44"/>
        <v>25589.72</v>
      </c>
      <c r="K71" s="75">
        <v>25589.72</v>
      </c>
      <c r="L71" s="59" t="s">
        <v>104</v>
      </c>
      <c r="M71" s="59" t="s">
        <v>104</v>
      </c>
      <c r="N71" s="71">
        <f>O71</f>
        <v>102358.88</v>
      </c>
      <c r="O71" s="71">
        <f t="shared" ref="O71:O75" si="45">G71*K71</f>
        <v>102358.88</v>
      </c>
      <c r="P71" s="59" t="s">
        <v>104</v>
      </c>
      <c r="Q71" s="59"/>
      <c r="R71" s="59" t="s">
        <v>104</v>
      </c>
      <c r="S71" s="59"/>
      <c r="T71" s="75">
        <f>H71*K71</f>
        <v>102358.88</v>
      </c>
      <c r="U71" s="75">
        <f>I71*K71</f>
        <v>102358.88</v>
      </c>
    </row>
    <row r="72" spans="1:24" x14ac:dyDescent="0.25">
      <c r="A72" s="235"/>
      <c r="B72" s="236"/>
      <c r="C72" s="63" t="s">
        <v>169</v>
      </c>
      <c r="D72" s="64" t="s">
        <v>101</v>
      </c>
      <c r="E72" s="59">
        <v>7</v>
      </c>
      <c r="F72" s="59">
        <v>7</v>
      </c>
      <c r="G72" s="59">
        <f t="shared" si="43"/>
        <v>7</v>
      </c>
      <c r="H72" s="59">
        <v>7</v>
      </c>
      <c r="I72" s="59">
        <v>7</v>
      </c>
      <c r="J72" s="75">
        <f t="shared" si="44"/>
        <v>69362.66</v>
      </c>
      <c r="K72" s="75">
        <v>69362.66</v>
      </c>
      <c r="L72" s="59" t="s">
        <v>104</v>
      </c>
      <c r="M72" s="59" t="s">
        <v>104</v>
      </c>
      <c r="N72" s="71">
        <f t="shared" ref="N72:N74" si="46">O72</f>
        <v>485538.62</v>
      </c>
      <c r="O72" s="71">
        <f t="shared" si="45"/>
        <v>485538.62</v>
      </c>
      <c r="P72" s="59" t="s">
        <v>104</v>
      </c>
      <c r="Q72" s="59"/>
      <c r="R72" s="59" t="s">
        <v>104</v>
      </c>
      <c r="S72" s="59"/>
      <c r="T72" s="75">
        <f t="shared" ref="T72:T74" si="47">H72*K72</f>
        <v>485538.62</v>
      </c>
      <c r="U72" s="75">
        <f t="shared" ref="U72:U74" si="48">I72*K72</f>
        <v>485538.62</v>
      </c>
    </row>
    <row r="73" spans="1:24" x14ac:dyDescent="0.25">
      <c r="A73" s="235"/>
      <c r="B73" s="236"/>
      <c r="C73" s="63" t="s">
        <v>166</v>
      </c>
      <c r="D73" s="64" t="s">
        <v>101</v>
      </c>
      <c r="E73" s="59">
        <v>4</v>
      </c>
      <c r="F73" s="59">
        <v>4</v>
      </c>
      <c r="G73" s="59">
        <f t="shared" si="43"/>
        <v>4</v>
      </c>
      <c r="H73" s="59">
        <v>4</v>
      </c>
      <c r="I73" s="59">
        <v>4</v>
      </c>
      <c r="J73" s="75">
        <f t="shared" si="44"/>
        <v>66361.320000000007</v>
      </c>
      <c r="K73" s="75">
        <v>66361.320000000007</v>
      </c>
      <c r="L73" s="59" t="s">
        <v>104</v>
      </c>
      <c r="M73" s="59" t="s">
        <v>104</v>
      </c>
      <c r="N73" s="71">
        <f t="shared" si="46"/>
        <v>265445.28000000003</v>
      </c>
      <c r="O73" s="71">
        <f t="shared" si="45"/>
        <v>265445.28000000003</v>
      </c>
      <c r="P73" s="59" t="s">
        <v>104</v>
      </c>
      <c r="Q73" s="59"/>
      <c r="R73" s="59" t="s">
        <v>104</v>
      </c>
      <c r="S73" s="59"/>
      <c r="T73" s="75">
        <f t="shared" si="47"/>
        <v>265445.28000000003</v>
      </c>
      <c r="U73" s="75">
        <f t="shared" si="48"/>
        <v>265445.28000000003</v>
      </c>
    </row>
    <row r="74" spans="1:24" x14ac:dyDescent="0.25">
      <c r="A74" s="235"/>
      <c r="B74" s="236"/>
      <c r="C74" s="63" t="s">
        <v>168</v>
      </c>
      <c r="D74" s="64" t="s">
        <v>101</v>
      </c>
      <c r="E74" s="59">
        <v>1</v>
      </c>
      <c r="F74" s="59">
        <v>1</v>
      </c>
      <c r="G74" s="59">
        <f t="shared" si="43"/>
        <v>1</v>
      </c>
      <c r="H74" s="59">
        <v>1</v>
      </c>
      <c r="I74" s="59">
        <v>1</v>
      </c>
      <c r="J74" s="75">
        <f t="shared" si="44"/>
        <v>23553.439999999999</v>
      </c>
      <c r="K74" s="75">
        <v>23553.439999999999</v>
      </c>
      <c r="L74" s="59" t="s">
        <v>104</v>
      </c>
      <c r="M74" s="59" t="s">
        <v>104</v>
      </c>
      <c r="N74" s="71">
        <f t="shared" si="46"/>
        <v>23553.439999999999</v>
      </c>
      <c r="O74" s="71">
        <f t="shared" si="45"/>
        <v>23553.439999999999</v>
      </c>
      <c r="P74" s="59" t="s">
        <v>104</v>
      </c>
      <c r="Q74" s="59"/>
      <c r="R74" s="59" t="s">
        <v>104</v>
      </c>
      <c r="S74" s="59"/>
      <c r="T74" s="75">
        <f t="shared" si="47"/>
        <v>23553.439999999999</v>
      </c>
      <c r="U74" s="75">
        <f t="shared" si="48"/>
        <v>23553.439999999999</v>
      </c>
    </row>
    <row r="75" spans="1:24" ht="120" x14ac:dyDescent="0.25">
      <c r="A75" s="235"/>
      <c r="B75" s="236"/>
      <c r="C75" s="61" t="s">
        <v>105</v>
      </c>
      <c r="D75" s="64" t="s">
        <v>101</v>
      </c>
      <c r="E75" s="59">
        <v>1</v>
      </c>
      <c r="F75" s="59">
        <v>1</v>
      </c>
      <c r="G75" s="59">
        <f t="shared" si="43"/>
        <v>1</v>
      </c>
      <c r="H75" s="59">
        <v>1</v>
      </c>
      <c r="I75" s="59">
        <v>1</v>
      </c>
      <c r="J75" s="75">
        <f>SUM(K75:M75)</f>
        <v>140411.06839110001</v>
      </c>
      <c r="K75" s="75">
        <f>121412.92+1342.39</f>
        <v>122755.31</v>
      </c>
      <c r="L75" s="72">
        <f>4001.99*2.3654</f>
        <v>9466.307146000001</v>
      </c>
      <c r="M75" s="70">
        <f>8021.06+58.14+110.2512451</f>
        <v>8189.451245100001</v>
      </c>
      <c r="N75" s="71">
        <f>SUM(O75:R75)</f>
        <v>140411.06839110001</v>
      </c>
      <c r="O75" s="71">
        <f t="shared" si="45"/>
        <v>122755.31</v>
      </c>
      <c r="P75" s="71">
        <f>G75*L75</f>
        <v>9466.307146000001</v>
      </c>
      <c r="Q75" s="71"/>
      <c r="R75" s="75">
        <f>G75*M75</f>
        <v>8189.451245100001</v>
      </c>
      <c r="S75" s="75"/>
      <c r="T75" s="75">
        <f t="shared" si="9"/>
        <v>140411.06839110001</v>
      </c>
      <c r="U75" s="75">
        <f t="shared" si="6"/>
        <v>140411.06839110001</v>
      </c>
    </row>
    <row r="76" spans="1:24" x14ac:dyDescent="0.25">
      <c r="A76" s="235"/>
      <c r="B76" s="236"/>
      <c r="C76" s="66" t="s">
        <v>106</v>
      </c>
      <c r="D76" s="67"/>
      <c r="E76" s="59">
        <f>E68+E75</f>
        <v>212</v>
      </c>
      <c r="F76" s="59">
        <f t="shared" ref="F76:I76" si="49">F68+F75</f>
        <v>212</v>
      </c>
      <c r="G76" s="59">
        <f>G68+G75</f>
        <v>212</v>
      </c>
      <c r="H76" s="59">
        <f t="shared" si="49"/>
        <v>212</v>
      </c>
      <c r="I76" s="59">
        <f t="shared" si="49"/>
        <v>212</v>
      </c>
      <c r="J76" s="71" t="s">
        <v>104</v>
      </c>
      <c r="K76" s="71" t="s">
        <v>104</v>
      </c>
      <c r="L76" s="71" t="s">
        <v>104</v>
      </c>
      <c r="M76" s="71" t="s">
        <v>104</v>
      </c>
      <c r="N76" s="71">
        <f t="shared" ref="N76:R76" si="50">SUM(N68:N75)</f>
        <v>9893363.9889131989</v>
      </c>
      <c r="O76" s="71">
        <f t="shared" si="50"/>
        <v>6150343.2100000009</v>
      </c>
      <c r="P76" s="71">
        <f t="shared" si="50"/>
        <v>2006857.1149520001</v>
      </c>
      <c r="Q76" s="71"/>
      <c r="R76" s="71">
        <f t="shared" si="50"/>
        <v>1736163.6639612003</v>
      </c>
      <c r="S76" s="71"/>
      <c r="T76" s="71">
        <f>N76</f>
        <v>9893363.9889131989</v>
      </c>
      <c r="U76" s="71">
        <f>T76</f>
        <v>9893363.9889131989</v>
      </c>
    </row>
    <row r="77" spans="1:24" ht="90" x14ac:dyDescent="0.25">
      <c r="A77" s="235"/>
      <c r="B77" s="236" t="s">
        <v>246</v>
      </c>
      <c r="C77" s="61" t="s">
        <v>100</v>
      </c>
      <c r="D77" s="62" t="s">
        <v>101</v>
      </c>
      <c r="E77" s="59">
        <v>223</v>
      </c>
      <c r="F77" s="59">
        <v>223</v>
      </c>
      <c r="G77" s="59">
        <f t="shared" si="43"/>
        <v>223</v>
      </c>
      <c r="H77" s="59">
        <v>223</v>
      </c>
      <c r="I77" s="59">
        <v>223</v>
      </c>
      <c r="J77" s="107">
        <f>SUM(K77:M77)</f>
        <v>53640.188391100004</v>
      </c>
      <c r="K77" s="107">
        <f>34346.05+1638.38</f>
        <v>35984.43</v>
      </c>
      <c r="L77" s="70">
        <f>4001.99*2.3654</f>
        <v>9466.307146000001</v>
      </c>
      <c r="M77" s="70">
        <f>8021.06+58.14+110.2512451</f>
        <v>8189.451245100001</v>
      </c>
      <c r="N77" s="71">
        <f>SUM(O77:R77)</f>
        <v>11961762.011215299</v>
      </c>
      <c r="O77" s="71">
        <f>G77*K77</f>
        <v>8024527.8899999997</v>
      </c>
      <c r="P77" s="71">
        <f>G77*L77</f>
        <v>2110986.4935580003</v>
      </c>
      <c r="Q77" s="71"/>
      <c r="R77" s="75">
        <f>G77*M77</f>
        <v>1826247.6276573003</v>
      </c>
      <c r="S77" s="75"/>
      <c r="T77" s="75">
        <f t="shared" si="9"/>
        <v>11961762.011215301</v>
      </c>
      <c r="U77" s="75">
        <f t="shared" si="6"/>
        <v>11961762.011215301</v>
      </c>
    </row>
    <row r="78" spans="1:24" ht="90" x14ac:dyDescent="0.25">
      <c r="A78" s="235"/>
      <c r="B78" s="236"/>
      <c r="C78" s="63" t="s">
        <v>163</v>
      </c>
      <c r="D78" s="64" t="s">
        <v>101</v>
      </c>
      <c r="E78" s="59" t="s">
        <v>104</v>
      </c>
      <c r="F78" s="59" t="s">
        <v>104</v>
      </c>
      <c r="G78" s="59" t="s">
        <v>104</v>
      </c>
      <c r="H78" s="59" t="s">
        <v>104</v>
      </c>
      <c r="I78" s="59" t="s">
        <v>104</v>
      </c>
      <c r="J78" s="59" t="s">
        <v>104</v>
      </c>
      <c r="K78" s="59" t="s">
        <v>104</v>
      </c>
      <c r="L78" s="59" t="s">
        <v>104</v>
      </c>
      <c r="M78" s="59" t="s">
        <v>104</v>
      </c>
      <c r="N78" s="71"/>
      <c r="O78" s="71"/>
      <c r="P78" s="59" t="s">
        <v>104</v>
      </c>
      <c r="Q78" s="59"/>
      <c r="R78" s="59" t="s">
        <v>104</v>
      </c>
      <c r="S78" s="59"/>
      <c r="T78" s="75"/>
      <c r="U78" s="75"/>
    </row>
    <row r="79" spans="1:24" x14ac:dyDescent="0.25">
      <c r="A79" s="235"/>
      <c r="B79" s="236"/>
      <c r="C79" s="63" t="s">
        <v>171</v>
      </c>
      <c r="D79" s="64" t="s">
        <v>101</v>
      </c>
      <c r="E79" s="60">
        <v>1</v>
      </c>
      <c r="F79" s="60">
        <v>1</v>
      </c>
      <c r="G79" s="59">
        <f t="shared" si="43"/>
        <v>1</v>
      </c>
      <c r="H79" s="60">
        <v>1</v>
      </c>
      <c r="I79" s="60">
        <v>1</v>
      </c>
      <c r="J79" s="75">
        <f t="shared" ref="J79:J80" si="51">K79</f>
        <v>69362.66</v>
      </c>
      <c r="K79" s="75">
        <v>69362.66</v>
      </c>
      <c r="L79" s="59" t="s">
        <v>104</v>
      </c>
      <c r="M79" s="59" t="s">
        <v>104</v>
      </c>
      <c r="N79" s="71">
        <f t="shared" ref="N79:N80" si="52">O79</f>
        <v>69362.66</v>
      </c>
      <c r="O79" s="71">
        <f>G79*K79</f>
        <v>69362.66</v>
      </c>
      <c r="P79" s="59" t="s">
        <v>104</v>
      </c>
      <c r="Q79" s="59"/>
      <c r="R79" s="59" t="s">
        <v>104</v>
      </c>
      <c r="S79" s="59"/>
      <c r="T79" s="75">
        <f>H79*K79</f>
        <v>69362.66</v>
      </c>
      <c r="U79" s="75">
        <f>I79*K79</f>
        <v>69362.66</v>
      </c>
    </row>
    <row r="80" spans="1:24" x14ac:dyDescent="0.25">
      <c r="A80" s="235"/>
      <c r="B80" s="236"/>
      <c r="C80" s="63" t="s">
        <v>165</v>
      </c>
      <c r="D80" s="64" t="s">
        <v>101</v>
      </c>
      <c r="E80" s="60">
        <v>1</v>
      </c>
      <c r="F80" s="60">
        <v>1</v>
      </c>
      <c r="G80" s="59">
        <f t="shared" si="43"/>
        <v>1</v>
      </c>
      <c r="H80" s="60">
        <v>1</v>
      </c>
      <c r="I80" s="60">
        <v>1</v>
      </c>
      <c r="J80" s="75">
        <f t="shared" si="51"/>
        <v>92468.25</v>
      </c>
      <c r="K80" s="75">
        <v>92468.25</v>
      </c>
      <c r="L80" s="59" t="s">
        <v>104</v>
      </c>
      <c r="M80" s="59" t="s">
        <v>104</v>
      </c>
      <c r="N80" s="71">
        <f t="shared" si="52"/>
        <v>92468.25</v>
      </c>
      <c r="O80" s="71">
        <f t="shared" ref="O80:O82" si="53">G80*K80</f>
        <v>92468.25</v>
      </c>
      <c r="P80" s="59" t="s">
        <v>104</v>
      </c>
      <c r="Q80" s="59"/>
      <c r="R80" s="59" t="s">
        <v>104</v>
      </c>
      <c r="S80" s="59"/>
      <c r="T80" s="75">
        <f t="shared" ref="T80:T81" si="54">H80*K80</f>
        <v>92468.25</v>
      </c>
      <c r="U80" s="75">
        <f t="shared" ref="U80:U81" si="55">I80*K80</f>
        <v>92468.25</v>
      </c>
    </row>
    <row r="81" spans="1:24" x14ac:dyDescent="0.25">
      <c r="A81" s="235"/>
      <c r="B81" s="236"/>
      <c r="C81" s="63" t="s">
        <v>168</v>
      </c>
      <c r="D81" s="64" t="s">
        <v>101</v>
      </c>
      <c r="E81" s="60">
        <v>6</v>
      </c>
      <c r="F81" s="60">
        <v>6</v>
      </c>
      <c r="G81" s="59">
        <f t="shared" si="43"/>
        <v>6</v>
      </c>
      <c r="H81" s="60">
        <v>6</v>
      </c>
      <c r="I81" s="60">
        <v>6</v>
      </c>
      <c r="J81" s="75">
        <f>K81</f>
        <v>23553.439999999999</v>
      </c>
      <c r="K81" s="75">
        <v>23553.439999999999</v>
      </c>
      <c r="L81" s="59" t="s">
        <v>104</v>
      </c>
      <c r="M81" s="59" t="s">
        <v>104</v>
      </c>
      <c r="N81" s="71">
        <f>O81</f>
        <v>141320.63999999998</v>
      </c>
      <c r="O81" s="71">
        <f t="shared" si="53"/>
        <v>141320.63999999998</v>
      </c>
      <c r="P81" s="59" t="s">
        <v>104</v>
      </c>
      <c r="Q81" s="59"/>
      <c r="R81" s="59" t="s">
        <v>104</v>
      </c>
      <c r="S81" s="59"/>
      <c r="T81" s="75">
        <f t="shared" si="54"/>
        <v>141320.63999999998</v>
      </c>
      <c r="U81" s="75">
        <f t="shared" si="55"/>
        <v>141320.63999999998</v>
      </c>
    </row>
    <row r="82" spans="1:24" ht="120" x14ac:dyDescent="0.25">
      <c r="A82" s="235"/>
      <c r="B82" s="236"/>
      <c r="C82" s="61" t="s">
        <v>105</v>
      </c>
      <c r="D82" s="64" t="s">
        <v>101</v>
      </c>
      <c r="E82" s="60">
        <v>3</v>
      </c>
      <c r="F82" s="60">
        <v>3</v>
      </c>
      <c r="G82" s="59">
        <f t="shared" si="43"/>
        <v>3</v>
      </c>
      <c r="H82" s="60">
        <v>3</v>
      </c>
      <c r="I82" s="60">
        <v>3</v>
      </c>
      <c r="J82" s="75">
        <f>SUM(K82:M82)</f>
        <v>170701.76839110002</v>
      </c>
      <c r="K82" s="75">
        <f>151407.63+1638.38</f>
        <v>153046.01</v>
      </c>
      <c r="L82" s="72">
        <f>4001.99*2.3654</f>
        <v>9466.307146000001</v>
      </c>
      <c r="M82" s="70">
        <f>8021.06+58.14+110.2512451</f>
        <v>8189.451245100001</v>
      </c>
      <c r="N82" s="73">
        <f>SUM(O82:R82)</f>
        <v>512105.30517330003</v>
      </c>
      <c r="O82" s="71">
        <f t="shared" si="53"/>
        <v>459138.03</v>
      </c>
      <c r="P82" s="73">
        <f>G82*L82</f>
        <v>28398.921438000005</v>
      </c>
      <c r="Q82" s="73"/>
      <c r="R82" s="75">
        <f>G82*M82</f>
        <v>24568.353735300003</v>
      </c>
      <c r="S82" s="75"/>
      <c r="T82" s="75">
        <f t="shared" si="9"/>
        <v>512105.30517330009</v>
      </c>
      <c r="U82" s="75">
        <f t="shared" si="6"/>
        <v>512105.30517330009</v>
      </c>
    </row>
    <row r="83" spans="1:24" x14ac:dyDescent="0.25">
      <c r="A83" s="235"/>
      <c r="B83" s="199"/>
      <c r="C83" s="66" t="s">
        <v>106</v>
      </c>
      <c r="D83" s="64"/>
      <c r="E83" s="60">
        <f>E77+E82</f>
        <v>226</v>
      </c>
      <c r="F83" s="60">
        <f t="shared" ref="F83:I83" si="56">F77+F82</f>
        <v>226</v>
      </c>
      <c r="G83" s="60">
        <f t="shared" si="56"/>
        <v>226</v>
      </c>
      <c r="H83" s="60">
        <f t="shared" si="56"/>
        <v>226</v>
      </c>
      <c r="I83" s="60">
        <f t="shared" si="56"/>
        <v>226</v>
      </c>
      <c r="J83" s="73" t="s">
        <v>104</v>
      </c>
      <c r="K83" s="73" t="s">
        <v>104</v>
      </c>
      <c r="L83" s="74" t="s">
        <v>104</v>
      </c>
      <c r="M83" s="74" t="s">
        <v>104</v>
      </c>
      <c r="N83" s="74">
        <f t="shared" ref="N83:U83" si="57">SUM(N77:N82)</f>
        <v>12777018.8663886</v>
      </c>
      <c r="O83" s="74">
        <f t="shared" si="57"/>
        <v>8786817.4699999988</v>
      </c>
      <c r="P83" s="74">
        <f t="shared" si="57"/>
        <v>2139385.4149960005</v>
      </c>
      <c r="Q83" s="74"/>
      <c r="R83" s="74">
        <f t="shared" si="57"/>
        <v>1850815.9813926003</v>
      </c>
      <c r="S83" s="74"/>
      <c r="T83" s="74">
        <f t="shared" si="57"/>
        <v>12777018.866388602</v>
      </c>
      <c r="U83" s="74">
        <f t="shared" si="57"/>
        <v>12777018.866388602</v>
      </c>
    </row>
    <row r="84" spans="1:24" ht="90" x14ac:dyDescent="0.25">
      <c r="A84" s="235"/>
      <c r="B84" s="236" t="s">
        <v>247</v>
      </c>
      <c r="C84" s="61" t="s">
        <v>100</v>
      </c>
      <c r="D84" s="62" t="s">
        <v>101</v>
      </c>
      <c r="E84" s="60">
        <v>68</v>
      </c>
      <c r="F84" s="60">
        <v>68</v>
      </c>
      <c r="G84" s="59">
        <f t="shared" si="43"/>
        <v>68</v>
      </c>
      <c r="H84" s="60">
        <v>68</v>
      </c>
      <c r="I84" s="60">
        <v>68</v>
      </c>
      <c r="J84" s="107">
        <f>SUM(K84:M84)</f>
        <v>60745.998391100002</v>
      </c>
      <c r="K84" s="107">
        <f>41105.12+1985.12</f>
        <v>43090.240000000005</v>
      </c>
      <c r="L84" s="70">
        <f>4001.99*2.3654</f>
        <v>9466.307146000001</v>
      </c>
      <c r="M84" s="70">
        <f>8021.06+58.14+110.2512451</f>
        <v>8189.451245100001</v>
      </c>
      <c r="N84" s="73">
        <f>SUM(O84:R84)</f>
        <v>4130727.6015948001</v>
      </c>
      <c r="O84" s="73">
        <f>G84*K84</f>
        <v>2930136.3200000003</v>
      </c>
      <c r="P84" s="73">
        <f>G84*L84-0.289</f>
        <v>643708.5969280001</v>
      </c>
      <c r="Q84" s="73"/>
      <c r="R84" s="75">
        <f>G84*M84</f>
        <v>556882.68466680008</v>
      </c>
      <c r="S84" s="75"/>
      <c r="T84" s="75">
        <f>N84</f>
        <v>4130727.6015948001</v>
      </c>
      <c r="U84" s="75">
        <f>T84</f>
        <v>4130727.6015948001</v>
      </c>
    </row>
    <row r="85" spans="1:24" ht="90" x14ac:dyDescent="0.25">
      <c r="A85" s="235"/>
      <c r="B85" s="236"/>
      <c r="C85" s="63" t="s">
        <v>163</v>
      </c>
      <c r="D85" s="64" t="s">
        <v>101</v>
      </c>
      <c r="E85" s="59" t="s">
        <v>104</v>
      </c>
      <c r="F85" s="59" t="s">
        <v>104</v>
      </c>
      <c r="G85" s="59" t="s">
        <v>104</v>
      </c>
      <c r="H85" s="59" t="s">
        <v>104</v>
      </c>
      <c r="I85" s="59" t="s">
        <v>104</v>
      </c>
      <c r="J85" s="59" t="s">
        <v>104</v>
      </c>
      <c r="K85" s="59" t="s">
        <v>104</v>
      </c>
      <c r="L85" s="59" t="s">
        <v>104</v>
      </c>
      <c r="M85" s="59" t="s">
        <v>104</v>
      </c>
      <c r="N85" s="71"/>
      <c r="O85" s="71"/>
      <c r="P85" s="59" t="s">
        <v>104</v>
      </c>
      <c r="Q85" s="59"/>
      <c r="R85" s="59" t="s">
        <v>104</v>
      </c>
      <c r="S85" s="59"/>
      <c r="T85" s="75"/>
      <c r="U85" s="75"/>
    </row>
    <row r="86" spans="1:24" x14ac:dyDescent="0.25">
      <c r="A86" s="235"/>
      <c r="B86" s="236"/>
      <c r="C86" s="63" t="s">
        <v>165</v>
      </c>
      <c r="D86" s="64" t="s">
        <v>101</v>
      </c>
      <c r="E86" s="60"/>
      <c r="F86" s="60"/>
      <c r="G86" s="59">
        <f t="shared" si="43"/>
        <v>0</v>
      </c>
      <c r="H86" s="60"/>
      <c r="I86" s="60"/>
      <c r="J86" s="75">
        <f>K86</f>
        <v>92468.25</v>
      </c>
      <c r="K86" s="75">
        <v>92468.25</v>
      </c>
      <c r="L86" s="59" t="s">
        <v>104</v>
      </c>
      <c r="M86" s="59" t="s">
        <v>104</v>
      </c>
      <c r="N86" s="71">
        <f>O86</f>
        <v>0</v>
      </c>
      <c r="O86" s="71">
        <f>G86*K86</f>
        <v>0</v>
      </c>
      <c r="P86" s="59" t="s">
        <v>104</v>
      </c>
      <c r="Q86" s="59"/>
      <c r="R86" s="59" t="s">
        <v>104</v>
      </c>
      <c r="S86" s="59"/>
      <c r="T86" s="75">
        <f>H86*K86</f>
        <v>0</v>
      </c>
      <c r="U86" s="75">
        <f>I86*K86</f>
        <v>0</v>
      </c>
    </row>
    <row r="87" spans="1:24" x14ac:dyDescent="0.25">
      <c r="A87" s="235"/>
      <c r="B87" s="236"/>
      <c r="C87" s="63" t="s">
        <v>168</v>
      </c>
      <c r="D87" s="64" t="s">
        <v>101</v>
      </c>
      <c r="E87" s="60"/>
      <c r="F87" s="60"/>
      <c r="G87" s="59">
        <f t="shared" si="43"/>
        <v>0</v>
      </c>
      <c r="H87" s="60"/>
      <c r="I87" s="60"/>
      <c r="J87" s="75">
        <f>K87</f>
        <v>23553.439999999999</v>
      </c>
      <c r="K87" s="75">
        <v>23553.439999999999</v>
      </c>
      <c r="L87" s="59" t="s">
        <v>104</v>
      </c>
      <c r="M87" s="59" t="s">
        <v>104</v>
      </c>
      <c r="N87" s="71">
        <f>O87</f>
        <v>0</v>
      </c>
      <c r="O87" s="71">
        <f>G87*K87</f>
        <v>0</v>
      </c>
      <c r="P87" s="59" t="s">
        <v>104</v>
      </c>
      <c r="Q87" s="59"/>
      <c r="R87" s="59" t="s">
        <v>104</v>
      </c>
      <c r="S87" s="59"/>
      <c r="T87" s="75">
        <f>H87*K87</f>
        <v>0</v>
      </c>
      <c r="U87" s="75">
        <f>I87*K87</f>
        <v>0</v>
      </c>
    </row>
    <row r="88" spans="1:24" ht="120" x14ac:dyDescent="0.25">
      <c r="A88" s="235"/>
      <c r="B88" s="236"/>
      <c r="C88" s="61" t="s">
        <v>105</v>
      </c>
      <c r="D88" s="64" t="s">
        <v>101</v>
      </c>
      <c r="E88" s="60"/>
      <c r="F88" s="60"/>
      <c r="G88" s="59">
        <f t="shared" si="43"/>
        <v>0</v>
      </c>
      <c r="H88" s="60"/>
      <c r="I88" s="60"/>
      <c r="J88" s="75">
        <f>SUM(K88:M88)</f>
        <v>201043.22839110001</v>
      </c>
      <c r="K88" s="75">
        <f>181402.35+1985.12</f>
        <v>183387.47</v>
      </c>
      <c r="L88" s="72">
        <f>4001.99*2.3654</f>
        <v>9466.307146000001</v>
      </c>
      <c r="M88" s="70">
        <f>8021.06+58.14+110.2512451</f>
        <v>8189.451245100001</v>
      </c>
      <c r="N88" s="73"/>
      <c r="O88" s="71">
        <f>G88*K88</f>
        <v>0</v>
      </c>
      <c r="P88" s="73"/>
      <c r="Q88" s="73"/>
      <c r="R88" s="73"/>
      <c r="S88" s="73"/>
      <c r="T88" s="75">
        <f t="shared" si="9"/>
        <v>0</v>
      </c>
      <c r="U88" s="75">
        <f t="shared" si="6"/>
        <v>0</v>
      </c>
    </row>
    <row r="89" spans="1:24" x14ac:dyDescent="0.25">
      <c r="A89" s="235"/>
      <c r="B89" s="199"/>
      <c r="C89" s="66" t="s">
        <v>106</v>
      </c>
      <c r="D89" s="64"/>
      <c r="E89" s="60">
        <f>E84+E88</f>
        <v>68</v>
      </c>
      <c r="F89" s="60">
        <f t="shared" ref="F89:I89" si="58">F84+F88</f>
        <v>68</v>
      </c>
      <c r="G89" s="60">
        <f t="shared" si="58"/>
        <v>68</v>
      </c>
      <c r="H89" s="60">
        <f t="shared" si="58"/>
        <v>68</v>
      </c>
      <c r="I89" s="60">
        <f t="shared" si="58"/>
        <v>68</v>
      </c>
      <c r="J89" s="73" t="s">
        <v>104</v>
      </c>
      <c r="K89" s="73" t="s">
        <v>104</v>
      </c>
      <c r="L89" s="74" t="s">
        <v>104</v>
      </c>
      <c r="M89" s="74" t="s">
        <v>104</v>
      </c>
      <c r="N89" s="74">
        <f t="shared" ref="N89:U89" si="59">SUM(N84:N88)</f>
        <v>4130727.6015948001</v>
      </c>
      <c r="O89" s="74">
        <f t="shared" si="59"/>
        <v>2930136.3200000003</v>
      </c>
      <c r="P89" s="74">
        <f t="shared" si="59"/>
        <v>643708.5969280001</v>
      </c>
      <c r="Q89" s="74"/>
      <c r="R89" s="74">
        <f t="shared" si="59"/>
        <v>556882.68466680008</v>
      </c>
      <c r="S89" s="74"/>
      <c r="T89" s="74">
        <f t="shared" si="59"/>
        <v>4130727.6015948001</v>
      </c>
      <c r="U89" s="74">
        <f t="shared" si="59"/>
        <v>4130727.6015948001</v>
      </c>
    </row>
    <row r="90" spans="1:24" ht="100.15" customHeight="1" x14ac:dyDescent="0.25">
      <c r="A90" s="235"/>
      <c r="B90" s="137" t="s">
        <v>248</v>
      </c>
      <c r="C90" s="61" t="s">
        <v>187</v>
      </c>
      <c r="D90" s="64" t="s">
        <v>101</v>
      </c>
      <c r="E90" s="60">
        <v>426</v>
      </c>
      <c r="F90" s="60">
        <v>426</v>
      </c>
      <c r="G90" s="59">
        <f t="shared" si="43"/>
        <v>426</v>
      </c>
      <c r="H90" s="60">
        <v>426</v>
      </c>
      <c r="I90" s="60">
        <v>426</v>
      </c>
      <c r="J90" s="75">
        <f>K90</f>
        <v>3437.2</v>
      </c>
      <c r="K90" s="75">
        <v>3437.2</v>
      </c>
      <c r="L90" s="72" t="s">
        <v>104</v>
      </c>
      <c r="M90" s="72" t="s">
        <v>104</v>
      </c>
      <c r="N90" s="73">
        <f>SUM(O90:R90)</f>
        <v>1464247</v>
      </c>
      <c r="O90" s="73">
        <f>K90*G90-0.2</f>
        <v>1464247</v>
      </c>
      <c r="P90" s="73" t="s">
        <v>104</v>
      </c>
      <c r="Q90" s="73"/>
      <c r="R90" s="73" t="s">
        <v>104</v>
      </c>
      <c r="S90" s="73"/>
      <c r="T90" s="75">
        <f>N90</f>
        <v>1464247</v>
      </c>
      <c r="U90" s="75">
        <f>T90</f>
        <v>1464247</v>
      </c>
    </row>
    <row r="91" spans="1:24" x14ac:dyDescent="0.25">
      <c r="A91" s="235"/>
      <c r="B91" s="69"/>
      <c r="C91" s="66" t="s">
        <v>106</v>
      </c>
      <c r="D91" s="69"/>
      <c r="E91" s="60">
        <f>SUM(E90:E90)</f>
        <v>426</v>
      </c>
      <c r="F91" s="60">
        <f>SUM(F90:F90)</f>
        <v>426</v>
      </c>
      <c r="G91" s="60">
        <f>SUM(G90:G90)</f>
        <v>426</v>
      </c>
      <c r="H91" s="60">
        <f>SUM(H90:H90)</f>
        <v>426</v>
      </c>
      <c r="I91" s="60">
        <f>SUM(I90:I90)</f>
        <v>426</v>
      </c>
      <c r="J91" s="73" t="s">
        <v>104</v>
      </c>
      <c r="K91" s="73" t="s">
        <v>104</v>
      </c>
      <c r="L91" s="74" t="s">
        <v>104</v>
      </c>
      <c r="M91" s="74">
        <f t="shared" ref="M91:R91" si="60">SUM(M90:M90)</f>
        <v>0</v>
      </c>
      <c r="N91" s="74">
        <f t="shared" si="60"/>
        <v>1464247</v>
      </c>
      <c r="O91" s="74">
        <f t="shared" si="60"/>
        <v>1464247</v>
      </c>
      <c r="P91" s="74">
        <f t="shared" si="60"/>
        <v>0</v>
      </c>
      <c r="Q91" s="74"/>
      <c r="R91" s="74">
        <f t="shared" si="60"/>
        <v>0</v>
      </c>
      <c r="S91" s="74"/>
      <c r="T91" s="75">
        <f>N91</f>
        <v>1464247</v>
      </c>
      <c r="U91" s="75">
        <f>T91</f>
        <v>1464247</v>
      </c>
    </row>
    <row r="92" spans="1:24" x14ac:dyDescent="0.25">
      <c r="A92" s="235"/>
      <c r="B92" s="89" t="s">
        <v>225</v>
      </c>
      <c r="C92" s="188" t="s">
        <v>219</v>
      </c>
      <c r="D92" s="64" t="s">
        <v>101</v>
      </c>
      <c r="E92" s="60"/>
      <c r="F92" s="60"/>
      <c r="G92" s="60">
        <v>12</v>
      </c>
      <c r="H92" s="60">
        <v>12</v>
      </c>
      <c r="I92" s="60">
        <v>12</v>
      </c>
      <c r="J92" s="73"/>
      <c r="K92" s="73"/>
      <c r="L92" s="74"/>
      <c r="M92" s="74"/>
      <c r="N92" s="74"/>
      <c r="O92" s="74"/>
      <c r="P92" s="74"/>
      <c r="Q92" s="74"/>
      <c r="R92" s="74"/>
      <c r="S92" s="74">
        <v>1388178</v>
      </c>
      <c r="T92" s="75">
        <f>S92</f>
        <v>1388178</v>
      </c>
      <c r="U92" s="75">
        <f>T92</f>
        <v>1388178</v>
      </c>
    </row>
    <row r="93" spans="1:24" x14ac:dyDescent="0.25">
      <c r="A93" s="235"/>
      <c r="B93" s="89" t="s">
        <v>225</v>
      </c>
      <c r="C93" s="188" t="s">
        <v>226</v>
      </c>
      <c r="D93" s="64" t="s">
        <v>101</v>
      </c>
      <c r="E93" s="60"/>
      <c r="F93" s="60"/>
      <c r="G93" s="60">
        <v>1</v>
      </c>
      <c r="H93" s="60">
        <v>1</v>
      </c>
      <c r="I93" s="60">
        <v>1</v>
      </c>
      <c r="J93" s="73"/>
      <c r="K93" s="73"/>
      <c r="L93" s="74"/>
      <c r="M93" s="74"/>
      <c r="N93" s="74"/>
      <c r="O93" s="74"/>
      <c r="P93" s="74"/>
      <c r="Q93" s="74">
        <f>160666.67+19435+10570</f>
        <v>190671.67</v>
      </c>
      <c r="R93" s="74"/>
      <c r="S93" s="74"/>
      <c r="T93" s="75">
        <f>Q93</f>
        <v>190671.67</v>
      </c>
      <c r="U93" s="75">
        <f>T93</f>
        <v>190671.67</v>
      </c>
    </row>
    <row r="94" spans="1:24" x14ac:dyDescent="0.25">
      <c r="A94" s="235"/>
      <c r="B94" s="101" t="s">
        <v>112</v>
      </c>
      <c r="C94" s="101"/>
      <c r="D94" s="69"/>
      <c r="E94" s="102"/>
      <c r="F94" s="102"/>
      <c r="G94" s="102">
        <f>G76+G83+G89</f>
        <v>506</v>
      </c>
      <c r="H94" s="102">
        <f t="shared" ref="H94:I94" si="61">H76+H83+H89</f>
        <v>506</v>
      </c>
      <c r="I94" s="102">
        <f t="shared" si="61"/>
        <v>506</v>
      </c>
      <c r="J94" s="104"/>
      <c r="K94" s="104"/>
      <c r="L94" s="103"/>
      <c r="M94" s="103"/>
      <c r="N94" s="103">
        <f>SUM(O94:S94)</f>
        <v>29844207.126896605</v>
      </c>
      <c r="O94" s="103">
        <f>O76+O83+O89+O91</f>
        <v>19331544</v>
      </c>
      <c r="P94" s="103">
        <f>P76+P83+P89+P91</f>
        <v>4789951.1268760012</v>
      </c>
      <c r="Q94" s="103">
        <f>Q93</f>
        <v>190671.67</v>
      </c>
      <c r="R94" s="103">
        <f>R76+R83+R89+R91</f>
        <v>4143862.3300206009</v>
      </c>
      <c r="S94" s="103">
        <f>S92</f>
        <v>1388178</v>
      </c>
      <c r="T94" s="103">
        <f>T76+T83+T89+T91+T92+T93</f>
        <v>29844207.126896605</v>
      </c>
      <c r="U94" s="103">
        <f>U76+U83+U89+U91+U92+U93</f>
        <v>29844207.126896605</v>
      </c>
      <c r="V94" s="80">
        <v>4143862.33</v>
      </c>
      <c r="W94" s="85">
        <f>V94-R94</f>
        <v>-2.0600855350494385E-5</v>
      </c>
      <c r="X94" s="80">
        <f>W94/I94</f>
        <v>-4.0713152866589691E-8</v>
      </c>
    </row>
    <row r="95" spans="1:24" ht="90" x14ac:dyDescent="0.25">
      <c r="A95" s="235" t="s">
        <v>115</v>
      </c>
      <c r="B95" s="236" t="s">
        <v>245</v>
      </c>
      <c r="C95" s="61" t="s">
        <v>100</v>
      </c>
      <c r="D95" s="62" t="s">
        <v>101</v>
      </c>
      <c r="E95" s="59">
        <v>207</v>
      </c>
      <c r="F95" s="59">
        <v>207</v>
      </c>
      <c r="G95" s="59">
        <f t="shared" ref="G95:G120" si="62">((E95*8)+(F95*4))/12</f>
        <v>207</v>
      </c>
      <c r="H95" s="59">
        <v>207</v>
      </c>
      <c r="I95" s="59">
        <v>207</v>
      </c>
      <c r="J95" s="107">
        <f>SUM(K95:M95)</f>
        <v>41729.122621700008</v>
      </c>
      <c r="K95" s="107">
        <f>22739.74+1342.39</f>
        <v>24082.13</v>
      </c>
      <c r="L95" s="70">
        <f>4001.99*2.3654</f>
        <v>9466.307146000001</v>
      </c>
      <c r="M95" s="70">
        <f>8021.06+58.14+584.5665962-483.0811205</f>
        <v>8180.685475700001</v>
      </c>
      <c r="N95" s="71">
        <f>SUM(O95:R95)</f>
        <v>8637927.8426919002</v>
      </c>
      <c r="O95" s="71">
        <f>G95*K95-0.54</f>
        <v>4985000.37</v>
      </c>
      <c r="P95" s="71">
        <f>G95*L95</f>
        <v>1959525.5792220002</v>
      </c>
      <c r="Q95" s="71"/>
      <c r="R95" s="75">
        <f>G95*M95</f>
        <v>1693401.8934699001</v>
      </c>
      <c r="S95" s="75"/>
      <c r="T95" s="75">
        <f>N95</f>
        <v>8637927.8426919002</v>
      </c>
      <c r="U95" s="75">
        <f>T95</f>
        <v>8637927.8426919002</v>
      </c>
    </row>
    <row r="96" spans="1:24" ht="90" x14ac:dyDescent="0.25">
      <c r="A96" s="235"/>
      <c r="B96" s="236"/>
      <c r="C96" s="63" t="s">
        <v>163</v>
      </c>
      <c r="D96" s="64" t="s">
        <v>101</v>
      </c>
      <c r="E96" s="59" t="s">
        <v>104</v>
      </c>
      <c r="F96" s="59" t="s">
        <v>104</v>
      </c>
      <c r="G96" s="59" t="s">
        <v>104</v>
      </c>
      <c r="H96" s="59" t="s">
        <v>104</v>
      </c>
      <c r="I96" s="59" t="s">
        <v>104</v>
      </c>
      <c r="J96" s="59" t="s">
        <v>104</v>
      </c>
      <c r="K96" s="59" t="s">
        <v>104</v>
      </c>
      <c r="L96" s="59" t="s">
        <v>104</v>
      </c>
      <c r="M96" s="59" t="s">
        <v>104</v>
      </c>
      <c r="N96" s="71"/>
      <c r="O96" s="71"/>
      <c r="P96" s="59" t="s">
        <v>104</v>
      </c>
      <c r="Q96" s="59"/>
      <c r="R96" s="59" t="s">
        <v>104</v>
      </c>
      <c r="S96" s="59"/>
      <c r="T96" s="75"/>
      <c r="U96" s="75"/>
    </row>
    <row r="97" spans="1:21" x14ac:dyDescent="0.25">
      <c r="A97" s="235"/>
      <c r="B97" s="236"/>
      <c r="C97" s="63" t="s">
        <v>164</v>
      </c>
      <c r="D97" s="64" t="s">
        <v>101</v>
      </c>
      <c r="E97" s="59">
        <v>1</v>
      </c>
      <c r="F97" s="59">
        <v>1</v>
      </c>
      <c r="G97" s="59">
        <f t="shared" si="62"/>
        <v>1</v>
      </c>
      <c r="H97" s="59">
        <v>1</v>
      </c>
      <c r="I97" s="59">
        <v>1</v>
      </c>
      <c r="J97" s="75">
        <f>K97</f>
        <v>25589.72</v>
      </c>
      <c r="K97" s="71">
        <v>25589.72</v>
      </c>
      <c r="L97" s="59" t="s">
        <v>104</v>
      </c>
      <c r="M97" s="59" t="s">
        <v>104</v>
      </c>
      <c r="N97" s="71">
        <f t="shared" ref="N97:N99" si="63">O97</f>
        <v>25589.72</v>
      </c>
      <c r="O97" s="71">
        <f>G97*K97</f>
        <v>25589.72</v>
      </c>
      <c r="P97" s="59" t="s">
        <v>104</v>
      </c>
      <c r="Q97" s="59"/>
      <c r="R97" s="59" t="s">
        <v>104</v>
      </c>
      <c r="S97" s="59"/>
      <c r="T97" s="75">
        <f t="shared" ref="T97:T99" si="64">H97*K97</f>
        <v>25589.72</v>
      </c>
      <c r="U97" s="75">
        <f t="shared" ref="U97:U99" si="65">I97*K97</f>
        <v>25589.72</v>
      </c>
    </row>
    <row r="98" spans="1:21" x14ac:dyDescent="0.25">
      <c r="A98" s="235"/>
      <c r="B98" s="236"/>
      <c r="C98" s="63" t="s">
        <v>169</v>
      </c>
      <c r="D98" s="64" t="s">
        <v>101</v>
      </c>
      <c r="E98" s="59">
        <v>10</v>
      </c>
      <c r="F98" s="59">
        <v>10</v>
      </c>
      <c r="G98" s="59">
        <f t="shared" si="62"/>
        <v>10</v>
      </c>
      <c r="H98" s="59">
        <v>10</v>
      </c>
      <c r="I98" s="59">
        <v>10</v>
      </c>
      <c r="J98" s="75">
        <f>K98</f>
        <v>69362.66</v>
      </c>
      <c r="K98" s="71">
        <v>69362.66</v>
      </c>
      <c r="L98" s="59" t="s">
        <v>104</v>
      </c>
      <c r="M98" s="59" t="s">
        <v>104</v>
      </c>
      <c r="N98" s="71">
        <f t="shared" si="63"/>
        <v>693626.60000000009</v>
      </c>
      <c r="O98" s="71">
        <f t="shared" ref="O98:O103" si="66">G98*K98</f>
        <v>693626.60000000009</v>
      </c>
      <c r="P98" s="59" t="s">
        <v>104</v>
      </c>
      <c r="Q98" s="59"/>
      <c r="R98" s="59" t="s">
        <v>104</v>
      </c>
      <c r="S98" s="59"/>
      <c r="T98" s="75">
        <f t="shared" si="64"/>
        <v>693626.60000000009</v>
      </c>
      <c r="U98" s="75">
        <f t="shared" si="65"/>
        <v>693626.60000000009</v>
      </c>
    </row>
    <row r="99" spans="1:21" x14ac:dyDescent="0.25">
      <c r="A99" s="235"/>
      <c r="B99" s="236"/>
      <c r="C99" s="63" t="s">
        <v>165</v>
      </c>
      <c r="D99" s="64" t="s">
        <v>101</v>
      </c>
      <c r="E99" s="59">
        <v>1</v>
      </c>
      <c r="F99" s="59">
        <v>1</v>
      </c>
      <c r="G99" s="59">
        <f t="shared" si="62"/>
        <v>1</v>
      </c>
      <c r="H99" s="59">
        <v>1</v>
      </c>
      <c r="I99" s="59">
        <v>1</v>
      </c>
      <c r="J99" s="75">
        <f>K99</f>
        <v>92468.25</v>
      </c>
      <c r="K99" s="71">
        <v>92468.25</v>
      </c>
      <c r="L99" s="59" t="s">
        <v>104</v>
      </c>
      <c r="M99" s="59" t="s">
        <v>104</v>
      </c>
      <c r="N99" s="71">
        <f t="shared" si="63"/>
        <v>92468.25</v>
      </c>
      <c r="O99" s="71">
        <f t="shared" si="66"/>
        <v>92468.25</v>
      </c>
      <c r="P99" s="59" t="s">
        <v>104</v>
      </c>
      <c r="Q99" s="59"/>
      <c r="R99" s="59" t="s">
        <v>104</v>
      </c>
      <c r="S99" s="59"/>
      <c r="T99" s="75">
        <f t="shared" si="64"/>
        <v>92468.25</v>
      </c>
      <c r="U99" s="75">
        <f t="shared" si="65"/>
        <v>92468.25</v>
      </c>
    </row>
    <row r="100" spans="1:21" x14ac:dyDescent="0.25">
      <c r="A100" s="235"/>
      <c r="B100" s="236"/>
      <c r="C100" s="63" t="s">
        <v>166</v>
      </c>
      <c r="D100" s="64" t="s">
        <v>101</v>
      </c>
      <c r="E100" s="59">
        <v>14</v>
      </c>
      <c r="F100" s="59">
        <v>14</v>
      </c>
      <c r="G100" s="59">
        <f t="shared" si="62"/>
        <v>14</v>
      </c>
      <c r="H100" s="59">
        <v>14</v>
      </c>
      <c r="I100" s="59">
        <v>14</v>
      </c>
      <c r="J100" s="75">
        <f>K100</f>
        <v>66361.320000000007</v>
      </c>
      <c r="K100" s="75">
        <v>66361.320000000007</v>
      </c>
      <c r="L100" s="59" t="s">
        <v>104</v>
      </c>
      <c r="M100" s="59" t="s">
        <v>104</v>
      </c>
      <c r="N100" s="71">
        <f>O100</f>
        <v>929058.4800000001</v>
      </c>
      <c r="O100" s="71">
        <f t="shared" si="66"/>
        <v>929058.4800000001</v>
      </c>
      <c r="P100" s="59" t="s">
        <v>104</v>
      </c>
      <c r="Q100" s="59"/>
      <c r="R100" s="59" t="s">
        <v>104</v>
      </c>
      <c r="S100" s="59"/>
      <c r="T100" s="75">
        <f>H100*K100</f>
        <v>929058.4800000001</v>
      </c>
      <c r="U100" s="75">
        <f>I100*K100</f>
        <v>929058.4800000001</v>
      </c>
    </row>
    <row r="101" spans="1:21" x14ac:dyDescent="0.25">
      <c r="A101" s="235"/>
      <c r="B101" s="236"/>
      <c r="C101" s="63" t="s">
        <v>167</v>
      </c>
      <c r="D101" s="64" t="s">
        <v>101</v>
      </c>
      <c r="E101" s="59">
        <v>3</v>
      </c>
      <c r="F101" s="59">
        <v>3</v>
      </c>
      <c r="G101" s="59">
        <f t="shared" si="62"/>
        <v>3</v>
      </c>
      <c r="H101" s="59">
        <v>3</v>
      </c>
      <c r="I101" s="59">
        <v>3</v>
      </c>
      <c r="J101" s="75">
        <f>K101</f>
        <v>174890.83</v>
      </c>
      <c r="K101" s="75">
        <v>174890.83</v>
      </c>
      <c r="L101" s="59" t="s">
        <v>104</v>
      </c>
      <c r="M101" s="59" t="s">
        <v>104</v>
      </c>
      <c r="N101" s="71">
        <f>O101</f>
        <v>524672.49</v>
      </c>
      <c r="O101" s="71">
        <f t="shared" si="66"/>
        <v>524672.49</v>
      </c>
      <c r="P101" s="59" t="s">
        <v>104</v>
      </c>
      <c r="Q101" s="59"/>
      <c r="R101" s="59" t="s">
        <v>104</v>
      </c>
      <c r="S101" s="59"/>
      <c r="T101" s="75">
        <f>H101*K101</f>
        <v>524672.49</v>
      </c>
      <c r="U101" s="75">
        <f>I101*K101</f>
        <v>524672.49</v>
      </c>
    </row>
    <row r="102" spans="1:21" x14ac:dyDescent="0.25">
      <c r="A102" s="235"/>
      <c r="B102" s="236"/>
      <c r="C102" s="63" t="s">
        <v>170</v>
      </c>
      <c r="D102" s="64" t="s">
        <v>101</v>
      </c>
      <c r="E102" s="59">
        <v>1</v>
      </c>
      <c r="F102" s="59">
        <v>1</v>
      </c>
      <c r="G102" s="59">
        <f t="shared" si="62"/>
        <v>1</v>
      </c>
      <c r="H102" s="59">
        <v>1</v>
      </c>
      <c r="I102" s="59">
        <v>1</v>
      </c>
      <c r="J102" s="75">
        <f t="shared" ref="J102:J103" si="67">K102</f>
        <v>99648.29</v>
      </c>
      <c r="K102" s="75">
        <v>99648.29</v>
      </c>
      <c r="L102" s="59" t="s">
        <v>104</v>
      </c>
      <c r="M102" s="59" t="s">
        <v>104</v>
      </c>
      <c r="N102" s="71">
        <f t="shared" ref="N102:N103" si="68">O102</f>
        <v>99648.29</v>
      </c>
      <c r="O102" s="71">
        <f t="shared" si="66"/>
        <v>99648.29</v>
      </c>
      <c r="P102" s="59" t="s">
        <v>104</v>
      </c>
      <c r="Q102" s="59"/>
      <c r="R102" s="59" t="s">
        <v>104</v>
      </c>
      <c r="S102" s="59"/>
      <c r="T102" s="75">
        <f t="shared" ref="T102:T103" si="69">H102*K102</f>
        <v>99648.29</v>
      </c>
      <c r="U102" s="75">
        <f t="shared" ref="U102:U103" si="70">I102*K102</f>
        <v>99648.29</v>
      </c>
    </row>
    <row r="103" spans="1:21" x14ac:dyDescent="0.25">
      <c r="A103" s="235"/>
      <c r="B103" s="236"/>
      <c r="C103" s="63" t="s">
        <v>168</v>
      </c>
      <c r="D103" s="64" t="s">
        <v>101</v>
      </c>
      <c r="E103" s="59">
        <v>2</v>
      </c>
      <c r="F103" s="59">
        <v>2</v>
      </c>
      <c r="G103" s="59">
        <f t="shared" si="62"/>
        <v>2</v>
      </c>
      <c r="H103" s="59">
        <v>2</v>
      </c>
      <c r="I103" s="59">
        <v>2</v>
      </c>
      <c r="J103" s="75">
        <f t="shared" si="67"/>
        <v>23553.439999999999</v>
      </c>
      <c r="K103" s="75">
        <v>23553.439999999999</v>
      </c>
      <c r="L103" s="59" t="s">
        <v>104</v>
      </c>
      <c r="M103" s="59" t="s">
        <v>104</v>
      </c>
      <c r="N103" s="71">
        <f t="shared" si="68"/>
        <v>47106.879999999997</v>
      </c>
      <c r="O103" s="71">
        <f t="shared" si="66"/>
        <v>47106.879999999997</v>
      </c>
      <c r="P103" s="59" t="s">
        <v>104</v>
      </c>
      <c r="Q103" s="59"/>
      <c r="R103" s="59" t="s">
        <v>104</v>
      </c>
      <c r="S103" s="59"/>
      <c r="T103" s="75">
        <f t="shared" si="69"/>
        <v>47106.879999999997</v>
      </c>
      <c r="U103" s="75">
        <f t="shared" si="70"/>
        <v>47106.879999999997</v>
      </c>
    </row>
    <row r="104" spans="1:21" ht="120" x14ac:dyDescent="0.25">
      <c r="A104" s="235"/>
      <c r="B104" s="236"/>
      <c r="C104" s="61" t="s">
        <v>105</v>
      </c>
      <c r="D104" s="64" t="s">
        <v>101</v>
      </c>
      <c r="E104" s="59">
        <v>2</v>
      </c>
      <c r="F104" s="59">
        <v>2</v>
      </c>
      <c r="G104" s="59">
        <f t="shared" si="62"/>
        <v>2</v>
      </c>
      <c r="H104" s="59">
        <v>2</v>
      </c>
      <c r="I104" s="59">
        <v>2</v>
      </c>
      <c r="J104" s="75">
        <f>SUM(K104:M104)</f>
        <v>140402.30262170002</v>
      </c>
      <c r="K104" s="75">
        <f>121412.92+1342.39</f>
        <v>122755.31</v>
      </c>
      <c r="L104" s="72">
        <f>4001.99*2.3654</f>
        <v>9466.307146000001</v>
      </c>
      <c r="M104" s="70">
        <f>8021.06+58.14+584.5665962-483.0811205</f>
        <v>8180.685475700001</v>
      </c>
      <c r="N104" s="71">
        <f>SUM(O104:R104)</f>
        <v>280804.60524340003</v>
      </c>
      <c r="O104" s="71">
        <f>G104*K104</f>
        <v>245510.62</v>
      </c>
      <c r="P104" s="71">
        <f>G104*L104</f>
        <v>18932.614292000002</v>
      </c>
      <c r="Q104" s="71"/>
      <c r="R104" s="75">
        <f>G104*M104</f>
        <v>16361.370951400002</v>
      </c>
      <c r="S104" s="75"/>
      <c r="T104" s="75">
        <f t="shared" si="9"/>
        <v>280804.60524340003</v>
      </c>
      <c r="U104" s="75">
        <f t="shared" si="6"/>
        <v>280804.60524340003</v>
      </c>
    </row>
    <row r="105" spans="1:21" x14ac:dyDescent="0.25">
      <c r="A105" s="235"/>
      <c r="B105" s="236"/>
      <c r="C105" s="66" t="s">
        <v>106</v>
      </c>
      <c r="D105" s="67"/>
      <c r="E105" s="59">
        <f>E95+E104</f>
        <v>209</v>
      </c>
      <c r="F105" s="59">
        <f t="shared" ref="F105:I105" si="71">F95+F104</f>
        <v>209</v>
      </c>
      <c r="G105" s="59">
        <f t="shared" si="71"/>
        <v>209</v>
      </c>
      <c r="H105" s="59">
        <f t="shared" si="71"/>
        <v>209</v>
      </c>
      <c r="I105" s="59">
        <f t="shared" si="71"/>
        <v>209</v>
      </c>
      <c r="J105" s="71" t="s">
        <v>104</v>
      </c>
      <c r="K105" s="71" t="s">
        <v>104</v>
      </c>
      <c r="L105" s="71" t="s">
        <v>104</v>
      </c>
      <c r="M105" s="71" t="s">
        <v>104</v>
      </c>
      <c r="N105" s="71">
        <f>SUM(N95:N104)</f>
        <v>11330903.157935301</v>
      </c>
      <c r="O105" s="71">
        <f>SUM(O95:O104)</f>
        <v>7642681.7000000002</v>
      </c>
      <c r="P105" s="71">
        <f>SUM(P95:P104)</f>
        <v>1978458.1935140002</v>
      </c>
      <c r="Q105" s="71"/>
      <c r="R105" s="71">
        <f t="shared" ref="R105" si="72">SUM(R95:R104)</f>
        <v>1709763.2644213</v>
      </c>
      <c r="S105" s="71"/>
      <c r="T105" s="71">
        <f>N105</f>
        <v>11330903.157935301</v>
      </c>
      <c r="U105" s="71">
        <f>T105</f>
        <v>11330903.157935301</v>
      </c>
    </row>
    <row r="106" spans="1:21" ht="90" x14ac:dyDescent="0.25">
      <c r="A106" s="235"/>
      <c r="B106" s="236" t="s">
        <v>246</v>
      </c>
      <c r="C106" s="61" t="s">
        <v>100</v>
      </c>
      <c r="D106" s="62" t="s">
        <v>101</v>
      </c>
      <c r="E106" s="59">
        <v>229</v>
      </c>
      <c r="F106" s="59">
        <v>229</v>
      </c>
      <c r="G106" s="59">
        <f t="shared" si="62"/>
        <v>229</v>
      </c>
      <c r="H106" s="59">
        <v>229</v>
      </c>
      <c r="I106" s="59">
        <v>229</v>
      </c>
      <c r="J106" s="107">
        <f>SUM(K106:M106)</f>
        <v>53631.422621700003</v>
      </c>
      <c r="K106" s="107">
        <f>34346.05+1638.38</f>
        <v>35984.43</v>
      </c>
      <c r="L106" s="70">
        <f>4001.99*2.3654</f>
        <v>9466.307146000001</v>
      </c>
      <c r="M106" s="70">
        <f>8021.06+58.14+584.5665962-483.0811205</f>
        <v>8180.685475700001</v>
      </c>
      <c r="N106" s="71">
        <f>SUM(O106:R106)</f>
        <v>12281595.7803693</v>
      </c>
      <c r="O106" s="71">
        <f>G106*K106</f>
        <v>8240434.4699999997</v>
      </c>
      <c r="P106" s="71">
        <f>G106*L106</f>
        <v>2167784.3364340002</v>
      </c>
      <c r="Q106" s="71"/>
      <c r="R106" s="75">
        <f>G106*M106</f>
        <v>1873376.9739353003</v>
      </c>
      <c r="S106" s="75"/>
      <c r="T106" s="75">
        <f t="shared" si="9"/>
        <v>12281595.7803693</v>
      </c>
      <c r="U106" s="75">
        <f t="shared" si="6"/>
        <v>12281595.7803693</v>
      </c>
    </row>
    <row r="107" spans="1:21" ht="90" x14ac:dyDescent="0.25">
      <c r="A107" s="235"/>
      <c r="B107" s="236"/>
      <c r="C107" s="63" t="s">
        <v>163</v>
      </c>
      <c r="D107" s="64" t="s">
        <v>101</v>
      </c>
      <c r="E107" s="59" t="s">
        <v>104</v>
      </c>
      <c r="F107" s="59" t="s">
        <v>104</v>
      </c>
      <c r="G107" s="59" t="s">
        <v>104</v>
      </c>
      <c r="H107" s="59" t="s">
        <v>104</v>
      </c>
      <c r="I107" s="59" t="s">
        <v>104</v>
      </c>
      <c r="J107" s="59" t="s">
        <v>104</v>
      </c>
      <c r="K107" s="59" t="s">
        <v>104</v>
      </c>
      <c r="L107" s="59" t="s">
        <v>104</v>
      </c>
      <c r="M107" s="59" t="s">
        <v>104</v>
      </c>
      <c r="N107" s="71"/>
      <c r="O107" s="71"/>
      <c r="P107" s="59" t="s">
        <v>104</v>
      </c>
      <c r="Q107" s="59"/>
      <c r="R107" s="59" t="s">
        <v>104</v>
      </c>
      <c r="S107" s="59"/>
      <c r="T107" s="75"/>
      <c r="U107" s="75"/>
    </row>
    <row r="108" spans="1:21" x14ac:dyDescent="0.25">
      <c r="A108" s="235"/>
      <c r="B108" s="236"/>
      <c r="C108" s="63" t="s">
        <v>164</v>
      </c>
      <c r="D108" s="64" t="s">
        <v>101</v>
      </c>
      <c r="E108" s="60">
        <v>2</v>
      </c>
      <c r="F108" s="60">
        <v>2</v>
      </c>
      <c r="G108" s="59">
        <f t="shared" si="62"/>
        <v>2</v>
      </c>
      <c r="H108" s="60">
        <v>2</v>
      </c>
      <c r="I108" s="60">
        <v>2</v>
      </c>
      <c r="J108" s="75">
        <f>K108</f>
        <v>25589.72</v>
      </c>
      <c r="K108" s="75">
        <v>25589.72</v>
      </c>
      <c r="L108" s="59" t="s">
        <v>104</v>
      </c>
      <c r="M108" s="59" t="s">
        <v>104</v>
      </c>
      <c r="N108" s="71">
        <f>O108</f>
        <v>51179.44</v>
      </c>
      <c r="O108" s="71">
        <f>G108*K108</f>
        <v>51179.44</v>
      </c>
      <c r="P108" s="59" t="s">
        <v>104</v>
      </c>
      <c r="Q108" s="59"/>
      <c r="R108" s="59" t="s">
        <v>104</v>
      </c>
      <c r="S108" s="59"/>
      <c r="T108" s="75">
        <f>H108*K108</f>
        <v>51179.44</v>
      </c>
      <c r="U108" s="75">
        <f t="shared" ref="U108:U112" si="73">I108*K108</f>
        <v>51179.44</v>
      </c>
    </row>
    <row r="109" spans="1:21" x14ac:dyDescent="0.25">
      <c r="A109" s="235"/>
      <c r="B109" s="236"/>
      <c r="C109" s="63" t="s">
        <v>165</v>
      </c>
      <c r="D109" s="64" t="s">
        <v>101</v>
      </c>
      <c r="E109" s="60">
        <v>2</v>
      </c>
      <c r="F109" s="60">
        <v>2</v>
      </c>
      <c r="G109" s="59">
        <f t="shared" si="62"/>
        <v>2</v>
      </c>
      <c r="H109" s="60">
        <v>2</v>
      </c>
      <c r="I109" s="60">
        <v>2</v>
      </c>
      <c r="J109" s="75">
        <f t="shared" ref="J109:J112" si="74">K109</f>
        <v>92468.25</v>
      </c>
      <c r="K109" s="75">
        <v>92468.25</v>
      </c>
      <c r="L109" s="59" t="s">
        <v>104</v>
      </c>
      <c r="M109" s="59" t="s">
        <v>104</v>
      </c>
      <c r="N109" s="71">
        <f t="shared" ref="N109:N112" si="75">O109</f>
        <v>184936.5</v>
      </c>
      <c r="O109" s="71">
        <f t="shared" ref="O109:O112" si="76">G109*K109</f>
        <v>184936.5</v>
      </c>
      <c r="P109" s="59" t="s">
        <v>104</v>
      </c>
      <c r="Q109" s="59"/>
      <c r="R109" s="59" t="s">
        <v>104</v>
      </c>
      <c r="S109" s="59"/>
      <c r="T109" s="75">
        <f t="shared" ref="T109:T112" si="77">H109*K109</f>
        <v>184936.5</v>
      </c>
      <c r="U109" s="75">
        <f t="shared" si="73"/>
        <v>184936.5</v>
      </c>
    </row>
    <row r="110" spans="1:21" x14ac:dyDescent="0.25">
      <c r="A110" s="235"/>
      <c r="B110" s="236"/>
      <c r="C110" s="63" t="s">
        <v>167</v>
      </c>
      <c r="D110" s="64" t="s">
        <v>101</v>
      </c>
      <c r="E110" s="60">
        <v>2</v>
      </c>
      <c r="F110" s="60">
        <v>2</v>
      </c>
      <c r="G110" s="59">
        <f t="shared" si="62"/>
        <v>2</v>
      </c>
      <c r="H110" s="60">
        <v>2</v>
      </c>
      <c r="I110" s="60">
        <v>2</v>
      </c>
      <c r="J110" s="75">
        <f t="shared" si="74"/>
        <v>266106.15000000002</v>
      </c>
      <c r="K110" s="75">
        <v>266106.15000000002</v>
      </c>
      <c r="L110" s="59"/>
      <c r="M110" s="59"/>
      <c r="N110" s="71">
        <f t="shared" si="75"/>
        <v>532212.30000000005</v>
      </c>
      <c r="O110" s="71">
        <f t="shared" si="76"/>
        <v>532212.30000000005</v>
      </c>
      <c r="P110" s="59" t="s">
        <v>104</v>
      </c>
      <c r="Q110" s="59"/>
      <c r="R110" s="59"/>
      <c r="S110" s="59"/>
      <c r="T110" s="75">
        <f t="shared" si="77"/>
        <v>532212.30000000005</v>
      </c>
      <c r="U110" s="75">
        <f t="shared" si="73"/>
        <v>532212.30000000005</v>
      </c>
    </row>
    <row r="111" spans="1:21" x14ac:dyDescent="0.25">
      <c r="A111" s="235"/>
      <c r="B111" s="236"/>
      <c r="C111" s="63" t="s">
        <v>170</v>
      </c>
      <c r="D111" s="64" t="s">
        <v>101</v>
      </c>
      <c r="E111" s="60">
        <v>1</v>
      </c>
      <c r="F111" s="60">
        <v>1</v>
      </c>
      <c r="G111" s="59">
        <f t="shared" si="62"/>
        <v>1</v>
      </c>
      <c r="H111" s="60">
        <v>1</v>
      </c>
      <c r="I111" s="60">
        <v>1</v>
      </c>
      <c r="J111" s="75">
        <f t="shared" si="74"/>
        <v>32769.75</v>
      </c>
      <c r="K111" s="75">
        <v>32769.75</v>
      </c>
      <c r="L111" s="59"/>
      <c r="M111" s="59"/>
      <c r="N111" s="71">
        <f t="shared" si="75"/>
        <v>32769.75</v>
      </c>
      <c r="O111" s="71">
        <f t="shared" si="76"/>
        <v>32769.75</v>
      </c>
      <c r="P111" s="59" t="s">
        <v>104</v>
      </c>
      <c r="Q111" s="59"/>
      <c r="R111" s="59"/>
      <c r="S111" s="59"/>
      <c r="T111" s="75">
        <f t="shared" si="77"/>
        <v>32769.75</v>
      </c>
      <c r="U111" s="75">
        <f t="shared" si="73"/>
        <v>32769.75</v>
      </c>
    </row>
    <row r="112" spans="1:21" x14ac:dyDescent="0.25">
      <c r="A112" s="235"/>
      <c r="B112" s="236"/>
      <c r="C112" s="63" t="s">
        <v>168</v>
      </c>
      <c r="D112" s="64" t="s">
        <v>101</v>
      </c>
      <c r="E112" s="60">
        <v>1</v>
      </c>
      <c r="F112" s="60">
        <v>1</v>
      </c>
      <c r="G112" s="59">
        <f t="shared" si="62"/>
        <v>1</v>
      </c>
      <c r="H112" s="60">
        <v>1</v>
      </c>
      <c r="I112" s="60">
        <v>1</v>
      </c>
      <c r="J112" s="75">
        <f t="shared" si="74"/>
        <v>23553.439999999999</v>
      </c>
      <c r="K112" s="75">
        <v>23553.439999999999</v>
      </c>
      <c r="L112" s="59" t="s">
        <v>104</v>
      </c>
      <c r="M112" s="59" t="s">
        <v>104</v>
      </c>
      <c r="N112" s="71">
        <f t="shared" si="75"/>
        <v>23553.439999999999</v>
      </c>
      <c r="O112" s="71">
        <f t="shared" si="76"/>
        <v>23553.439999999999</v>
      </c>
      <c r="P112" s="59" t="s">
        <v>104</v>
      </c>
      <c r="Q112" s="59"/>
      <c r="R112" s="59" t="s">
        <v>104</v>
      </c>
      <c r="S112" s="59"/>
      <c r="T112" s="75">
        <f t="shared" si="77"/>
        <v>23553.439999999999</v>
      </c>
      <c r="U112" s="75">
        <f t="shared" si="73"/>
        <v>23553.439999999999</v>
      </c>
    </row>
    <row r="113" spans="1:24" ht="120" x14ac:dyDescent="0.25">
      <c r="A113" s="235"/>
      <c r="B113" s="236"/>
      <c r="C113" s="61" t="s">
        <v>105</v>
      </c>
      <c r="D113" s="64" t="s">
        <v>101</v>
      </c>
      <c r="E113" s="60"/>
      <c r="F113" s="60"/>
      <c r="G113" s="59">
        <f t="shared" si="62"/>
        <v>0</v>
      </c>
      <c r="H113" s="60"/>
      <c r="I113" s="60"/>
      <c r="J113" s="75">
        <f>SUM(K113:M113)</f>
        <v>170693.00262170003</v>
      </c>
      <c r="K113" s="75">
        <f>151407.63+1638.38</f>
        <v>153046.01</v>
      </c>
      <c r="L113" s="72">
        <f>4001.99*2.3654</f>
        <v>9466.307146000001</v>
      </c>
      <c r="M113" s="70">
        <f>8021.06+58.14+584.5665962-483.0811205</f>
        <v>8180.685475700001</v>
      </c>
      <c r="N113" s="73">
        <f>SUM(O113:R113)</f>
        <v>0</v>
      </c>
      <c r="O113" s="73">
        <f>G113*K113</f>
        <v>0</v>
      </c>
      <c r="P113" s="73">
        <f>G113*L113</f>
        <v>0</v>
      </c>
      <c r="Q113" s="73"/>
      <c r="R113" s="75">
        <f>G113*M113</f>
        <v>0</v>
      </c>
      <c r="S113" s="75"/>
      <c r="T113" s="75">
        <f t="shared" si="9"/>
        <v>0</v>
      </c>
      <c r="U113" s="75">
        <f t="shared" si="6"/>
        <v>0</v>
      </c>
    </row>
    <row r="114" spans="1:24" x14ac:dyDescent="0.25">
      <c r="A114" s="235"/>
      <c r="B114" s="199"/>
      <c r="C114" s="66" t="s">
        <v>106</v>
      </c>
      <c r="D114" s="64"/>
      <c r="E114" s="60">
        <f>E106+E113</f>
        <v>229</v>
      </c>
      <c r="F114" s="60">
        <f t="shared" ref="F114:I114" si="78">F106+F113</f>
        <v>229</v>
      </c>
      <c r="G114" s="60">
        <f t="shared" si="78"/>
        <v>229</v>
      </c>
      <c r="H114" s="60">
        <f t="shared" si="78"/>
        <v>229</v>
      </c>
      <c r="I114" s="60">
        <f t="shared" si="78"/>
        <v>229</v>
      </c>
      <c r="J114" s="73" t="s">
        <v>104</v>
      </c>
      <c r="K114" s="73" t="s">
        <v>104</v>
      </c>
      <c r="L114" s="73" t="s">
        <v>104</v>
      </c>
      <c r="M114" s="73" t="s">
        <v>104</v>
      </c>
      <c r="N114" s="74">
        <f>SUM(N106:N113)</f>
        <v>13106247.2103693</v>
      </c>
      <c r="O114" s="74">
        <f>SUM(O106:O113)</f>
        <v>9065085.9000000004</v>
      </c>
      <c r="P114" s="74">
        <f>SUM(P106:P113)</f>
        <v>2167784.3364340002</v>
      </c>
      <c r="Q114" s="74"/>
      <c r="R114" s="74">
        <f t="shared" ref="R114:U114" si="79">SUM(R106:R113)</f>
        <v>1873376.9739353003</v>
      </c>
      <c r="S114" s="74"/>
      <c r="T114" s="74">
        <f t="shared" si="79"/>
        <v>13106247.2103693</v>
      </c>
      <c r="U114" s="74">
        <f t="shared" si="79"/>
        <v>13106247.2103693</v>
      </c>
    </row>
    <row r="115" spans="1:24" ht="90" x14ac:dyDescent="0.25">
      <c r="A115" s="235"/>
      <c r="B115" s="236" t="s">
        <v>247</v>
      </c>
      <c r="C115" s="61" t="s">
        <v>100</v>
      </c>
      <c r="D115" s="62" t="s">
        <v>101</v>
      </c>
      <c r="E115" s="60">
        <v>35</v>
      </c>
      <c r="F115" s="60">
        <v>35</v>
      </c>
      <c r="G115" s="59">
        <f t="shared" si="62"/>
        <v>35</v>
      </c>
      <c r="H115" s="60">
        <v>35</v>
      </c>
      <c r="I115" s="60">
        <v>35</v>
      </c>
      <c r="J115" s="107">
        <f>SUM(K115:M115)</f>
        <v>60737.232621700008</v>
      </c>
      <c r="K115" s="107">
        <f>41105.12+1985.12</f>
        <v>43090.240000000005</v>
      </c>
      <c r="L115" s="70">
        <f>4001.99*2.3654</f>
        <v>9466.307146000001</v>
      </c>
      <c r="M115" s="70">
        <f>8021.06+58.14+584.5665962-483.0811205</f>
        <v>8180.685475700001</v>
      </c>
      <c r="N115" s="73">
        <f>SUM(O115:R115)</f>
        <v>2125803.3817595001</v>
      </c>
      <c r="O115" s="73">
        <f>G115*K115</f>
        <v>1508158.4000000001</v>
      </c>
      <c r="P115" s="73">
        <f>G115*L115+0.24</f>
        <v>331320.99011000001</v>
      </c>
      <c r="Q115" s="73"/>
      <c r="R115" s="75">
        <f>G115*M115</f>
        <v>286323.99164950004</v>
      </c>
      <c r="S115" s="75"/>
      <c r="T115" s="75">
        <f>N115</f>
        <v>2125803.3817595001</v>
      </c>
      <c r="U115" s="75">
        <f>T115</f>
        <v>2125803.3817595001</v>
      </c>
    </row>
    <row r="116" spans="1:24" ht="90" x14ac:dyDescent="0.25">
      <c r="A116" s="235"/>
      <c r="B116" s="236"/>
      <c r="C116" s="63" t="s">
        <v>163</v>
      </c>
      <c r="D116" s="64" t="s">
        <v>101</v>
      </c>
      <c r="E116" s="59" t="s">
        <v>104</v>
      </c>
      <c r="F116" s="59" t="s">
        <v>104</v>
      </c>
      <c r="G116" s="59" t="s">
        <v>104</v>
      </c>
      <c r="H116" s="59" t="s">
        <v>104</v>
      </c>
      <c r="I116" s="59" t="s">
        <v>104</v>
      </c>
      <c r="J116" s="59" t="s">
        <v>104</v>
      </c>
      <c r="K116" s="59" t="s">
        <v>104</v>
      </c>
      <c r="L116" s="59" t="s">
        <v>104</v>
      </c>
      <c r="M116" s="59" t="s">
        <v>104</v>
      </c>
      <c r="N116" s="71"/>
      <c r="O116" s="71"/>
      <c r="P116" s="59" t="s">
        <v>104</v>
      </c>
      <c r="Q116" s="59"/>
      <c r="R116" s="59" t="s">
        <v>104</v>
      </c>
      <c r="S116" s="59"/>
      <c r="T116" s="75"/>
      <c r="U116" s="75"/>
    </row>
    <row r="117" spans="1:24" x14ac:dyDescent="0.25">
      <c r="A117" s="235"/>
      <c r="B117" s="236"/>
      <c r="C117" s="63" t="s">
        <v>165</v>
      </c>
      <c r="D117" s="64" t="s">
        <v>101</v>
      </c>
      <c r="E117" s="60">
        <v>0</v>
      </c>
      <c r="F117" s="60"/>
      <c r="G117" s="59">
        <f t="shared" si="62"/>
        <v>0</v>
      </c>
      <c r="H117" s="60">
        <v>0</v>
      </c>
      <c r="I117" s="60">
        <v>0</v>
      </c>
      <c r="J117" s="75">
        <f>K117</f>
        <v>92468.25</v>
      </c>
      <c r="K117" s="75">
        <v>92468.25</v>
      </c>
      <c r="L117" s="59" t="s">
        <v>104</v>
      </c>
      <c r="M117" s="59" t="s">
        <v>104</v>
      </c>
      <c r="N117" s="71">
        <f>O117</f>
        <v>0</v>
      </c>
      <c r="O117" s="71">
        <f>G117*K117</f>
        <v>0</v>
      </c>
      <c r="P117" s="59" t="s">
        <v>104</v>
      </c>
      <c r="Q117" s="59"/>
      <c r="R117" s="59" t="s">
        <v>104</v>
      </c>
      <c r="S117" s="59"/>
      <c r="T117" s="75">
        <f>H117*K117</f>
        <v>0</v>
      </c>
      <c r="U117" s="75">
        <f>I117*K117</f>
        <v>0</v>
      </c>
    </row>
    <row r="118" spans="1:24" ht="120" x14ac:dyDescent="0.25">
      <c r="A118" s="235"/>
      <c r="B118" s="236"/>
      <c r="C118" s="61" t="s">
        <v>105</v>
      </c>
      <c r="D118" s="64" t="s">
        <v>101</v>
      </c>
      <c r="E118" s="60"/>
      <c r="F118" s="60">
        <v>0</v>
      </c>
      <c r="G118" s="157">
        <f t="shared" si="62"/>
        <v>0</v>
      </c>
      <c r="H118" s="60">
        <v>0</v>
      </c>
      <c r="I118" s="60">
        <v>0</v>
      </c>
      <c r="J118" s="75">
        <f>SUM(K118:M118)</f>
        <v>201034.46262170002</v>
      </c>
      <c r="K118" s="75">
        <f>181402.35+1985.12</f>
        <v>183387.47</v>
      </c>
      <c r="L118" s="72">
        <f>4001.99*2.3654</f>
        <v>9466.307146000001</v>
      </c>
      <c r="M118" s="70">
        <f>8021.06+58.14+584.5665962-483.0811205</f>
        <v>8180.685475700001</v>
      </c>
      <c r="N118" s="73"/>
      <c r="O118" s="73">
        <f>K118*G118</f>
        <v>0</v>
      </c>
      <c r="P118" s="73">
        <f>L118*G118</f>
        <v>0</v>
      </c>
      <c r="Q118" s="73"/>
      <c r="R118" s="73"/>
      <c r="S118" s="73"/>
      <c r="T118" s="75">
        <f t="shared" si="9"/>
        <v>0</v>
      </c>
      <c r="U118" s="75">
        <f t="shared" si="6"/>
        <v>0</v>
      </c>
    </row>
    <row r="119" spans="1:24" x14ac:dyDescent="0.25">
      <c r="A119" s="235"/>
      <c r="B119" s="199"/>
      <c r="C119" s="66" t="s">
        <v>106</v>
      </c>
      <c r="D119" s="64"/>
      <c r="E119" s="60">
        <f>E115+E118</f>
        <v>35</v>
      </c>
      <c r="F119" s="60">
        <f t="shared" ref="F119:I119" si="80">F115+F118</f>
        <v>35</v>
      </c>
      <c r="G119" s="60">
        <f t="shared" si="80"/>
        <v>35</v>
      </c>
      <c r="H119" s="60">
        <f t="shared" si="80"/>
        <v>35</v>
      </c>
      <c r="I119" s="60">
        <f t="shared" si="80"/>
        <v>35</v>
      </c>
      <c r="J119" s="73" t="s">
        <v>104</v>
      </c>
      <c r="K119" s="73" t="s">
        <v>104</v>
      </c>
      <c r="L119" s="73" t="s">
        <v>104</v>
      </c>
      <c r="M119" s="73" t="s">
        <v>104</v>
      </c>
      <c r="N119" s="74">
        <f>SUM(N115:N118)</f>
        <v>2125803.3817595001</v>
      </c>
      <c r="O119" s="74">
        <f>SUM(O115:O118)</f>
        <v>1508158.4000000001</v>
      </c>
      <c r="P119" s="74">
        <f>SUM(P115:P118)</f>
        <v>331320.99011000001</v>
      </c>
      <c r="Q119" s="74"/>
      <c r="R119" s="74">
        <f t="shared" ref="R119:U119" si="81">SUM(R115:R118)</f>
        <v>286323.99164950004</v>
      </c>
      <c r="S119" s="74"/>
      <c r="T119" s="74">
        <f t="shared" si="81"/>
        <v>2125803.3817595001</v>
      </c>
      <c r="U119" s="74">
        <f t="shared" si="81"/>
        <v>2125803.3817595001</v>
      </c>
    </row>
    <row r="120" spans="1:24" ht="102" customHeight="1" x14ac:dyDescent="0.25">
      <c r="A120" s="235"/>
      <c r="B120" s="137" t="s">
        <v>248</v>
      </c>
      <c r="C120" s="61" t="s">
        <v>187</v>
      </c>
      <c r="D120" s="64" t="s">
        <v>101</v>
      </c>
      <c r="E120" s="60">
        <v>416</v>
      </c>
      <c r="F120" s="60">
        <v>416</v>
      </c>
      <c r="G120" s="157">
        <f t="shared" si="62"/>
        <v>416</v>
      </c>
      <c r="H120" s="60">
        <v>416</v>
      </c>
      <c r="I120" s="60">
        <v>416</v>
      </c>
      <c r="J120" s="75">
        <f>K120</f>
        <v>3437.2</v>
      </c>
      <c r="K120" s="75">
        <v>3437.2</v>
      </c>
      <c r="L120" s="73" t="s">
        <v>104</v>
      </c>
      <c r="M120" s="73" t="s">
        <v>104</v>
      </c>
      <c r="N120" s="73">
        <f>SUM(O120:R120)</f>
        <v>1429875</v>
      </c>
      <c r="O120" s="73">
        <f>G120*K120-0.2</f>
        <v>1429875</v>
      </c>
      <c r="P120" s="73" t="s">
        <v>104</v>
      </c>
      <c r="Q120" s="73"/>
      <c r="R120" s="73" t="s">
        <v>104</v>
      </c>
      <c r="S120" s="73"/>
      <c r="T120" s="75">
        <f>N120</f>
        <v>1429875</v>
      </c>
      <c r="U120" s="75">
        <f>T120</f>
        <v>1429875</v>
      </c>
    </row>
    <row r="121" spans="1:24" x14ac:dyDescent="0.25">
      <c r="A121" s="235"/>
      <c r="B121" s="69"/>
      <c r="C121" s="66" t="s">
        <v>106</v>
      </c>
      <c r="D121" s="69"/>
      <c r="E121" s="60">
        <f>SUM(E120:E120)</f>
        <v>416</v>
      </c>
      <c r="F121" s="60">
        <f>SUM(F120:F120)</f>
        <v>416</v>
      </c>
      <c r="G121" s="60">
        <f>SUM(G120:G120)</f>
        <v>416</v>
      </c>
      <c r="H121" s="60">
        <f>SUM(H120:H120)</f>
        <v>416</v>
      </c>
      <c r="I121" s="60">
        <f>SUM(I120:I120)</f>
        <v>416</v>
      </c>
      <c r="J121" s="73" t="s">
        <v>104</v>
      </c>
      <c r="K121" s="73" t="s">
        <v>104</v>
      </c>
      <c r="L121" s="73" t="s">
        <v>104</v>
      </c>
      <c r="M121" s="74">
        <f t="shared" ref="M121:R121" si="82">SUM(M120:M120)</f>
        <v>0</v>
      </c>
      <c r="N121" s="74">
        <f>SUM(N120:N120)</f>
        <v>1429875</v>
      </c>
      <c r="O121" s="74">
        <f t="shared" si="82"/>
        <v>1429875</v>
      </c>
      <c r="P121" s="74">
        <f t="shared" si="82"/>
        <v>0</v>
      </c>
      <c r="Q121" s="74"/>
      <c r="R121" s="74">
        <f t="shared" si="82"/>
        <v>0</v>
      </c>
      <c r="S121" s="74"/>
      <c r="T121" s="75">
        <f>N121</f>
        <v>1429875</v>
      </c>
      <c r="U121" s="75">
        <f>T121</f>
        <v>1429875</v>
      </c>
    </row>
    <row r="122" spans="1:24" x14ac:dyDescent="0.25">
      <c r="A122" s="235"/>
      <c r="B122" s="89" t="s">
        <v>225</v>
      </c>
      <c r="C122" s="188" t="s">
        <v>219</v>
      </c>
      <c r="D122" s="64" t="s">
        <v>101</v>
      </c>
      <c r="E122" s="60"/>
      <c r="F122" s="60"/>
      <c r="G122" s="60">
        <v>14</v>
      </c>
      <c r="H122" s="60">
        <v>14</v>
      </c>
      <c r="I122" s="60">
        <v>14</v>
      </c>
      <c r="J122" s="73"/>
      <c r="K122" s="73"/>
      <c r="L122" s="73"/>
      <c r="M122" s="74"/>
      <c r="N122" s="74"/>
      <c r="O122" s="74"/>
      <c r="P122" s="74"/>
      <c r="Q122" s="74"/>
      <c r="R122" s="74"/>
      <c r="S122" s="74">
        <v>2220367</v>
      </c>
      <c r="T122" s="75">
        <f>S122</f>
        <v>2220367</v>
      </c>
      <c r="U122" s="75">
        <f>T122</f>
        <v>2220367</v>
      </c>
    </row>
    <row r="123" spans="1:24" x14ac:dyDescent="0.25">
      <c r="A123" s="235"/>
      <c r="B123" s="89" t="s">
        <v>225</v>
      </c>
      <c r="C123" s="188" t="s">
        <v>226</v>
      </c>
      <c r="D123" s="64" t="s">
        <v>101</v>
      </c>
      <c r="E123" s="60"/>
      <c r="F123" s="60"/>
      <c r="G123" s="60"/>
      <c r="H123" s="60"/>
      <c r="I123" s="60"/>
      <c r="J123" s="73"/>
      <c r="K123" s="73"/>
      <c r="L123" s="73"/>
      <c r="M123" s="74"/>
      <c r="N123" s="74"/>
      <c r="O123" s="74"/>
      <c r="P123" s="74"/>
      <c r="Q123" s="74"/>
      <c r="R123" s="74"/>
      <c r="S123" s="74"/>
      <c r="T123" s="75">
        <f>Q123</f>
        <v>0</v>
      </c>
      <c r="U123" s="75">
        <f>T123</f>
        <v>0</v>
      </c>
    </row>
    <row r="124" spans="1:24" x14ac:dyDescent="0.25">
      <c r="A124" s="235"/>
      <c r="B124" s="101" t="s">
        <v>112</v>
      </c>
      <c r="C124" s="101"/>
      <c r="D124" s="69"/>
      <c r="E124" s="102"/>
      <c r="F124" s="102"/>
      <c r="G124" s="102">
        <f>G105+G114+G119</f>
        <v>473</v>
      </c>
      <c r="H124" s="102">
        <f t="shared" ref="H124:I124" si="83">H105+H114+H119</f>
        <v>473</v>
      </c>
      <c r="I124" s="102">
        <f t="shared" si="83"/>
        <v>473</v>
      </c>
      <c r="J124" s="104"/>
      <c r="K124" s="104"/>
      <c r="L124" s="103"/>
      <c r="M124" s="103"/>
      <c r="N124" s="103">
        <f>SUM(O124:S124)</f>
        <v>30213195.750064097</v>
      </c>
      <c r="O124" s="136">
        <f>O105+O114+O119+O121</f>
        <v>19645801</v>
      </c>
      <c r="P124" s="103">
        <f>P105+P114+P119+P121</f>
        <v>4477563.5200580005</v>
      </c>
      <c r="Q124" s="103">
        <f>Q123</f>
        <v>0</v>
      </c>
      <c r="R124" s="103">
        <f>R105+R114+R119+R121</f>
        <v>3869464.2300061006</v>
      </c>
      <c r="S124" s="103">
        <f>S122</f>
        <v>2220367</v>
      </c>
      <c r="T124" s="103">
        <f>T105+T114+T119+T121+T122+T123</f>
        <v>30213195.750064105</v>
      </c>
      <c r="U124" s="103">
        <f>U105+U114+U119+U121+U122+U123</f>
        <v>30213195.750064105</v>
      </c>
      <c r="V124" s="80">
        <v>3869464.23</v>
      </c>
      <c r="W124" s="85">
        <f>V124-R124</f>
        <v>-6.100628525018692E-6</v>
      </c>
      <c r="X124" s="80">
        <f>W124/I124</f>
        <v>-1.2897734725198081E-8</v>
      </c>
    </row>
    <row r="125" spans="1:24" ht="90" x14ac:dyDescent="0.25">
      <c r="A125" s="235" t="s">
        <v>116</v>
      </c>
      <c r="B125" s="237" t="s">
        <v>245</v>
      </c>
      <c r="C125" s="61" t="s">
        <v>100</v>
      </c>
      <c r="D125" s="62" t="s">
        <v>101</v>
      </c>
      <c r="E125" s="59">
        <v>326</v>
      </c>
      <c r="F125" s="59">
        <v>326</v>
      </c>
      <c r="G125" s="157">
        <f t="shared" ref="G125:G151" si="84">((E125*8)+(F125*4))/12</f>
        <v>326</v>
      </c>
      <c r="H125" s="59">
        <v>326</v>
      </c>
      <c r="I125" s="59">
        <v>326</v>
      </c>
      <c r="J125" s="107">
        <f>SUM(K125:M125)</f>
        <v>44847.749494700009</v>
      </c>
      <c r="K125" s="107">
        <f>22739.74+1342.39</f>
        <v>24082.13</v>
      </c>
      <c r="L125" s="70">
        <f>4001.99*2.3654</f>
        <v>9466.307146000001</v>
      </c>
      <c r="M125" s="70">
        <f>10643.1+58.14+363.3656174+234.7067313</f>
        <v>11299.312348700001</v>
      </c>
      <c r="N125" s="71">
        <f>SUM(O125:R125)</f>
        <v>14620372.135272201</v>
      </c>
      <c r="O125" s="71">
        <f>G125*K125+5.8</f>
        <v>7850780.1799999997</v>
      </c>
      <c r="P125" s="71">
        <f>G125*L125</f>
        <v>3086016.1295960005</v>
      </c>
      <c r="Q125" s="71"/>
      <c r="R125" s="75">
        <f>G125*M125</f>
        <v>3683575.8256762004</v>
      </c>
      <c r="S125" s="75"/>
      <c r="T125" s="75">
        <f>N125</f>
        <v>14620372.135272201</v>
      </c>
      <c r="U125" s="75">
        <f>T125</f>
        <v>14620372.135272201</v>
      </c>
    </row>
    <row r="126" spans="1:24" ht="90" x14ac:dyDescent="0.25">
      <c r="A126" s="235"/>
      <c r="B126" s="238"/>
      <c r="C126" s="63" t="s">
        <v>163</v>
      </c>
      <c r="D126" s="64" t="s">
        <v>101</v>
      </c>
      <c r="E126" s="59" t="s">
        <v>104</v>
      </c>
      <c r="F126" s="59" t="s">
        <v>104</v>
      </c>
      <c r="G126" s="59" t="s">
        <v>104</v>
      </c>
      <c r="H126" s="59" t="s">
        <v>104</v>
      </c>
      <c r="I126" s="59" t="s">
        <v>104</v>
      </c>
      <c r="J126" s="59" t="s">
        <v>104</v>
      </c>
      <c r="K126" s="59" t="s">
        <v>104</v>
      </c>
      <c r="L126" s="59" t="s">
        <v>104</v>
      </c>
      <c r="M126" s="59" t="s">
        <v>104</v>
      </c>
      <c r="N126" s="71"/>
      <c r="O126" s="71"/>
      <c r="P126" s="59" t="s">
        <v>104</v>
      </c>
      <c r="Q126" s="59"/>
      <c r="R126" s="59" t="s">
        <v>104</v>
      </c>
      <c r="S126" s="59"/>
      <c r="T126" s="75"/>
      <c r="U126" s="75"/>
    </row>
    <row r="127" spans="1:24" x14ac:dyDescent="0.25">
      <c r="A127" s="235"/>
      <c r="B127" s="238"/>
      <c r="C127" s="63" t="s">
        <v>164</v>
      </c>
      <c r="D127" s="64" t="s">
        <v>101</v>
      </c>
      <c r="E127" s="59">
        <v>1</v>
      </c>
      <c r="F127" s="59">
        <v>1</v>
      </c>
      <c r="G127" s="59">
        <f t="shared" si="84"/>
        <v>1</v>
      </c>
      <c r="H127" s="59">
        <v>1</v>
      </c>
      <c r="I127" s="59">
        <v>1</v>
      </c>
      <c r="J127" s="75">
        <f t="shared" ref="J127:J132" si="85">K127</f>
        <v>25589.72</v>
      </c>
      <c r="K127" s="71">
        <v>25589.72</v>
      </c>
      <c r="L127" s="59"/>
      <c r="M127" s="59"/>
      <c r="N127" s="71">
        <f t="shared" ref="N127:N128" si="86">O127</f>
        <v>25589.72</v>
      </c>
      <c r="O127" s="71">
        <f>G127*K127</f>
        <v>25589.72</v>
      </c>
      <c r="P127" s="59" t="s">
        <v>104</v>
      </c>
      <c r="Q127" s="59"/>
      <c r="R127" s="59"/>
      <c r="S127" s="59"/>
      <c r="T127" s="75">
        <f t="shared" ref="T127:T132" si="87">H127*K127</f>
        <v>25589.72</v>
      </c>
      <c r="U127" s="75">
        <f t="shared" ref="U127:U128" si="88">I127*K127</f>
        <v>25589.72</v>
      </c>
    </row>
    <row r="128" spans="1:24" x14ac:dyDescent="0.25">
      <c r="A128" s="235"/>
      <c r="B128" s="238"/>
      <c r="C128" s="63" t="s">
        <v>169</v>
      </c>
      <c r="D128" s="64" t="s">
        <v>101</v>
      </c>
      <c r="E128" s="59">
        <v>3</v>
      </c>
      <c r="F128" s="59">
        <v>3</v>
      </c>
      <c r="G128" s="59">
        <f t="shared" si="84"/>
        <v>3</v>
      </c>
      <c r="H128" s="59">
        <v>3</v>
      </c>
      <c r="I128" s="59">
        <v>3</v>
      </c>
      <c r="J128" s="75">
        <f t="shared" si="85"/>
        <v>69362.66</v>
      </c>
      <c r="K128" s="71">
        <v>69362.66</v>
      </c>
      <c r="L128" s="59" t="s">
        <v>104</v>
      </c>
      <c r="M128" s="59" t="s">
        <v>104</v>
      </c>
      <c r="N128" s="71">
        <f t="shared" si="86"/>
        <v>208087.98</v>
      </c>
      <c r="O128" s="71">
        <f t="shared" ref="O128:O132" si="89">G128*K128</f>
        <v>208087.98</v>
      </c>
      <c r="P128" s="59" t="s">
        <v>104</v>
      </c>
      <c r="Q128" s="59"/>
      <c r="R128" s="59" t="s">
        <v>104</v>
      </c>
      <c r="S128" s="59"/>
      <c r="T128" s="75">
        <f t="shared" si="87"/>
        <v>208087.98</v>
      </c>
      <c r="U128" s="75">
        <f t="shared" si="88"/>
        <v>208087.98</v>
      </c>
    </row>
    <row r="129" spans="1:21" x14ac:dyDescent="0.25">
      <c r="A129" s="235"/>
      <c r="B129" s="238"/>
      <c r="C129" s="63" t="s">
        <v>166</v>
      </c>
      <c r="D129" s="64" t="s">
        <v>101</v>
      </c>
      <c r="E129" s="59">
        <v>1</v>
      </c>
      <c r="F129" s="59">
        <v>1</v>
      </c>
      <c r="G129" s="59">
        <f t="shared" si="84"/>
        <v>1</v>
      </c>
      <c r="H129" s="59">
        <v>1</v>
      </c>
      <c r="I129" s="59">
        <v>1</v>
      </c>
      <c r="J129" s="75">
        <f t="shared" si="85"/>
        <v>66361.320000000007</v>
      </c>
      <c r="K129" s="75">
        <v>66361.320000000007</v>
      </c>
      <c r="L129" s="59" t="s">
        <v>104</v>
      </c>
      <c r="M129" s="59" t="s">
        <v>104</v>
      </c>
      <c r="N129" s="71">
        <f>O129</f>
        <v>66361.320000000007</v>
      </c>
      <c r="O129" s="71">
        <f t="shared" si="89"/>
        <v>66361.320000000007</v>
      </c>
      <c r="P129" s="59" t="s">
        <v>104</v>
      </c>
      <c r="Q129" s="59"/>
      <c r="R129" s="59" t="s">
        <v>104</v>
      </c>
      <c r="S129" s="59"/>
      <c r="T129" s="75">
        <f t="shared" si="87"/>
        <v>66361.320000000007</v>
      </c>
      <c r="U129" s="75">
        <f>I129*K129</f>
        <v>66361.320000000007</v>
      </c>
    </row>
    <row r="130" spans="1:21" x14ac:dyDescent="0.25">
      <c r="A130" s="235"/>
      <c r="B130" s="238"/>
      <c r="C130" s="63" t="s">
        <v>167</v>
      </c>
      <c r="D130" s="64" t="s">
        <v>101</v>
      </c>
      <c r="E130" s="59"/>
      <c r="F130" s="59"/>
      <c r="G130" s="59">
        <f t="shared" si="84"/>
        <v>0</v>
      </c>
      <c r="H130" s="59"/>
      <c r="I130" s="59"/>
      <c r="J130" s="75">
        <f t="shared" si="85"/>
        <v>174890.83</v>
      </c>
      <c r="K130" s="75">
        <v>174890.83</v>
      </c>
      <c r="L130" s="59" t="s">
        <v>104</v>
      </c>
      <c r="M130" s="59" t="s">
        <v>104</v>
      </c>
      <c r="N130" s="71">
        <f>O130</f>
        <v>0</v>
      </c>
      <c r="O130" s="71">
        <f t="shared" si="89"/>
        <v>0</v>
      </c>
      <c r="P130" s="59" t="s">
        <v>104</v>
      </c>
      <c r="Q130" s="59"/>
      <c r="R130" s="59" t="s">
        <v>104</v>
      </c>
      <c r="S130" s="59"/>
      <c r="T130" s="75">
        <f t="shared" si="87"/>
        <v>0</v>
      </c>
      <c r="U130" s="75">
        <f>I130*K130</f>
        <v>0</v>
      </c>
    </row>
    <row r="131" spans="1:21" x14ac:dyDescent="0.25">
      <c r="A131" s="235"/>
      <c r="B131" s="238"/>
      <c r="C131" s="63" t="s">
        <v>170</v>
      </c>
      <c r="D131" s="64" t="s">
        <v>101</v>
      </c>
      <c r="E131" s="59">
        <v>1</v>
      </c>
      <c r="F131" s="59">
        <v>1</v>
      </c>
      <c r="G131" s="59">
        <f t="shared" si="84"/>
        <v>1</v>
      </c>
      <c r="H131" s="59">
        <v>1</v>
      </c>
      <c r="I131" s="59">
        <v>1</v>
      </c>
      <c r="J131" s="75">
        <f t="shared" si="85"/>
        <v>99648.29</v>
      </c>
      <c r="K131" s="75">
        <v>99648.29</v>
      </c>
      <c r="L131" s="59" t="s">
        <v>104</v>
      </c>
      <c r="M131" s="59" t="s">
        <v>104</v>
      </c>
      <c r="N131" s="71">
        <f>O131</f>
        <v>99648.29</v>
      </c>
      <c r="O131" s="71">
        <f t="shared" si="89"/>
        <v>99648.29</v>
      </c>
      <c r="P131" s="59" t="s">
        <v>104</v>
      </c>
      <c r="Q131" s="59"/>
      <c r="R131" s="59" t="s">
        <v>104</v>
      </c>
      <c r="S131" s="59"/>
      <c r="T131" s="75">
        <f t="shared" si="87"/>
        <v>99648.29</v>
      </c>
      <c r="U131" s="75">
        <f>I131*K131</f>
        <v>99648.29</v>
      </c>
    </row>
    <row r="132" spans="1:21" x14ac:dyDescent="0.25">
      <c r="A132" s="235"/>
      <c r="B132" s="238"/>
      <c r="C132" s="63" t="s">
        <v>168</v>
      </c>
      <c r="D132" s="64" t="s">
        <v>101</v>
      </c>
      <c r="E132" s="59">
        <v>1</v>
      </c>
      <c r="F132" s="59">
        <v>1</v>
      </c>
      <c r="G132" s="59">
        <f t="shared" si="84"/>
        <v>1</v>
      </c>
      <c r="H132" s="59">
        <v>1</v>
      </c>
      <c r="I132" s="59">
        <v>1</v>
      </c>
      <c r="J132" s="75">
        <f t="shared" si="85"/>
        <v>23553.439999999999</v>
      </c>
      <c r="K132" s="75">
        <v>23553.439999999999</v>
      </c>
      <c r="L132" s="59" t="s">
        <v>104</v>
      </c>
      <c r="M132" s="59" t="s">
        <v>104</v>
      </c>
      <c r="N132" s="71">
        <f>O132</f>
        <v>23553.439999999999</v>
      </c>
      <c r="O132" s="71">
        <f t="shared" si="89"/>
        <v>23553.439999999999</v>
      </c>
      <c r="P132" s="59" t="s">
        <v>104</v>
      </c>
      <c r="Q132" s="59"/>
      <c r="R132" s="59" t="s">
        <v>104</v>
      </c>
      <c r="S132" s="59"/>
      <c r="T132" s="75">
        <f t="shared" si="87"/>
        <v>23553.439999999999</v>
      </c>
      <c r="U132" s="75">
        <f>I132*K132</f>
        <v>23553.439999999999</v>
      </c>
    </row>
    <row r="133" spans="1:21" ht="120" x14ac:dyDescent="0.25">
      <c r="A133" s="235"/>
      <c r="B133" s="238"/>
      <c r="C133" s="61" t="s">
        <v>105</v>
      </c>
      <c r="D133" s="64" t="s">
        <v>101</v>
      </c>
      <c r="E133" s="59">
        <v>2</v>
      </c>
      <c r="F133" s="59">
        <v>2</v>
      </c>
      <c r="G133" s="157">
        <f t="shared" si="84"/>
        <v>2</v>
      </c>
      <c r="H133" s="59">
        <v>2</v>
      </c>
      <c r="I133" s="59">
        <v>2</v>
      </c>
      <c r="J133" s="75">
        <f>SUM(K133:M133)</f>
        <v>143520.92949470002</v>
      </c>
      <c r="K133" s="75">
        <f>121412.92+1342.39</f>
        <v>122755.31</v>
      </c>
      <c r="L133" s="72">
        <f>4001.99*2.3654</f>
        <v>9466.307146000001</v>
      </c>
      <c r="M133" s="70">
        <f>10643.1+58.14+363.3656174+234.7067313</f>
        <v>11299.312348700001</v>
      </c>
      <c r="N133" s="71">
        <f>SUM(O133:R133)</f>
        <v>287041.85898940003</v>
      </c>
      <c r="O133" s="71">
        <f>G133*K133</f>
        <v>245510.62</v>
      </c>
      <c r="P133" s="71">
        <f>G133*L133</f>
        <v>18932.614292000002</v>
      </c>
      <c r="Q133" s="71"/>
      <c r="R133" s="75">
        <f>G133*M133</f>
        <v>22598.624697400002</v>
      </c>
      <c r="S133" s="75"/>
      <c r="T133" s="75">
        <f t="shared" ref="T133:T149" si="90">H133*J133</f>
        <v>287041.85898940003</v>
      </c>
      <c r="U133" s="75">
        <f t="shared" ref="U133:U149" si="91">I133*J133</f>
        <v>287041.85898940003</v>
      </c>
    </row>
    <row r="134" spans="1:21" ht="105" x14ac:dyDescent="0.25">
      <c r="A134" s="235"/>
      <c r="B134" s="238"/>
      <c r="C134" s="61" t="s">
        <v>117</v>
      </c>
      <c r="D134" s="64" t="s">
        <v>101</v>
      </c>
      <c r="E134" s="59">
        <v>0</v>
      </c>
      <c r="F134" s="59">
        <v>0</v>
      </c>
      <c r="G134" s="157">
        <f t="shared" si="84"/>
        <v>0</v>
      </c>
      <c r="H134" s="59">
        <v>0</v>
      </c>
      <c r="I134" s="59">
        <v>0</v>
      </c>
      <c r="J134" s="75">
        <f>K134</f>
        <v>21480.1</v>
      </c>
      <c r="K134" s="75">
        <v>21480.1</v>
      </c>
      <c r="L134" s="72" t="s">
        <v>104</v>
      </c>
      <c r="M134" s="72" t="s">
        <v>104</v>
      </c>
      <c r="N134" s="71">
        <f>SUM(O134:R134)</f>
        <v>0</v>
      </c>
      <c r="O134" s="71">
        <f>G134*K134</f>
        <v>0</v>
      </c>
      <c r="P134" s="71"/>
      <c r="Q134" s="71"/>
      <c r="R134" s="71"/>
      <c r="S134" s="71"/>
      <c r="T134" s="75">
        <f t="shared" si="90"/>
        <v>0</v>
      </c>
      <c r="U134" s="75">
        <f t="shared" si="91"/>
        <v>0</v>
      </c>
    </row>
    <row r="135" spans="1:21" x14ac:dyDescent="0.25">
      <c r="A135" s="235"/>
      <c r="B135" s="239"/>
      <c r="C135" s="66" t="s">
        <v>106</v>
      </c>
      <c r="D135" s="67"/>
      <c r="E135" s="59">
        <f>E125+E133</f>
        <v>328</v>
      </c>
      <c r="F135" s="59">
        <f>F125+F133</f>
        <v>328</v>
      </c>
      <c r="G135" s="59">
        <f>G125+G133</f>
        <v>328</v>
      </c>
      <c r="H135" s="59">
        <f>H125+H133</f>
        <v>328</v>
      </c>
      <c r="I135" s="59">
        <f>I125+I133</f>
        <v>328</v>
      </c>
      <c r="J135" s="71" t="s">
        <v>104</v>
      </c>
      <c r="K135" s="71" t="s">
        <v>104</v>
      </c>
      <c r="L135" s="71" t="s">
        <v>104</v>
      </c>
      <c r="M135" s="71" t="s">
        <v>104</v>
      </c>
      <c r="N135" s="71">
        <f>SUM(N125:N134)</f>
        <v>15330654.744261602</v>
      </c>
      <c r="O135" s="71">
        <f t="shared" ref="O135:U135" si="92">SUM(O125:O134)</f>
        <v>8519531.5500000007</v>
      </c>
      <c r="P135" s="71">
        <f t="shared" si="92"/>
        <v>3104948.7438880005</v>
      </c>
      <c r="Q135" s="71"/>
      <c r="R135" s="71">
        <f t="shared" si="92"/>
        <v>3706174.4503736002</v>
      </c>
      <c r="S135" s="71"/>
      <c r="T135" s="71">
        <f t="shared" si="92"/>
        <v>15330654.744261602</v>
      </c>
      <c r="U135" s="71">
        <f t="shared" si="92"/>
        <v>15330654.744261602</v>
      </c>
    </row>
    <row r="136" spans="1:21" ht="90" x14ac:dyDescent="0.25">
      <c r="A136" s="235"/>
      <c r="B136" s="237" t="s">
        <v>246</v>
      </c>
      <c r="C136" s="61" t="s">
        <v>100</v>
      </c>
      <c r="D136" s="62" t="s">
        <v>101</v>
      </c>
      <c r="E136" s="59">
        <v>174</v>
      </c>
      <c r="F136" s="59">
        <v>174</v>
      </c>
      <c r="G136" s="59">
        <f t="shared" si="84"/>
        <v>174</v>
      </c>
      <c r="H136" s="59">
        <v>174</v>
      </c>
      <c r="I136" s="59">
        <v>174</v>
      </c>
      <c r="J136" s="107">
        <f>SUM(K136:M136)</f>
        <v>56750.049494699997</v>
      </c>
      <c r="K136" s="107">
        <f>34346.05+1638.38</f>
        <v>35984.43</v>
      </c>
      <c r="L136" s="70">
        <f>4001.99*2.3654</f>
        <v>9466.307146000001</v>
      </c>
      <c r="M136" s="70">
        <f>10643.1+58.14+363.3656174+234.7067313</f>
        <v>11299.312348700001</v>
      </c>
      <c r="N136" s="71">
        <f>SUM(O136:R136)</f>
        <v>9874508.6120778006</v>
      </c>
      <c r="O136" s="71">
        <f>G136*K136</f>
        <v>6261290.8200000003</v>
      </c>
      <c r="P136" s="71">
        <f>G136*L136</f>
        <v>1647137.4434040003</v>
      </c>
      <c r="Q136" s="71"/>
      <c r="R136" s="75">
        <f>G136*M136</f>
        <v>1966080.3486738002</v>
      </c>
      <c r="S136" s="75"/>
      <c r="T136" s="75">
        <f t="shared" si="90"/>
        <v>9874508.6120777987</v>
      </c>
      <c r="U136" s="75">
        <f t="shared" si="91"/>
        <v>9874508.6120777987</v>
      </c>
    </row>
    <row r="137" spans="1:21" ht="105" x14ac:dyDescent="0.25">
      <c r="A137" s="235"/>
      <c r="B137" s="238"/>
      <c r="C137" s="61" t="s">
        <v>118</v>
      </c>
      <c r="D137" s="62" t="s">
        <v>101</v>
      </c>
      <c r="E137" s="59">
        <v>218</v>
      </c>
      <c r="F137" s="59">
        <v>218</v>
      </c>
      <c r="G137" s="59">
        <f t="shared" si="84"/>
        <v>218</v>
      </c>
      <c r="H137" s="59">
        <v>218</v>
      </c>
      <c r="I137" s="59">
        <v>218</v>
      </c>
      <c r="J137" s="107">
        <f>SUM(K137:M137)</f>
        <v>60186.859494699995</v>
      </c>
      <c r="K137" s="107">
        <f>37782.86+1638.38</f>
        <v>39421.24</v>
      </c>
      <c r="L137" s="70">
        <f>4001.99*2.3654</f>
        <v>9466.307146000001</v>
      </c>
      <c r="M137" s="70">
        <f>10643.1+58.14+363.3656174+234.7067313</f>
        <v>11299.312348700001</v>
      </c>
      <c r="N137" s="71">
        <f>SUM(O137:R137)</f>
        <v>13120735.369844601</v>
      </c>
      <c r="O137" s="71">
        <f>G137*K137</f>
        <v>8593830.3200000003</v>
      </c>
      <c r="P137" s="71">
        <f>G137*L137</f>
        <v>2063654.9578280002</v>
      </c>
      <c r="Q137" s="71"/>
      <c r="R137" s="75">
        <f>G137*M137</f>
        <v>2463250.0920166001</v>
      </c>
      <c r="S137" s="75"/>
      <c r="T137" s="75">
        <f t="shared" si="90"/>
        <v>13120735.369844599</v>
      </c>
      <c r="U137" s="75">
        <f t="shared" si="91"/>
        <v>13120735.369844599</v>
      </c>
    </row>
    <row r="138" spans="1:21" ht="90" x14ac:dyDescent="0.25">
      <c r="A138" s="235"/>
      <c r="B138" s="238"/>
      <c r="C138" s="63" t="s">
        <v>102</v>
      </c>
      <c r="D138" s="64" t="s">
        <v>101</v>
      </c>
      <c r="E138" s="59" t="s">
        <v>104</v>
      </c>
      <c r="F138" s="59" t="s">
        <v>104</v>
      </c>
      <c r="G138" s="59" t="s">
        <v>104</v>
      </c>
      <c r="H138" s="59" t="s">
        <v>104</v>
      </c>
      <c r="I138" s="59" t="s">
        <v>104</v>
      </c>
      <c r="J138" s="59" t="s">
        <v>104</v>
      </c>
      <c r="K138" s="59" t="s">
        <v>104</v>
      </c>
      <c r="L138" s="59" t="s">
        <v>104</v>
      </c>
      <c r="M138" s="59" t="s">
        <v>104</v>
      </c>
      <c r="N138" s="71"/>
      <c r="O138" s="71"/>
      <c r="P138" s="59" t="s">
        <v>104</v>
      </c>
      <c r="Q138" s="59"/>
      <c r="R138" s="59" t="s">
        <v>104</v>
      </c>
      <c r="S138" s="59"/>
      <c r="T138" s="75"/>
      <c r="U138" s="75"/>
    </row>
    <row r="139" spans="1:21" x14ac:dyDescent="0.25">
      <c r="A139" s="235"/>
      <c r="B139" s="238"/>
      <c r="C139" s="63" t="s">
        <v>171</v>
      </c>
      <c r="D139" s="64" t="s">
        <v>101</v>
      </c>
      <c r="E139" s="60">
        <v>1</v>
      </c>
      <c r="F139" s="60">
        <v>1</v>
      </c>
      <c r="G139" s="59">
        <f t="shared" si="84"/>
        <v>1</v>
      </c>
      <c r="H139" s="60">
        <v>1</v>
      </c>
      <c r="I139" s="60">
        <v>1</v>
      </c>
      <c r="J139" s="75">
        <f>K139</f>
        <v>69362.66</v>
      </c>
      <c r="K139" s="75">
        <v>69362.66</v>
      </c>
      <c r="L139" s="59" t="s">
        <v>104</v>
      </c>
      <c r="M139" s="59" t="s">
        <v>104</v>
      </c>
      <c r="N139" s="71">
        <f>O139</f>
        <v>69362.66</v>
      </c>
      <c r="O139" s="71">
        <f>G139*K139</f>
        <v>69362.66</v>
      </c>
      <c r="P139" s="59" t="s">
        <v>104</v>
      </c>
      <c r="Q139" s="59"/>
      <c r="R139" s="59" t="s">
        <v>104</v>
      </c>
      <c r="S139" s="59"/>
      <c r="T139" s="75">
        <f>H139*K139</f>
        <v>69362.66</v>
      </c>
      <c r="U139" s="75">
        <f>I139*K139</f>
        <v>69362.66</v>
      </c>
    </row>
    <row r="140" spans="1:21" x14ac:dyDescent="0.25">
      <c r="A140" s="235"/>
      <c r="B140" s="238"/>
      <c r="C140" s="63" t="s">
        <v>164</v>
      </c>
      <c r="D140" s="64" t="s">
        <v>101</v>
      </c>
      <c r="E140" s="60">
        <v>1</v>
      </c>
      <c r="F140" s="60">
        <v>1</v>
      </c>
      <c r="G140" s="59">
        <f t="shared" si="84"/>
        <v>1</v>
      </c>
      <c r="H140" s="60">
        <v>1</v>
      </c>
      <c r="I140" s="60">
        <v>1</v>
      </c>
      <c r="J140" s="75">
        <f>K140</f>
        <v>25589.72</v>
      </c>
      <c r="K140" s="75">
        <v>25589.72</v>
      </c>
      <c r="L140" s="59" t="s">
        <v>104</v>
      </c>
      <c r="M140" s="59" t="s">
        <v>104</v>
      </c>
      <c r="N140" s="71">
        <f>O140</f>
        <v>25589.72</v>
      </c>
      <c r="O140" s="71">
        <f t="shared" ref="O140:O141" si="93">G140*K140</f>
        <v>25589.72</v>
      </c>
      <c r="P140" s="59" t="s">
        <v>104</v>
      </c>
      <c r="Q140" s="59"/>
      <c r="R140" s="59" t="s">
        <v>104</v>
      </c>
      <c r="S140" s="59"/>
      <c r="T140" s="75">
        <f>H140*K140</f>
        <v>25589.72</v>
      </c>
      <c r="U140" s="75">
        <f>I140*K140</f>
        <v>25589.72</v>
      </c>
    </row>
    <row r="141" spans="1:21" x14ac:dyDescent="0.25">
      <c r="A141" s="235"/>
      <c r="B141" s="238"/>
      <c r="C141" s="63" t="s">
        <v>168</v>
      </c>
      <c r="D141" s="64" t="s">
        <v>101</v>
      </c>
      <c r="E141" s="60">
        <v>3</v>
      </c>
      <c r="F141" s="60">
        <v>3</v>
      </c>
      <c r="G141" s="59">
        <f t="shared" si="84"/>
        <v>3</v>
      </c>
      <c r="H141" s="60">
        <v>3</v>
      </c>
      <c r="I141" s="60">
        <v>3</v>
      </c>
      <c r="J141" s="75">
        <f>K141</f>
        <v>23553.439999999999</v>
      </c>
      <c r="K141" s="75">
        <v>23553.439999999999</v>
      </c>
      <c r="L141" s="59" t="s">
        <v>104</v>
      </c>
      <c r="M141" s="59" t="s">
        <v>104</v>
      </c>
      <c r="N141" s="71">
        <f>O141</f>
        <v>70660.319999999992</v>
      </c>
      <c r="O141" s="71">
        <f t="shared" si="93"/>
        <v>70660.319999999992</v>
      </c>
      <c r="P141" s="59" t="s">
        <v>104</v>
      </c>
      <c r="Q141" s="59"/>
      <c r="R141" s="59" t="s">
        <v>104</v>
      </c>
      <c r="S141" s="59"/>
      <c r="T141" s="75">
        <f>H141*K141</f>
        <v>70660.319999999992</v>
      </c>
      <c r="U141" s="75">
        <f>I141*K141</f>
        <v>70660.319999999992</v>
      </c>
    </row>
    <row r="142" spans="1:21" ht="120" x14ac:dyDescent="0.25">
      <c r="A142" s="235"/>
      <c r="B142" s="238"/>
      <c r="C142" s="61" t="s">
        <v>105</v>
      </c>
      <c r="D142" s="64" t="s">
        <v>101</v>
      </c>
      <c r="E142" s="60">
        <v>1</v>
      </c>
      <c r="F142" s="60">
        <v>1</v>
      </c>
      <c r="G142" s="59">
        <f t="shared" si="84"/>
        <v>1</v>
      </c>
      <c r="H142" s="60">
        <v>1</v>
      </c>
      <c r="I142" s="60">
        <v>1</v>
      </c>
      <c r="J142" s="75">
        <f>SUM(K142:M142)</f>
        <v>173811.62949470003</v>
      </c>
      <c r="K142" s="75">
        <f>151407.63+1638.38</f>
        <v>153046.01</v>
      </c>
      <c r="L142" s="72">
        <f>4001.99*2.3654</f>
        <v>9466.307146000001</v>
      </c>
      <c r="M142" s="70">
        <f>10643.1+58.14+363.3656174+234.7067313</f>
        <v>11299.312348700001</v>
      </c>
      <c r="N142" s="73">
        <f>SUM(O142:R142)</f>
        <v>173811.62949470003</v>
      </c>
      <c r="O142" s="73">
        <f>G142*K142</f>
        <v>153046.01</v>
      </c>
      <c r="P142" s="73">
        <f>G142*L142</f>
        <v>9466.307146000001</v>
      </c>
      <c r="Q142" s="73"/>
      <c r="R142" s="73">
        <f>E142*M142</f>
        <v>11299.312348700001</v>
      </c>
      <c r="S142" s="73"/>
      <c r="T142" s="75">
        <f t="shared" si="90"/>
        <v>173811.62949470003</v>
      </c>
      <c r="U142" s="75">
        <f t="shared" si="91"/>
        <v>173811.62949470003</v>
      </c>
    </row>
    <row r="143" spans="1:21" ht="105" x14ac:dyDescent="0.25">
      <c r="A143" s="235"/>
      <c r="B143" s="238"/>
      <c r="C143" s="61" t="s">
        <v>117</v>
      </c>
      <c r="D143" s="64" t="s">
        <v>101</v>
      </c>
      <c r="E143" s="60">
        <v>0</v>
      </c>
      <c r="F143" s="60">
        <v>0</v>
      </c>
      <c r="G143" s="59">
        <f t="shared" si="84"/>
        <v>0</v>
      </c>
      <c r="H143" s="60">
        <v>0</v>
      </c>
      <c r="I143" s="60">
        <v>0</v>
      </c>
      <c r="J143" s="75">
        <f>K143</f>
        <v>34010.129999999997</v>
      </c>
      <c r="K143" s="75">
        <v>34010.129999999997</v>
      </c>
      <c r="L143" s="72" t="s">
        <v>104</v>
      </c>
      <c r="M143" s="72" t="s">
        <v>104</v>
      </c>
      <c r="N143" s="73">
        <f>SUM(O143:R143)</f>
        <v>0</v>
      </c>
      <c r="O143" s="73">
        <f>G143*K143</f>
        <v>0</v>
      </c>
      <c r="P143" s="73"/>
      <c r="Q143" s="73"/>
      <c r="R143" s="73"/>
      <c r="S143" s="73"/>
      <c r="T143" s="75">
        <f t="shared" si="90"/>
        <v>0</v>
      </c>
      <c r="U143" s="75">
        <f t="shared" si="91"/>
        <v>0</v>
      </c>
    </row>
    <row r="144" spans="1:21" x14ac:dyDescent="0.25">
      <c r="A144" s="235"/>
      <c r="B144" s="239"/>
      <c r="C144" s="66" t="s">
        <v>106</v>
      </c>
      <c r="D144" s="64"/>
      <c r="E144" s="60">
        <f>E136++E137+E142</f>
        <v>393</v>
      </c>
      <c r="F144" s="60">
        <f>F136++F137+F142</f>
        <v>393</v>
      </c>
      <c r="G144" s="60">
        <f>G136++G137+G142</f>
        <v>393</v>
      </c>
      <c r="H144" s="60">
        <f>H136++H137+H142</f>
        <v>393</v>
      </c>
      <c r="I144" s="60">
        <f>I136++I137+I142</f>
        <v>393</v>
      </c>
      <c r="J144" s="73" t="s">
        <v>104</v>
      </c>
      <c r="K144" s="73" t="s">
        <v>104</v>
      </c>
      <c r="L144" s="74" t="s">
        <v>104</v>
      </c>
      <c r="M144" s="74" t="s">
        <v>104</v>
      </c>
      <c r="N144" s="74">
        <f>SUM(N136:N143)</f>
        <v>23334668.311417103</v>
      </c>
      <c r="O144" s="74">
        <f t="shared" ref="O144:U144" si="94">SUM(O136:O143)</f>
        <v>15173779.850000001</v>
      </c>
      <c r="P144" s="74">
        <f t="shared" si="94"/>
        <v>3720258.7083780007</v>
      </c>
      <c r="Q144" s="74"/>
      <c r="R144" s="74">
        <f t="shared" si="94"/>
        <v>4440629.7530391002</v>
      </c>
      <c r="S144" s="74"/>
      <c r="T144" s="74">
        <f t="shared" si="94"/>
        <v>23334668.311417095</v>
      </c>
      <c r="U144" s="74">
        <f t="shared" si="94"/>
        <v>23334668.311417095</v>
      </c>
    </row>
    <row r="145" spans="1:25" ht="90" x14ac:dyDescent="0.25">
      <c r="A145" s="235"/>
      <c r="B145" s="237" t="s">
        <v>247</v>
      </c>
      <c r="C145" s="61" t="s">
        <v>100</v>
      </c>
      <c r="D145" s="62" t="s">
        <v>101</v>
      </c>
      <c r="E145" s="60">
        <v>53</v>
      </c>
      <c r="F145" s="60">
        <v>53</v>
      </c>
      <c r="G145" s="59">
        <f t="shared" si="84"/>
        <v>53</v>
      </c>
      <c r="H145" s="60">
        <v>53</v>
      </c>
      <c r="I145" s="60">
        <v>53</v>
      </c>
      <c r="J145" s="107">
        <f>SUM(K145:M145)</f>
        <v>63855.859494700009</v>
      </c>
      <c r="K145" s="107">
        <f>41105.12+1985.12</f>
        <v>43090.240000000005</v>
      </c>
      <c r="L145" s="70">
        <f>4001.99*2.3654</f>
        <v>9466.307146000001</v>
      </c>
      <c r="M145" s="70">
        <f>10643.1+58.14+363.3656174+234.7067313</f>
        <v>11299.312348700001</v>
      </c>
      <c r="N145" s="73">
        <f>SUM(O145:R145)</f>
        <v>3384360.5532191005</v>
      </c>
      <c r="O145" s="73">
        <f>G145*K145</f>
        <v>2283782.7200000002</v>
      </c>
      <c r="P145" s="73">
        <f>G145*L145</f>
        <v>501714.27873800008</v>
      </c>
      <c r="Q145" s="73"/>
      <c r="R145" s="75">
        <f>G145*M145</f>
        <v>598863.55448110006</v>
      </c>
      <c r="S145" s="75"/>
      <c r="T145" s="75">
        <f>H145*J145</f>
        <v>3384360.5532191005</v>
      </c>
      <c r="U145" s="75">
        <f t="shared" si="91"/>
        <v>3384360.5532191005</v>
      </c>
    </row>
    <row r="146" spans="1:25" ht="105" x14ac:dyDescent="0.25">
      <c r="A146" s="235"/>
      <c r="B146" s="238"/>
      <c r="C146" s="61" t="s">
        <v>172</v>
      </c>
      <c r="D146" s="62" t="s">
        <v>101</v>
      </c>
      <c r="E146" s="60">
        <v>52</v>
      </c>
      <c r="F146" s="60">
        <v>52</v>
      </c>
      <c r="G146" s="59">
        <f t="shared" si="84"/>
        <v>52</v>
      </c>
      <c r="H146" s="60">
        <v>52</v>
      </c>
      <c r="I146" s="60">
        <v>52</v>
      </c>
      <c r="J146" s="107">
        <f>SUM(K146:M146)</f>
        <v>106151.30949470001</v>
      </c>
      <c r="K146" s="107">
        <f>83400.57+1985.12</f>
        <v>85385.69</v>
      </c>
      <c r="L146" s="70">
        <f>4001.99*2.3654</f>
        <v>9466.307146000001</v>
      </c>
      <c r="M146" s="70">
        <f>10643.1+58.14+363.3656174+234.7067313</f>
        <v>11299.312348700001</v>
      </c>
      <c r="N146" s="73">
        <f>SUM(O146:R146)</f>
        <v>5520110.5937243998</v>
      </c>
      <c r="O146" s="73">
        <f>G146*K146</f>
        <v>4440055.88</v>
      </c>
      <c r="P146" s="73">
        <f>G146*L146+243.1</f>
        <v>492491.07159200002</v>
      </c>
      <c r="Q146" s="73"/>
      <c r="R146" s="75">
        <f>G146*M146-0.6</f>
        <v>587563.64213240007</v>
      </c>
      <c r="S146" s="75"/>
      <c r="T146" s="75">
        <f>N146</f>
        <v>5520110.5937243998</v>
      </c>
      <c r="U146" s="75">
        <f>T146</f>
        <v>5520110.5937243998</v>
      </c>
    </row>
    <row r="147" spans="1:25" ht="90" x14ac:dyDescent="0.25">
      <c r="A147" s="235"/>
      <c r="B147" s="238"/>
      <c r="C147" s="63" t="s">
        <v>102</v>
      </c>
      <c r="D147" s="64" t="s">
        <v>101</v>
      </c>
      <c r="E147" s="59" t="s">
        <v>104</v>
      </c>
      <c r="F147" s="59" t="s">
        <v>104</v>
      </c>
      <c r="G147" s="59" t="s">
        <v>104</v>
      </c>
      <c r="H147" s="59" t="s">
        <v>104</v>
      </c>
      <c r="I147" s="59" t="s">
        <v>104</v>
      </c>
      <c r="J147" s="59" t="s">
        <v>104</v>
      </c>
      <c r="K147" s="59" t="s">
        <v>104</v>
      </c>
      <c r="L147" s="59" t="s">
        <v>104</v>
      </c>
      <c r="M147" s="59" t="s">
        <v>104</v>
      </c>
      <c r="N147" s="71"/>
      <c r="O147" s="71"/>
      <c r="P147" s="59" t="s">
        <v>104</v>
      </c>
      <c r="Q147" s="59"/>
      <c r="R147" s="59" t="s">
        <v>104</v>
      </c>
      <c r="S147" s="59"/>
      <c r="T147" s="75"/>
      <c r="U147" s="75"/>
    </row>
    <row r="148" spans="1:25" x14ac:dyDescent="0.25">
      <c r="A148" s="235"/>
      <c r="B148" s="238"/>
      <c r="C148" s="63" t="s">
        <v>168</v>
      </c>
      <c r="D148" s="64" t="s">
        <v>101</v>
      </c>
      <c r="E148" s="60"/>
      <c r="F148" s="60"/>
      <c r="G148" s="59">
        <f t="shared" si="84"/>
        <v>0</v>
      </c>
      <c r="H148" s="60"/>
      <c r="I148" s="60"/>
      <c r="J148" s="75">
        <f>K148</f>
        <v>23553.439999999999</v>
      </c>
      <c r="K148" s="75">
        <v>23553.439999999999</v>
      </c>
      <c r="L148" s="59" t="s">
        <v>104</v>
      </c>
      <c r="M148" s="59" t="s">
        <v>104</v>
      </c>
      <c r="N148" s="71">
        <f>O148</f>
        <v>0</v>
      </c>
      <c r="O148" s="71">
        <f>G148*K148</f>
        <v>0</v>
      </c>
      <c r="P148" s="59" t="s">
        <v>104</v>
      </c>
      <c r="Q148" s="59"/>
      <c r="R148" s="59" t="s">
        <v>104</v>
      </c>
      <c r="S148" s="59"/>
      <c r="T148" s="75">
        <f>H148*K148</f>
        <v>0</v>
      </c>
      <c r="U148" s="75">
        <f>I148*K148</f>
        <v>0</v>
      </c>
    </row>
    <row r="149" spans="1:25" ht="120" x14ac:dyDescent="0.25">
      <c r="A149" s="235"/>
      <c r="B149" s="238"/>
      <c r="C149" s="61" t="s">
        <v>105</v>
      </c>
      <c r="D149" s="64" t="s">
        <v>101</v>
      </c>
      <c r="E149" s="60"/>
      <c r="F149" s="60"/>
      <c r="G149" s="59">
        <f t="shared" si="84"/>
        <v>0</v>
      </c>
      <c r="H149" s="60"/>
      <c r="I149" s="60"/>
      <c r="J149" s="75">
        <f>SUM(K149:M149)</f>
        <v>204153.08949470002</v>
      </c>
      <c r="K149" s="75">
        <f>181402.35+1985.12</f>
        <v>183387.47</v>
      </c>
      <c r="L149" s="72">
        <f>4001.99*2.3654</f>
        <v>9466.307146000001</v>
      </c>
      <c r="M149" s="70">
        <f>10643.1+58.14+363.3656174+234.7067313</f>
        <v>11299.312348700001</v>
      </c>
      <c r="N149" s="73"/>
      <c r="O149" s="73"/>
      <c r="P149" s="73"/>
      <c r="Q149" s="73"/>
      <c r="R149" s="73"/>
      <c r="S149" s="73"/>
      <c r="T149" s="75">
        <f t="shared" si="90"/>
        <v>0</v>
      </c>
      <c r="U149" s="75">
        <f t="shared" si="91"/>
        <v>0</v>
      </c>
    </row>
    <row r="150" spans="1:25" x14ac:dyDescent="0.25">
      <c r="A150" s="235"/>
      <c r="B150" s="239"/>
      <c r="C150" s="66" t="s">
        <v>106</v>
      </c>
      <c r="D150" s="64"/>
      <c r="E150" s="60">
        <f>E145+E149</f>
        <v>53</v>
      </c>
      <c r="F150" s="60">
        <f t="shared" ref="F150" si="95">F145+F149</f>
        <v>53</v>
      </c>
      <c r="G150" s="60">
        <f>G145+G149+G146</f>
        <v>105</v>
      </c>
      <c r="H150" s="60">
        <f t="shared" ref="H150:I150" si="96">H145+H149+H146</f>
        <v>105</v>
      </c>
      <c r="I150" s="60">
        <f t="shared" si="96"/>
        <v>105</v>
      </c>
      <c r="J150" s="73" t="s">
        <v>104</v>
      </c>
      <c r="K150" s="73" t="s">
        <v>104</v>
      </c>
      <c r="L150" s="74" t="s">
        <v>104</v>
      </c>
      <c r="M150" s="74" t="s">
        <v>104</v>
      </c>
      <c r="N150" s="74">
        <f>SUM(N145:N149)</f>
        <v>8904471.1469435003</v>
      </c>
      <c r="O150" s="74">
        <f t="shared" ref="O150:U150" si="97">SUM(O145:O149)</f>
        <v>6723838.5999999996</v>
      </c>
      <c r="P150" s="74">
        <f t="shared" si="97"/>
        <v>994205.35033000004</v>
      </c>
      <c r="Q150" s="74"/>
      <c r="R150" s="74">
        <f t="shared" si="97"/>
        <v>1186427.1966135001</v>
      </c>
      <c r="S150" s="74"/>
      <c r="T150" s="74">
        <f>SUM(T145:T149)</f>
        <v>8904471.1469435003</v>
      </c>
      <c r="U150" s="74">
        <f t="shared" si="97"/>
        <v>8904471.1469435003</v>
      </c>
    </row>
    <row r="151" spans="1:25" ht="102" customHeight="1" x14ac:dyDescent="0.25">
      <c r="A151" s="235"/>
      <c r="B151" s="137" t="s">
        <v>248</v>
      </c>
      <c r="C151" s="61" t="s">
        <v>187</v>
      </c>
      <c r="D151" s="64" t="s">
        <v>101</v>
      </c>
      <c r="E151" s="60">
        <v>1235</v>
      </c>
      <c r="F151" s="60">
        <v>1235</v>
      </c>
      <c r="G151" s="59">
        <f t="shared" si="84"/>
        <v>1235</v>
      </c>
      <c r="H151" s="60">
        <v>1235</v>
      </c>
      <c r="I151" s="60">
        <v>1235</v>
      </c>
      <c r="J151" s="75">
        <f>K151</f>
        <v>3437.2</v>
      </c>
      <c r="K151" s="75">
        <v>3437.2</v>
      </c>
      <c r="L151" s="72" t="s">
        <v>104</v>
      </c>
      <c r="M151" s="72" t="s">
        <v>104</v>
      </c>
      <c r="N151" s="73">
        <f>SUM(O151:R151)</f>
        <v>4244942</v>
      </c>
      <c r="O151" s="73">
        <f>G151*K151</f>
        <v>4244942</v>
      </c>
      <c r="P151" s="73" t="s">
        <v>104</v>
      </c>
      <c r="Q151" s="73"/>
      <c r="R151" s="73" t="s">
        <v>104</v>
      </c>
      <c r="S151" s="73"/>
      <c r="T151" s="75">
        <f>N151</f>
        <v>4244942</v>
      </c>
      <c r="U151" s="75">
        <f>T151</f>
        <v>4244942</v>
      </c>
    </row>
    <row r="152" spans="1:25" x14ac:dyDescent="0.25">
      <c r="A152" s="235"/>
      <c r="B152" s="69"/>
      <c r="C152" s="66" t="s">
        <v>106</v>
      </c>
      <c r="D152" s="69"/>
      <c r="E152" s="60">
        <f>SUM(E151:E151)</f>
        <v>1235</v>
      </c>
      <c r="F152" s="60">
        <f>SUM(F151:F151)</f>
        <v>1235</v>
      </c>
      <c r="G152" s="60">
        <f>SUM(G151:G151)</f>
        <v>1235</v>
      </c>
      <c r="H152" s="60">
        <f>SUM(H151:H151)</f>
        <v>1235</v>
      </c>
      <c r="I152" s="60">
        <f>SUM(I151:I151)</f>
        <v>1235</v>
      </c>
      <c r="J152" s="73" t="s">
        <v>104</v>
      </c>
      <c r="K152" s="73" t="s">
        <v>104</v>
      </c>
      <c r="L152" s="74" t="s">
        <v>104</v>
      </c>
      <c r="M152" s="74">
        <f t="shared" ref="M152:U152" si="98">SUM(M151:M151)</f>
        <v>0</v>
      </c>
      <c r="N152" s="74">
        <f t="shared" si="98"/>
        <v>4244942</v>
      </c>
      <c r="O152" s="74">
        <f t="shared" si="98"/>
        <v>4244942</v>
      </c>
      <c r="P152" s="74">
        <f t="shared" si="98"/>
        <v>0</v>
      </c>
      <c r="Q152" s="74"/>
      <c r="R152" s="74">
        <f t="shared" si="98"/>
        <v>0</v>
      </c>
      <c r="S152" s="74"/>
      <c r="T152" s="75">
        <f>N152</f>
        <v>4244942</v>
      </c>
      <c r="U152" s="75">
        <f t="shared" si="98"/>
        <v>4244942</v>
      </c>
    </row>
    <row r="153" spans="1:25" x14ac:dyDescent="0.25">
      <c r="A153" s="235"/>
      <c r="B153" s="89" t="s">
        <v>225</v>
      </c>
      <c r="C153" s="188" t="s">
        <v>219</v>
      </c>
      <c r="D153" s="64" t="s">
        <v>101</v>
      </c>
      <c r="E153" s="60"/>
      <c r="F153" s="60"/>
      <c r="G153" s="60">
        <v>4</v>
      </c>
      <c r="H153" s="60">
        <v>4</v>
      </c>
      <c r="I153" s="60">
        <v>4</v>
      </c>
      <c r="J153" s="73"/>
      <c r="K153" s="73"/>
      <c r="L153" s="74"/>
      <c r="M153" s="74"/>
      <c r="N153" s="74"/>
      <c r="O153" s="74"/>
      <c r="P153" s="74"/>
      <c r="Q153" s="74"/>
      <c r="R153" s="74"/>
      <c r="S153" s="74">
        <v>155400</v>
      </c>
      <c r="T153" s="75">
        <f>S153</f>
        <v>155400</v>
      </c>
      <c r="U153" s="75">
        <f>T153</f>
        <v>155400</v>
      </c>
    </row>
    <row r="154" spans="1:25" x14ac:dyDescent="0.25">
      <c r="A154" s="235"/>
      <c r="B154" s="89" t="s">
        <v>225</v>
      </c>
      <c r="C154" s="188" t="s">
        <v>226</v>
      </c>
      <c r="D154" s="64" t="s">
        <v>101</v>
      </c>
      <c r="E154" s="60"/>
      <c r="F154" s="60"/>
      <c r="G154" s="60"/>
      <c r="H154" s="60"/>
      <c r="I154" s="60"/>
      <c r="J154" s="73"/>
      <c r="K154" s="73"/>
      <c r="L154" s="74"/>
      <c r="M154" s="74"/>
      <c r="N154" s="74"/>
      <c r="O154" s="74"/>
      <c r="P154" s="74"/>
      <c r="Q154" s="74"/>
      <c r="R154" s="74"/>
      <c r="S154" s="74"/>
      <c r="T154" s="75">
        <f>Q154</f>
        <v>0</v>
      </c>
      <c r="U154" s="75">
        <f>T154</f>
        <v>0</v>
      </c>
    </row>
    <row r="155" spans="1:25" x14ac:dyDescent="0.25">
      <c r="A155" s="235"/>
      <c r="B155" s="101" t="s">
        <v>112</v>
      </c>
      <c r="C155" s="101"/>
      <c r="D155" s="69"/>
      <c r="E155" s="102"/>
      <c r="F155" s="102"/>
      <c r="G155" s="102">
        <f>G135+G144+G150</f>
        <v>826</v>
      </c>
      <c r="H155" s="102">
        <f t="shared" ref="H155:I155" si="99">H135+H144+H150</f>
        <v>826</v>
      </c>
      <c r="I155" s="102">
        <f t="shared" si="99"/>
        <v>826</v>
      </c>
      <c r="J155" s="104"/>
      <c r="K155" s="104"/>
      <c r="L155" s="103"/>
      <c r="M155" s="103"/>
      <c r="N155" s="103">
        <f>SUM(O155:S155)</f>
        <v>51970136.202622205</v>
      </c>
      <c r="O155" s="103">
        <f t="shared" ref="O155:R155" si="100">O135+O144+O150+O152</f>
        <v>34662092</v>
      </c>
      <c r="P155" s="103">
        <f t="shared" si="100"/>
        <v>7819412.802596001</v>
      </c>
      <c r="Q155" s="103">
        <f>Q154</f>
        <v>0</v>
      </c>
      <c r="R155" s="103">
        <f t="shared" si="100"/>
        <v>9333231.4000262003</v>
      </c>
      <c r="S155" s="103">
        <f>S153</f>
        <v>155400</v>
      </c>
      <c r="T155" s="103">
        <f>T135+T144+T150+T152+T153+T154</f>
        <v>51970136.202622198</v>
      </c>
      <c r="U155" s="103">
        <f>U135+U144+U150+U152+U153+U154</f>
        <v>51970136.202622198</v>
      </c>
      <c r="V155" s="80">
        <v>9333231.4000000004</v>
      </c>
      <c r="W155" s="85">
        <f>V155-R155</f>
        <v>-2.6199966669082642E-5</v>
      </c>
      <c r="X155" s="80">
        <f>W155/I155</f>
        <v>-3.1719087977097628E-8</v>
      </c>
    </row>
    <row r="156" spans="1:25" ht="225" x14ac:dyDescent="0.25">
      <c r="A156" s="235" t="s">
        <v>119</v>
      </c>
      <c r="B156" s="236" t="s">
        <v>245</v>
      </c>
      <c r="C156" s="61" t="s">
        <v>120</v>
      </c>
      <c r="D156" s="62" t="s">
        <v>121</v>
      </c>
      <c r="E156" s="121" t="s">
        <v>192</v>
      </c>
      <c r="F156" s="121" t="s">
        <v>192</v>
      </c>
      <c r="G156" s="121" t="s">
        <v>192</v>
      </c>
      <c r="H156" s="121" t="s">
        <v>192</v>
      </c>
      <c r="I156" s="121" t="s">
        <v>192</v>
      </c>
      <c r="J156" s="107" t="s">
        <v>270</v>
      </c>
      <c r="K156" s="107" t="s">
        <v>244</v>
      </c>
      <c r="L156" s="70" t="s">
        <v>233</v>
      </c>
      <c r="M156" s="70" t="s">
        <v>267</v>
      </c>
      <c r="N156" s="71">
        <f>SUM(O156:R156)</f>
        <v>3474458.8598220004</v>
      </c>
      <c r="O156" s="71">
        <f>(648495.11*3)+((1342.39*67)/12*8+(1342.39*67)/12*4)+1.62</f>
        <v>2035427.08</v>
      </c>
      <c r="P156" s="71">
        <f>((4001.99*2.3654*67)/12*8)+((4001.99*2.3654*67)/12*4)</f>
        <v>634242.57878200011</v>
      </c>
      <c r="Q156" s="71"/>
      <c r="R156" s="75">
        <f>((12011.77912*67)/12*8)+((12011.77912*67)/12*4)</f>
        <v>804789.20103999996</v>
      </c>
      <c r="S156" s="75"/>
      <c r="T156" s="75">
        <f>N156</f>
        <v>3474458.8598220004</v>
      </c>
      <c r="U156" s="75">
        <f>T156</f>
        <v>3474458.8598220004</v>
      </c>
      <c r="W156" s="80">
        <f>12300.53*67</f>
        <v>824135.51</v>
      </c>
      <c r="X156" s="80">
        <f>1342.39+12011.78+(4001.99*2.3654)</f>
        <v>22820.477146000001</v>
      </c>
      <c r="Y156" s="80">
        <f>4001.99*2.3654</f>
        <v>9466.307146000001</v>
      </c>
    </row>
    <row r="157" spans="1:25" ht="225" x14ac:dyDescent="0.25">
      <c r="A157" s="235"/>
      <c r="B157" s="236"/>
      <c r="C157" s="61" t="s">
        <v>128</v>
      </c>
      <c r="D157" s="62" t="s">
        <v>121</v>
      </c>
      <c r="E157" s="121" t="s">
        <v>193</v>
      </c>
      <c r="F157" s="121" t="s">
        <v>193</v>
      </c>
      <c r="G157" s="121" t="s">
        <v>193</v>
      </c>
      <c r="H157" s="121" t="s">
        <v>193</v>
      </c>
      <c r="I157" s="121" t="s">
        <v>193</v>
      </c>
      <c r="J157" s="107" t="s">
        <v>270</v>
      </c>
      <c r="K157" s="107" t="s">
        <v>240</v>
      </c>
      <c r="L157" s="70" t="s">
        <v>233</v>
      </c>
      <c r="M157" s="70" t="s">
        <v>267</v>
      </c>
      <c r="N157" s="71">
        <f t="shared" ref="N157:N163" si="101">SUM(O157:R157)</f>
        <v>1062501.2090540002</v>
      </c>
      <c r="O157" s="71">
        <f>(((628912.16*1)/12*8+(628912.16*1)/12*4)+((1342.39*19)/12*8+(1342.39*19)/12*4))</f>
        <v>654417.57000000007</v>
      </c>
      <c r="P157" s="71">
        <f>((4001.99*2.3654*19)/12*8)+((4001.99*2.3654*19)/12*4)</f>
        <v>179859.83577400001</v>
      </c>
      <c r="Q157" s="71"/>
      <c r="R157" s="75">
        <f>((12011.77912*19)/12*8)+((12011.77912*19)/12*4)</f>
        <v>228223.80327999999</v>
      </c>
      <c r="S157" s="75"/>
      <c r="T157" s="75">
        <f>N157</f>
        <v>1062501.2090540002</v>
      </c>
      <c r="U157" s="75">
        <f>T157</f>
        <v>1062501.2090540002</v>
      </c>
      <c r="W157" s="80">
        <f>12300.53*19</f>
        <v>233710.07</v>
      </c>
    </row>
    <row r="158" spans="1:25" ht="90" x14ac:dyDescent="0.25">
      <c r="A158" s="235"/>
      <c r="B158" s="236"/>
      <c r="C158" s="63" t="s">
        <v>102</v>
      </c>
      <c r="D158" s="64" t="s">
        <v>101</v>
      </c>
      <c r="E158" s="65"/>
      <c r="F158" s="65"/>
      <c r="G158" s="65"/>
      <c r="H158" s="65"/>
      <c r="I158" s="65"/>
      <c r="J158" s="150" t="s">
        <v>103</v>
      </c>
      <c r="K158" s="150" t="s">
        <v>103</v>
      </c>
      <c r="L158" s="150" t="s">
        <v>103</v>
      </c>
      <c r="M158" s="150" t="s">
        <v>103</v>
      </c>
      <c r="N158" s="150" t="s">
        <v>103</v>
      </c>
      <c r="O158" s="150" t="s">
        <v>103</v>
      </c>
      <c r="P158" s="150" t="s">
        <v>103</v>
      </c>
      <c r="Q158" s="150"/>
      <c r="R158" s="150" t="s">
        <v>103</v>
      </c>
      <c r="S158" s="150"/>
      <c r="T158" s="150" t="s">
        <v>103</v>
      </c>
      <c r="U158" s="150" t="s">
        <v>103</v>
      </c>
    </row>
    <row r="159" spans="1:25" x14ac:dyDescent="0.25">
      <c r="A159" s="235"/>
      <c r="B159" s="236"/>
      <c r="C159" s="63" t="s">
        <v>166</v>
      </c>
      <c r="D159" s="64" t="s">
        <v>101</v>
      </c>
      <c r="E159" s="59">
        <v>2</v>
      </c>
      <c r="F159" s="59">
        <v>2</v>
      </c>
      <c r="G159" s="59">
        <f t="shared" ref="G159:G160" si="102">((E159*8)+(F159*4))/12</f>
        <v>2</v>
      </c>
      <c r="H159" s="59">
        <v>2</v>
      </c>
      <c r="I159" s="59">
        <v>2</v>
      </c>
      <c r="J159" s="75">
        <f>K159</f>
        <v>80183.77</v>
      </c>
      <c r="K159" s="75">
        <v>80183.77</v>
      </c>
      <c r="L159" s="72"/>
      <c r="M159" s="72"/>
      <c r="N159" s="71"/>
      <c r="O159" s="71">
        <f>G159*K159</f>
        <v>160367.54</v>
      </c>
      <c r="P159" s="71"/>
      <c r="Q159" s="71"/>
      <c r="R159" s="118"/>
      <c r="S159" s="118"/>
      <c r="T159" s="75">
        <f>K159*G159</f>
        <v>160367.54</v>
      </c>
      <c r="U159" s="75">
        <f>T159</f>
        <v>160367.54</v>
      </c>
    </row>
    <row r="160" spans="1:25" ht="105" x14ac:dyDescent="0.25">
      <c r="A160" s="235"/>
      <c r="B160" s="236"/>
      <c r="C160" s="61" t="s">
        <v>174</v>
      </c>
      <c r="D160" s="64" t="s">
        <v>101</v>
      </c>
      <c r="E160" s="59"/>
      <c r="F160" s="59"/>
      <c r="G160" s="59">
        <f t="shared" si="102"/>
        <v>0</v>
      </c>
      <c r="H160" s="59"/>
      <c r="I160" s="59"/>
      <c r="J160" s="75">
        <f>K160</f>
        <v>25930.91</v>
      </c>
      <c r="K160" s="75">
        <v>25930.91</v>
      </c>
      <c r="L160" s="71" t="s">
        <v>104</v>
      </c>
      <c r="M160" s="71" t="s">
        <v>104</v>
      </c>
      <c r="N160" s="71">
        <f>O160</f>
        <v>0</v>
      </c>
      <c r="O160" s="71">
        <f>G160*K160</f>
        <v>0</v>
      </c>
      <c r="P160" s="71" t="s">
        <v>104</v>
      </c>
      <c r="Q160" s="71"/>
      <c r="R160" s="118" t="s">
        <v>104</v>
      </c>
      <c r="S160" s="118"/>
      <c r="T160" s="75">
        <f>H160*K160</f>
        <v>0</v>
      </c>
      <c r="U160" s="75">
        <f>I160*K160</f>
        <v>0</v>
      </c>
    </row>
    <row r="161" spans="1:24" x14ac:dyDescent="0.25">
      <c r="A161" s="235"/>
      <c r="B161" s="236"/>
      <c r="C161" s="66" t="s">
        <v>106</v>
      </c>
      <c r="D161" s="67"/>
      <c r="E161" s="121" t="s">
        <v>198</v>
      </c>
      <c r="F161" s="121" t="s">
        <v>198</v>
      </c>
      <c r="G161" s="121" t="s">
        <v>198</v>
      </c>
      <c r="H161" s="121" t="s">
        <v>198</v>
      </c>
      <c r="I161" s="121" t="s">
        <v>198</v>
      </c>
      <c r="J161" s="71" t="s">
        <v>104</v>
      </c>
      <c r="K161" s="71" t="s">
        <v>104</v>
      </c>
      <c r="L161" s="71" t="s">
        <v>104</v>
      </c>
      <c r="M161" s="71" t="s">
        <v>104</v>
      </c>
      <c r="N161" s="71">
        <f>SUM(O161:R161)</f>
        <v>4697327.6088760011</v>
      </c>
      <c r="O161" s="71">
        <f>SUM(O156:O160)</f>
        <v>2850212.1900000004</v>
      </c>
      <c r="P161" s="71">
        <f>SUM(P156:P160)</f>
        <v>814102.41455600015</v>
      </c>
      <c r="Q161" s="71"/>
      <c r="R161" s="71">
        <f t="shared" ref="R161:U161" si="103">SUM(R156:R160)</f>
        <v>1033013.0043199999</v>
      </c>
      <c r="S161" s="71"/>
      <c r="T161" s="71">
        <f t="shared" si="103"/>
        <v>4697327.6088760002</v>
      </c>
      <c r="U161" s="71">
        <f t="shared" si="103"/>
        <v>4697327.6088760002</v>
      </c>
    </row>
    <row r="162" spans="1:24" ht="225" x14ac:dyDescent="0.25">
      <c r="A162" s="235"/>
      <c r="B162" s="236" t="s">
        <v>246</v>
      </c>
      <c r="C162" s="61" t="s">
        <v>120</v>
      </c>
      <c r="D162" s="62" t="s">
        <v>121</v>
      </c>
      <c r="E162" s="121" t="s">
        <v>198</v>
      </c>
      <c r="F162" s="121" t="s">
        <v>198</v>
      </c>
      <c r="G162" s="121" t="s">
        <v>198</v>
      </c>
      <c r="H162" s="121" t="s">
        <v>198</v>
      </c>
      <c r="I162" s="121" t="s">
        <v>198</v>
      </c>
      <c r="J162" s="107" t="s">
        <v>269</v>
      </c>
      <c r="K162" s="107" t="s">
        <v>241</v>
      </c>
      <c r="L162" s="70" t="s">
        <v>233</v>
      </c>
      <c r="M162" s="70" t="s">
        <v>267</v>
      </c>
      <c r="N162" s="71">
        <f t="shared" si="101"/>
        <v>5961000.4988760008</v>
      </c>
      <c r="O162" s="71">
        <f>(((993246.1*4)/12*8+(993246.1*4)/12*4)+((1638.38*86)/12*8+(1638.38*86)/12*4))</f>
        <v>4113885.08</v>
      </c>
      <c r="P162" s="71">
        <f>((4001.99*2.3654*86)/12*8)+((4001.99*2.3654*86)/12*4)</f>
        <v>814102.41455599992</v>
      </c>
      <c r="Q162" s="71"/>
      <c r="R162" s="71">
        <f>((12011.77912*86)/12*8)+((12011.77912*86)/12*4)</f>
        <v>1033013.0043199999</v>
      </c>
      <c r="S162" s="71"/>
      <c r="T162" s="75">
        <f>N162</f>
        <v>5961000.4988760008</v>
      </c>
      <c r="U162" s="75">
        <f>T162</f>
        <v>5961000.4988760008</v>
      </c>
      <c r="V162" s="124"/>
      <c r="W162" s="80">
        <f>12300.53*86</f>
        <v>1057845.58</v>
      </c>
    </row>
    <row r="163" spans="1:24" ht="225" x14ac:dyDescent="0.25">
      <c r="A163" s="235"/>
      <c r="B163" s="236"/>
      <c r="C163" s="61" t="s">
        <v>128</v>
      </c>
      <c r="D163" s="62" t="s">
        <v>121</v>
      </c>
      <c r="E163" s="79" t="s">
        <v>199</v>
      </c>
      <c r="F163" s="79" t="s">
        <v>199</v>
      </c>
      <c r="G163" s="79" t="s">
        <v>199</v>
      </c>
      <c r="H163" s="79" t="s">
        <v>199</v>
      </c>
      <c r="I163" s="79" t="s">
        <v>199</v>
      </c>
      <c r="J163" s="107" t="s">
        <v>269</v>
      </c>
      <c r="K163" s="107" t="s">
        <v>242</v>
      </c>
      <c r="L163" s="70" t="s">
        <v>233</v>
      </c>
      <c r="M163" s="70" t="s">
        <v>267</v>
      </c>
      <c r="N163" s="71">
        <f t="shared" si="101"/>
        <v>2245004.0817140001</v>
      </c>
      <c r="O163" s="71">
        <f>(((787313.28*2)/12*8+(787313.28*2)/12*4)+((1638.38*29)/12*8+(1638.38*29)/12*4))</f>
        <v>1622139.58</v>
      </c>
      <c r="P163" s="71">
        <f>((4001.99*2.3654*29)/12*8)+((4001.99*2.3654*29)/12*4)</f>
        <v>274522.90723400004</v>
      </c>
      <c r="Q163" s="71"/>
      <c r="R163" s="71">
        <f>((12011.77912*29)/12*8)+((12011.77912*29)/12*4)</f>
        <v>348341.59447999997</v>
      </c>
      <c r="S163" s="71"/>
      <c r="T163" s="75">
        <f>N163</f>
        <v>2245004.0817140001</v>
      </c>
      <c r="U163" s="75">
        <f>T163</f>
        <v>2245004.0817140001</v>
      </c>
      <c r="W163" s="80">
        <f>12300.53*29</f>
        <v>356715.37</v>
      </c>
      <c r="X163" s="80">
        <f>1638.38+12011.78+(4001.99*2.3654)</f>
        <v>23116.467146000003</v>
      </c>
    </row>
    <row r="164" spans="1:24" ht="90" x14ac:dyDescent="0.25">
      <c r="A164" s="235"/>
      <c r="B164" s="236"/>
      <c r="C164" s="63" t="s">
        <v>163</v>
      </c>
      <c r="D164" s="64" t="s">
        <v>101</v>
      </c>
      <c r="E164" s="59" t="s">
        <v>104</v>
      </c>
      <c r="F164" s="59" t="s">
        <v>104</v>
      </c>
      <c r="G164" s="59" t="s">
        <v>104</v>
      </c>
      <c r="H164" s="59" t="s">
        <v>104</v>
      </c>
      <c r="I164" s="59" t="s">
        <v>104</v>
      </c>
      <c r="J164" s="59" t="s">
        <v>104</v>
      </c>
      <c r="K164" s="59" t="s">
        <v>104</v>
      </c>
      <c r="L164" s="59" t="s">
        <v>104</v>
      </c>
      <c r="M164" s="59" t="s">
        <v>104</v>
      </c>
      <c r="N164" s="71"/>
      <c r="O164" s="71"/>
      <c r="P164" s="59" t="s">
        <v>104</v>
      </c>
      <c r="Q164" s="59"/>
      <c r="R164" s="59" t="s">
        <v>104</v>
      </c>
      <c r="S164" s="59"/>
      <c r="T164" s="75"/>
      <c r="U164" s="75"/>
    </row>
    <row r="165" spans="1:24" x14ac:dyDescent="0.25">
      <c r="A165" s="235"/>
      <c r="B165" s="199"/>
      <c r="C165" s="63" t="s">
        <v>165</v>
      </c>
      <c r="D165" s="64"/>
      <c r="E165" s="60">
        <v>1</v>
      </c>
      <c r="F165" s="60">
        <v>1</v>
      </c>
      <c r="G165" s="59">
        <f t="shared" ref="G165:G168" si="104">((E165*8)+(F165*4))/12</f>
        <v>1</v>
      </c>
      <c r="H165" s="60">
        <v>1</v>
      </c>
      <c r="I165" s="60">
        <v>1</v>
      </c>
      <c r="J165" s="75">
        <f>K165</f>
        <v>112063.65</v>
      </c>
      <c r="K165" s="75">
        <v>112063.65</v>
      </c>
      <c r="L165" s="59" t="s">
        <v>104</v>
      </c>
      <c r="M165" s="59" t="s">
        <v>104</v>
      </c>
      <c r="N165" s="71">
        <f>O165</f>
        <v>112063.65</v>
      </c>
      <c r="O165" s="73">
        <f>G165*K165</f>
        <v>112063.65</v>
      </c>
      <c r="P165" s="59" t="s">
        <v>104</v>
      </c>
      <c r="Q165" s="59"/>
      <c r="R165" s="59" t="s">
        <v>104</v>
      </c>
      <c r="S165" s="59"/>
      <c r="T165" s="75">
        <f>H165*K165</f>
        <v>112063.65</v>
      </c>
      <c r="U165" s="75">
        <f>I165*K165</f>
        <v>112063.65</v>
      </c>
    </row>
    <row r="166" spans="1:24" x14ac:dyDescent="0.25">
      <c r="A166" s="235"/>
      <c r="B166" s="199"/>
      <c r="C166" s="63" t="s">
        <v>168</v>
      </c>
      <c r="D166" s="64"/>
      <c r="E166" s="60">
        <v>1</v>
      </c>
      <c r="F166" s="60">
        <v>1</v>
      </c>
      <c r="G166" s="59">
        <f t="shared" si="104"/>
        <v>1</v>
      </c>
      <c r="H166" s="60">
        <v>1</v>
      </c>
      <c r="I166" s="60">
        <v>1</v>
      </c>
      <c r="J166" s="75">
        <f>K166</f>
        <v>28342.92</v>
      </c>
      <c r="K166" s="75">
        <v>28342.92</v>
      </c>
      <c r="L166" s="105" t="s">
        <v>104</v>
      </c>
      <c r="M166" s="59" t="s">
        <v>104</v>
      </c>
      <c r="N166" s="71">
        <f>O166</f>
        <v>28342.92</v>
      </c>
      <c r="O166" s="73">
        <f>G166*K166</f>
        <v>28342.92</v>
      </c>
      <c r="P166" s="59" t="s">
        <v>104</v>
      </c>
      <c r="Q166" s="59"/>
      <c r="R166" s="59" t="s">
        <v>104</v>
      </c>
      <c r="S166" s="59"/>
      <c r="T166" s="75">
        <f>H166*K166</f>
        <v>28342.92</v>
      </c>
      <c r="U166" s="75">
        <f>I166*K166</f>
        <v>28342.92</v>
      </c>
    </row>
    <row r="167" spans="1:24" ht="120" x14ac:dyDescent="0.25">
      <c r="A167" s="235"/>
      <c r="B167" s="199"/>
      <c r="C167" s="76" t="s">
        <v>173</v>
      </c>
      <c r="D167" s="64" t="s">
        <v>101</v>
      </c>
      <c r="E167" s="79">
        <v>1</v>
      </c>
      <c r="F167" s="79">
        <v>1</v>
      </c>
      <c r="G167" s="59">
        <f t="shared" si="104"/>
        <v>1</v>
      </c>
      <c r="H167" s="79">
        <v>1</v>
      </c>
      <c r="I167" s="79">
        <v>1</v>
      </c>
      <c r="J167" s="75">
        <f>SUM(K167:M167)</f>
        <v>225910.62</v>
      </c>
      <c r="K167" s="75">
        <f>225910.62</f>
        <v>225910.62</v>
      </c>
      <c r="L167" s="70" t="s">
        <v>233</v>
      </c>
      <c r="M167" s="70" t="s">
        <v>267</v>
      </c>
      <c r="N167" s="73">
        <f>SUM(O167:R167)</f>
        <v>247388.70626599999</v>
      </c>
      <c r="O167" s="73">
        <f>G167*K167</f>
        <v>225910.62</v>
      </c>
      <c r="P167" s="73">
        <f>G167*4001.99*2.3654</f>
        <v>9466.307146000001</v>
      </c>
      <c r="Q167" s="73"/>
      <c r="R167" s="73">
        <f>G167*12011.77912</f>
        <v>12011.779119999999</v>
      </c>
      <c r="S167" s="73"/>
      <c r="T167" s="75">
        <f>N167</f>
        <v>247388.70626599999</v>
      </c>
      <c r="U167" s="75">
        <f>T167</f>
        <v>247388.70626599999</v>
      </c>
    </row>
    <row r="168" spans="1:24" ht="105" x14ac:dyDescent="0.25">
      <c r="A168" s="235"/>
      <c r="B168" s="199"/>
      <c r="C168" s="61" t="s">
        <v>174</v>
      </c>
      <c r="D168" s="64" t="s">
        <v>101</v>
      </c>
      <c r="E168" s="79">
        <v>1</v>
      </c>
      <c r="F168" s="79">
        <v>1</v>
      </c>
      <c r="G168" s="59">
        <f t="shared" si="104"/>
        <v>1</v>
      </c>
      <c r="H168" s="79">
        <v>1</v>
      </c>
      <c r="I168" s="79">
        <v>1</v>
      </c>
      <c r="J168" s="75">
        <f>K168</f>
        <v>42695.67</v>
      </c>
      <c r="K168" s="75">
        <f>41057.29+1638.38</f>
        <v>42695.67</v>
      </c>
      <c r="L168" s="74"/>
      <c r="M168" s="74"/>
      <c r="N168" s="73">
        <f>O168</f>
        <v>42695.67</v>
      </c>
      <c r="O168" s="73">
        <f>G168*K168</f>
        <v>42695.67</v>
      </c>
      <c r="P168" s="73"/>
      <c r="Q168" s="73"/>
      <c r="R168" s="73"/>
      <c r="S168" s="73"/>
      <c r="T168" s="75">
        <f>H168*K168</f>
        <v>42695.67</v>
      </c>
      <c r="U168" s="75">
        <f>I168*K168</f>
        <v>42695.67</v>
      </c>
    </row>
    <row r="169" spans="1:24" x14ac:dyDescent="0.25">
      <c r="A169" s="235"/>
      <c r="B169" s="199"/>
      <c r="C169" s="66" t="s">
        <v>106</v>
      </c>
      <c r="D169" s="64"/>
      <c r="E169" s="77" t="s">
        <v>202</v>
      </c>
      <c r="F169" s="77" t="s">
        <v>202</v>
      </c>
      <c r="G169" s="77" t="s">
        <v>202</v>
      </c>
      <c r="H169" s="77" t="s">
        <v>202</v>
      </c>
      <c r="I169" s="77" t="s">
        <v>202</v>
      </c>
      <c r="J169" s="73" t="s">
        <v>104</v>
      </c>
      <c r="K169" s="73" t="s">
        <v>104</v>
      </c>
      <c r="L169" s="74" t="s">
        <v>104</v>
      </c>
      <c r="M169" s="74" t="s">
        <v>104</v>
      </c>
      <c r="N169" s="74">
        <f>SUM(O169:R169)</f>
        <v>8636495.5268560015</v>
      </c>
      <c r="O169" s="74">
        <f>SUM(O162:O168)</f>
        <v>6145037.5200000005</v>
      </c>
      <c r="P169" s="74">
        <f>SUM(P162:P168)</f>
        <v>1098091.6289359999</v>
      </c>
      <c r="Q169" s="74"/>
      <c r="R169" s="74">
        <f t="shared" ref="R169" si="105">SUM(R162:R168)</f>
        <v>1393366.3779199999</v>
      </c>
      <c r="S169" s="74"/>
      <c r="T169" s="74">
        <f>N169</f>
        <v>8636495.5268560015</v>
      </c>
      <c r="U169" s="74">
        <f>T169</f>
        <v>8636495.5268560015</v>
      </c>
    </row>
    <row r="170" spans="1:24" ht="225" x14ac:dyDescent="0.25">
      <c r="A170" s="235"/>
      <c r="B170" s="203" t="s">
        <v>247</v>
      </c>
      <c r="C170" s="61" t="s">
        <v>128</v>
      </c>
      <c r="D170" s="62" t="s">
        <v>121</v>
      </c>
      <c r="E170" s="121" t="s">
        <v>201</v>
      </c>
      <c r="F170" s="121" t="s">
        <v>201</v>
      </c>
      <c r="G170" s="121" t="s">
        <v>201</v>
      </c>
      <c r="H170" s="121" t="s">
        <v>201</v>
      </c>
      <c r="I170" s="121" t="s">
        <v>201</v>
      </c>
      <c r="J170" s="107" t="s">
        <v>268</v>
      </c>
      <c r="K170" s="107" t="s">
        <v>243</v>
      </c>
      <c r="L170" s="70" t="s">
        <v>233</v>
      </c>
      <c r="M170" s="70" t="s">
        <v>267</v>
      </c>
      <c r="N170" s="73">
        <f>SUM(O170:R170)</f>
        <v>2034245.1639899998</v>
      </c>
      <c r="O170" s="71">
        <f>(841148.96*2)+((1985.12*15)/12*8+(1985.12*15)/12*4)</f>
        <v>1712074.72</v>
      </c>
      <c r="P170" s="73">
        <f>((15*4001.99*2.3654)/12*8)+((15*4001.99*2.3654)/12*4)+0.31</f>
        <v>141994.91719000001</v>
      </c>
      <c r="Q170" s="73"/>
      <c r="R170" s="75">
        <f>12011.77912*15-1.16</f>
        <v>180175.52679999999</v>
      </c>
      <c r="S170" s="75"/>
      <c r="T170" s="75">
        <f>N170</f>
        <v>2034245.1639899998</v>
      </c>
      <c r="U170" s="75">
        <f>N170</f>
        <v>2034245.1639899998</v>
      </c>
      <c r="W170" s="80">
        <f>12300.53*15</f>
        <v>184507.95</v>
      </c>
      <c r="X170" s="80">
        <f>1985.12+12011.78+(4001.99*2.3654)</f>
        <v>23463.207146000001</v>
      </c>
    </row>
    <row r="171" spans="1:24" ht="90" x14ac:dyDescent="0.25">
      <c r="A171" s="235"/>
      <c r="B171" s="199"/>
      <c r="C171" s="63" t="s">
        <v>163</v>
      </c>
      <c r="D171" s="64" t="s">
        <v>101</v>
      </c>
      <c r="E171" s="121"/>
      <c r="F171" s="121"/>
      <c r="G171" s="121"/>
      <c r="H171" s="121"/>
      <c r="I171" s="121"/>
      <c r="J171" s="107"/>
      <c r="K171" s="107"/>
      <c r="L171" s="70"/>
      <c r="M171" s="70"/>
      <c r="N171" s="73"/>
      <c r="O171" s="71"/>
      <c r="P171" s="73"/>
      <c r="Q171" s="73"/>
      <c r="R171" s="75"/>
      <c r="S171" s="75"/>
      <c r="T171" s="75"/>
      <c r="U171" s="75"/>
    </row>
    <row r="172" spans="1:24" x14ac:dyDescent="0.25">
      <c r="A172" s="235"/>
      <c r="B172" s="199"/>
      <c r="C172" s="63" t="s">
        <v>165</v>
      </c>
      <c r="D172" s="64" t="s">
        <v>101</v>
      </c>
      <c r="E172" s="121">
        <v>1</v>
      </c>
      <c r="F172" s="121">
        <v>1</v>
      </c>
      <c r="G172" s="59">
        <f>((E172*8)+(F172*4))/12</f>
        <v>1</v>
      </c>
      <c r="H172" s="121">
        <v>1</v>
      </c>
      <c r="I172" s="121">
        <v>1</v>
      </c>
      <c r="J172" s="107">
        <f>K172</f>
        <v>112063.65</v>
      </c>
      <c r="K172" s="107">
        <v>112063.65</v>
      </c>
      <c r="L172" s="70"/>
      <c r="M172" s="70"/>
      <c r="N172" s="73">
        <f>O172</f>
        <v>112063.65</v>
      </c>
      <c r="O172" s="71">
        <f>K172*G172</f>
        <v>112063.65</v>
      </c>
      <c r="P172" s="73"/>
      <c r="Q172" s="73"/>
      <c r="R172" s="75"/>
      <c r="S172" s="75"/>
      <c r="T172" s="75">
        <f>G172*K172</f>
        <v>112063.65</v>
      </c>
      <c r="U172" s="75">
        <f>T172</f>
        <v>112063.65</v>
      </c>
    </row>
    <row r="173" spans="1:24" x14ac:dyDescent="0.25">
      <c r="A173" s="235"/>
      <c r="B173" s="199"/>
      <c r="C173" s="63" t="s">
        <v>168</v>
      </c>
      <c r="D173" s="64" t="s">
        <v>101</v>
      </c>
      <c r="E173" s="121">
        <v>1</v>
      </c>
      <c r="F173" s="121">
        <v>1</v>
      </c>
      <c r="G173" s="59">
        <f t="shared" ref="G173:G175" si="106">((E173*8)+(F173*4))/12</f>
        <v>1</v>
      </c>
      <c r="H173" s="121">
        <v>1</v>
      </c>
      <c r="I173" s="121">
        <v>1</v>
      </c>
      <c r="J173" s="107">
        <f>K173</f>
        <v>28342.92</v>
      </c>
      <c r="K173" s="107">
        <v>28342.92</v>
      </c>
      <c r="L173" s="70"/>
      <c r="M173" s="70"/>
      <c r="N173" s="73">
        <f>O173</f>
        <v>28342.92</v>
      </c>
      <c r="O173" s="71">
        <f>K173*G173</f>
        <v>28342.92</v>
      </c>
      <c r="P173" s="73"/>
      <c r="Q173" s="73"/>
      <c r="R173" s="75"/>
      <c r="S173" s="75"/>
      <c r="T173" s="75">
        <f>G173*K173</f>
        <v>28342.92</v>
      </c>
      <c r="U173" s="75">
        <f>T173</f>
        <v>28342.92</v>
      </c>
    </row>
    <row r="174" spans="1:24" x14ac:dyDescent="0.25">
      <c r="A174" s="235"/>
      <c r="B174" s="199"/>
      <c r="C174" s="66" t="s">
        <v>106</v>
      </c>
      <c r="D174" s="64"/>
      <c r="E174" s="121" t="str">
        <f>E170</f>
        <v>2\15</v>
      </c>
      <c r="F174" s="121" t="str">
        <f>F170</f>
        <v>2\15</v>
      </c>
      <c r="G174" s="121" t="str">
        <f>G170</f>
        <v>2\15</v>
      </c>
      <c r="H174" s="121" t="str">
        <f>H170</f>
        <v>2\15</v>
      </c>
      <c r="I174" s="121" t="str">
        <f>I170</f>
        <v>2\15</v>
      </c>
      <c r="J174" s="73" t="s">
        <v>104</v>
      </c>
      <c r="K174" s="73" t="s">
        <v>104</v>
      </c>
      <c r="L174" s="74" t="s">
        <v>104</v>
      </c>
      <c r="M174" s="74" t="s">
        <v>104</v>
      </c>
      <c r="N174" s="74">
        <f>SUM(N170:N173)</f>
        <v>2174651.7339899996</v>
      </c>
      <c r="O174" s="74">
        <f>SUM(O170:O173)</f>
        <v>1852481.2899999998</v>
      </c>
      <c r="P174" s="74">
        <f t="shared" ref="P174:U174" si="107">SUM(P170:P173)</f>
        <v>141994.91719000001</v>
      </c>
      <c r="Q174" s="74"/>
      <c r="R174" s="74">
        <f>SUM(R170:R173)</f>
        <v>180175.52679999999</v>
      </c>
      <c r="S174" s="74"/>
      <c r="T174" s="74">
        <f t="shared" si="107"/>
        <v>2174651.7339899996</v>
      </c>
      <c r="U174" s="74">
        <f t="shared" si="107"/>
        <v>2174651.7339899996</v>
      </c>
    </row>
    <row r="175" spans="1:24" ht="102" customHeight="1" x14ac:dyDescent="0.25">
      <c r="A175" s="235"/>
      <c r="B175" s="137" t="s">
        <v>248</v>
      </c>
      <c r="C175" s="61" t="s">
        <v>186</v>
      </c>
      <c r="D175" s="64" t="s">
        <v>101</v>
      </c>
      <c r="E175" s="60">
        <v>307</v>
      </c>
      <c r="F175" s="60">
        <v>307</v>
      </c>
      <c r="G175" s="59">
        <f t="shared" si="106"/>
        <v>307</v>
      </c>
      <c r="H175" s="60">
        <v>307</v>
      </c>
      <c r="I175" s="60">
        <v>307</v>
      </c>
      <c r="J175" s="75">
        <f>K175</f>
        <v>4304.5</v>
      </c>
      <c r="K175" s="75">
        <v>4304.5</v>
      </c>
      <c r="L175" s="72" t="s">
        <v>104</v>
      </c>
      <c r="M175" s="72" t="s">
        <v>104</v>
      </c>
      <c r="N175" s="73">
        <f>SUM(O175:R175)</f>
        <v>1321478</v>
      </c>
      <c r="O175" s="73">
        <f>K175*G175-3.5</f>
        <v>1321478</v>
      </c>
      <c r="P175" s="73" t="s">
        <v>104</v>
      </c>
      <c r="Q175" s="73"/>
      <c r="R175" s="73" t="s">
        <v>104</v>
      </c>
      <c r="S175" s="73"/>
      <c r="T175" s="75">
        <f>H175*J175-0.5</f>
        <v>1321481</v>
      </c>
      <c r="U175" s="75">
        <f>T175</f>
        <v>1321481</v>
      </c>
    </row>
    <row r="176" spans="1:24" x14ac:dyDescent="0.25">
      <c r="A176" s="235"/>
      <c r="B176" s="69"/>
      <c r="C176" s="66" t="s">
        <v>106</v>
      </c>
      <c r="D176" s="69"/>
      <c r="E176" s="60">
        <f>SUM(E175:E175)</f>
        <v>307</v>
      </c>
      <c r="F176" s="60">
        <f>SUM(F175:F175)</f>
        <v>307</v>
      </c>
      <c r="G176" s="60">
        <f>SUM(G175:G175)</f>
        <v>307</v>
      </c>
      <c r="H176" s="60">
        <f>SUM(H175:H175)</f>
        <v>307</v>
      </c>
      <c r="I176" s="60">
        <f>SUM(I175:I175)</f>
        <v>307</v>
      </c>
      <c r="J176" s="74" t="s">
        <v>104</v>
      </c>
      <c r="K176" s="74" t="s">
        <v>104</v>
      </c>
      <c r="L176" s="74" t="s">
        <v>104</v>
      </c>
      <c r="M176" s="74">
        <f t="shared" ref="M176:R176" si="108">SUM(M175:M175)</f>
        <v>0</v>
      </c>
      <c r="N176" s="74">
        <f t="shared" si="108"/>
        <v>1321478</v>
      </c>
      <c r="O176" s="74">
        <f t="shared" si="108"/>
        <v>1321478</v>
      </c>
      <c r="P176" s="74">
        <f t="shared" si="108"/>
        <v>0</v>
      </c>
      <c r="Q176" s="74"/>
      <c r="R176" s="74">
        <f t="shared" si="108"/>
        <v>0</v>
      </c>
      <c r="S176" s="74"/>
      <c r="T176" s="74">
        <f>N176</f>
        <v>1321478</v>
      </c>
      <c r="U176" s="75">
        <f>T176</f>
        <v>1321478</v>
      </c>
    </row>
    <row r="177" spans="1:24" x14ac:dyDescent="0.25">
      <c r="A177" s="235"/>
      <c r="B177" s="89" t="s">
        <v>225</v>
      </c>
      <c r="C177" s="188" t="s">
        <v>219</v>
      </c>
      <c r="D177" s="64" t="s">
        <v>101</v>
      </c>
      <c r="E177" s="60"/>
      <c r="F177" s="60"/>
      <c r="G177" s="60">
        <v>10</v>
      </c>
      <c r="H177" s="60">
        <v>10</v>
      </c>
      <c r="I177" s="60">
        <v>10</v>
      </c>
      <c r="J177" s="74"/>
      <c r="K177" s="74"/>
      <c r="L177" s="74"/>
      <c r="M177" s="74"/>
      <c r="N177" s="74"/>
      <c r="O177" s="74"/>
      <c r="P177" s="74"/>
      <c r="Q177" s="74"/>
      <c r="R177" s="74"/>
      <c r="S177" s="74">
        <v>1603023</v>
      </c>
      <c r="T177" s="74">
        <f>S177</f>
        <v>1603023</v>
      </c>
      <c r="U177" s="74">
        <f>T177</f>
        <v>1603023</v>
      </c>
    </row>
    <row r="178" spans="1:24" x14ac:dyDescent="0.25">
      <c r="A178" s="235"/>
      <c r="B178" s="89" t="s">
        <v>225</v>
      </c>
      <c r="C178" s="188" t="s">
        <v>226</v>
      </c>
      <c r="D178" s="64" t="s">
        <v>101</v>
      </c>
      <c r="E178" s="60"/>
      <c r="F178" s="60"/>
      <c r="G178" s="60"/>
      <c r="H178" s="60"/>
      <c r="I178" s="60"/>
      <c r="J178" s="74"/>
      <c r="K178" s="74"/>
      <c r="L178" s="74"/>
      <c r="M178" s="74"/>
      <c r="N178" s="74"/>
      <c r="O178" s="74"/>
      <c r="P178" s="74"/>
      <c r="Q178" s="74"/>
      <c r="R178" s="74"/>
      <c r="S178" s="74"/>
      <c r="T178" s="74">
        <f>Q178</f>
        <v>0</v>
      </c>
      <c r="U178" s="74">
        <f>T178</f>
        <v>0</v>
      </c>
    </row>
    <row r="179" spans="1:24" x14ac:dyDescent="0.25">
      <c r="A179" s="235"/>
      <c r="B179" s="101" t="s">
        <v>112</v>
      </c>
      <c r="C179" s="101"/>
      <c r="D179" s="69"/>
      <c r="E179" s="103"/>
      <c r="F179" s="103"/>
      <c r="G179" s="102">
        <f>86+116+15</f>
        <v>217</v>
      </c>
      <c r="H179" s="102">
        <f>86+116+15</f>
        <v>217</v>
      </c>
      <c r="I179" s="102">
        <f>86+116+15</f>
        <v>217</v>
      </c>
      <c r="J179" s="103"/>
      <c r="K179" s="103"/>
      <c r="L179" s="103"/>
      <c r="M179" s="103"/>
      <c r="N179" s="103">
        <f>SUM(O179:S179)</f>
        <v>18432975.869722001</v>
      </c>
      <c r="O179" s="103">
        <f t="shared" ref="O179:P179" si="109">O161+O169+O174+O176</f>
        <v>12169209</v>
      </c>
      <c r="P179" s="103">
        <f t="shared" si="109"/>
        <v>2054188.960682</v>
      </c>
      <c r="Q179" s="103">
        <f>Q178</f>
        <v>0</v>
      </c>
      <c r="R179" s="103">
        <f>R161+R169+R174+R176</f>
        <v>2606554.9090399998</v>
      </c>
      <c r="S179" s="103">
        <f>S177</f>
        <v>1603023</v>
      </c>
      <c r="T179" s="103">
        <f>T161+T169+T174+T176+T177+T178</f>
        <v>18432975.869722001</v>
      </c>
      <c r="U179" s="103">
        <f>U161+U169+U174+U176+U177+U178</f>
        <v>18432975.869722001</v>
      </c>
      <c r="V179" s="80">
        <v>2606554.91</v>
      </c>
      <c r="W179" s="85">
        <f>V179-R179</f>
        <v>9.6000032499432564E-4</v>
      </c>
      <c r="X179" s="80">
        <f>W179/I179</f>
        <v>4.4239646313102568E-6</v>
      </c>
    </row>
    <row r="180" spans="1:24" ht="27" customHeight="1" x14ac:dyDescent="0.25">
      <c r="B180" s="259" t="s">
        <v>232</v>
      </c>
      <c r="C180" s="260"/>
      <c r="D180" s="260"/>
      <c r="E180" s="260"/>
      <c r="F180" s="260"/>
      <c r="G180" s="260"/>
      <c r="H180" s="260"/>
      <c r="I180" s="260"/>
      <c r="J180" s="260"/>
      <c r="K180" s="260"/>
      <c r="L180" s="260"/>
      <c r="M180" s="261"/>
      <c r="N180" s="187">
        <f t="shared" ref="N180" si="110">N179+N155+N124+N94+N67+N41</f>
        <v>202722838.02494925</v>
      </c>
      <c r="O180" s="187">
        <f>O179+O155+O124+O94+O67+O41</f>
        <v>130675705.364617</v>
      </c>
      <c r="P180" s="187">
        <f>P179+P155+P124+P94+P67+P41</f>
        <v>29632418.801258735</v>
      </c>
      <c r="Q180" s="187">
        <f>Q179+Q155+Q124+Q94+Q67+Q41</f>
        <v>681390</v>
      </c>
      <c r="R180" s="187">
        <f>R179+R155+R124+R94+R67+R41</f>
        <v>30560523.859073516</v>
      </c>
      <c r="S180" s="187">
        <f>S179+S155+S124+S94+S67+S41</f>
        <v>11172800</v>
      </c>
      <c r="T180" s="187">
        <f t="shared" ref="T180:U180" si="111">T179+T155+T124+T94+T67+T41</f>
        <v>202722838.02494925</v>
      </c>
      <c r="U180" s="187">
        <f t="shared" si="111"/>
        <v>202722838.02494925</v>
      </c>
      <c r="X180" s="70" t="s">
        <v>262</v>
      </c>
    </row>
    <row r="181" spans="1:24" x14ac:dyDescent="0.25">
      <c r="A181" s="80" t="s">
        <v>235</v>
      </c>
    </row>
    <row r="182" spans="1:24" x14ac:dyDescent="0.25">
      <c r="A182" s="80" t="s">
        <v>178</v>
      </c>
    </row>
    <row r="183" spans="1:24" x14ac:dyDescent="0.25">
      <c r="X183" s="80">
        <f>12601.84959-590.0704652</f>
        <v>12011.779124799999</v>
      </c>
    </row>
    <row r="184" spans="1:24" x14ac:dyDescent="0.25">
      <c r="O184" s="85"/>
    </row>
    <row r="186" spans="1:24" x14ac:dyDescent="0.25">
      <c r="R186" s="85"/>
    </row>
    <row r="187" spans="1:24" x14ac:dyDescent="0.25">
      <c r="R187" s="85"/>
    </row>
    <row r="193" spans="15:17" x14ac:dyDescent="0.25">
      <c r="O193" s="85"/>
      <c r="P193" s="85"/>
      <c r="Q193" s="85"/>
    </row>
    <row r="194" spans="15:17" x14ac:dyDescent="0.25">
      <c r="O194" s="85"/>
      <c r="P194" s="85"/>
      <c r="Q194" s="85"/>
    </row>
    <row r="195" spans="15:17" x14ac:dyDescent="0.25">
      <c r="O195" s="85"/>
      <c r="P195" s="85"/>
      <c r="Q195" s="85"/>
    </row>
    <row r="198" spans="15:17" x14ac:dyDescent="0.25">
      <c r="O198" s="85"/>
    </row>
  </sheetData>
  <mergeCells count="32">
    <mergeCell ref="B180:M180"/>
    <mergeCell ref="A68:A94"/>
    <mergeCell ref="B68:B76"/>
    <mergeCell ref="B77:B82"/>
    <mergeCell ref="B84:B88"/>
    <mergeCell ref="A156:A179"/>
    <mergeCell ref="B156:B161"/>
    <mergeCell ref="B162:B164"/>
    <mergeCell ref="A95:A124"/>
    <mergeCell ref="B95:B105"/>
    <mergeCell ref="B106:B113"/>
    <mergeCell ref="B115:B118"/>
    <mergeCell ref="A125:A155"/>
    <mergeCell ref="B125:B135"/>
    <mergeCell ref="B136:B144"/>
    <mergeCell ref="B145:B150"/>
    <mergeCell ref="A12:A41"/>
    <mergeCell ref="B12:B23"/>
    <mergeCell ref="B24:B29"/>
    <mergeCell ref="A42:A67"/>
    <mergeCell ref="B42:B50"/>
    <mergeCell ref="B51:B56"/>
    <mergeCell ref="B58:B61"/>
    <mergeCell ref="B31:B35"/>
    <mergeCell ref="A8:C8"/>
    <mergeCell ref="A9:A10"/>
    <mergeCell ref="B9:B10"/>
    <mergeCell ref="D9:D10"/>
    <mergeCell ref="A7:U7"/>
    <mergeCell ref="E9:I9"/>
    <mergeCell ref="J9:M9"/>
    <mergeCell ref="N9:U9"/>
  </mergeCells>
  <pageMargins left="0.70866141732283472" right="0.70866141732283472" top="0.74803149606299213" bottom="0.74803149606299213" header="0.31496062992125984" footer="0.31496062992125984"/>
  <pageSetup paperSize="9" scale="4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0"/>
  <sheetViews>
    <sheetView topLeftCell="A16" workbookViewId="0">
      <selection sqref="A1:L30"/>
    </sheetView>
  </sheetViews>
  <sheetFormatPr defaultColWidth="9.140625" defaultRowHeight="15" x14ac:dyDescent="0.25"/>
  <cols>
    <col min="1" max="1" width="19.42578125" style="80" customWidth="1"/>
    <col min="2" max="2" width="26.28515625" style="80" customWidth="1"/>
    <col min="3" max="3" width="23.7109375" style="80" customWidth="1"/>
    <col min="4" max="4" width="8.7109375" style="80" customWidth="1"/>
    <col min="5" max="5" width="18.28515625" style="80" hidden="1" customWidth="1"/>
    <col min="6" max="6" width="13.28515625" style="80" hidden="1" customWidth="1"/>
    <col min="7" max="7" width="14" style="80" customWidth="1"/>
    <col min="8" max="9" width="12.7109375" style="80" customWidth="1"/>
    <col min="10" max="10" width="17.28515625" style="80" customWidth="1"/>
    <col min="11" max="11" width="16" style="80" customWidth="1"/>
    <col min="12" max="12" width="21.28515625" style="80" customWidth="1"/>
    <col min="13" max="13" width="13.5703125" style="80" customWidth="1"/>
    <col min="14" max="14" width="16.7109375" style="80" customWidth="1"/>
    <col min="15" max="16" width="15.42578125" style="80" customWidth="1"/>
    <col min="17" max="19" width="14.7109375" style="80" customWidth="1"/>
    <col min="20" max="20" width="14.28515625" style="80" customWidth="1"/>
    <col min="21" max="21" width="14.140625" style="80" customWidth="1"/>
    <col min="22" max="22" width="14.85546875" style="80" bestFit="1" customWidth="1"/>
    <col min="23" max="23" width="15.28515625" style="80" customWidth="1"/>
    <col min="24" max="24" width="13.5703125" style="80" bestFit="1" customWidth="1"/>
    <col min="25" max="25" width="9.42578125" style="80" bestFit="1" customWidth="1"/>
    <col min="26" max="16384" width="9.140625" style="80"/>
  </cols>
  <sheetData>
    <row r="1" spans="1:22" x14ac:dyDescent="0.25">
      <c r="K1" s="117" t="s">
        <v>203</v>
      </c>
      <c r="T1" s="117"/>
    </row>
    <row r="2" spans="1:22" x14ac:dyDescent="0.25">
      <c r="K2" s="117" t="s">
        <v>264</v>
      </c>
      <c r="T2" s="117"/>
    </row>
    <row r="3" spans="1:22" x14ac:dyDescent="0.25">
      <c r="K3" s="117" t="s">
        <v>175</v>
      </c>
      <c r="T3" s="117"/>
    </row>
    <row r="4" spans="1:22" x14ac:dyDescent="0.25">
      <c r="K4" s="117" t="s">
        <v>261</v>
      </c>
      <c r="T4" s="117"/>
    </row>
    <row r="5" spans="1:22" x14ac:dyDescent="0.25">
      <c r="A5" s="241" t="s">
        <v>207</v>
      </c>
      <c r="B5" s="241"/>
      <c r="C5" s="241"/>
      <c r="D5" s="241"/>
      <c r="E5" s="241"/>
      <c r="F5" s="241"/>
      <c r="G5" s="241"/>
      <c r="H5" s="241"/>
      <c r="I5" s="241"/>
      <c r="J5" s="241"/>
      <c r="K5" s="241"/>
      <c r="L5" s="241"/>
      <c r="M5" s="182"/>
      <c r="N5" s="182"/>
      <c r="O5" s="182"/>
      <c r="P5" s="81"/>
      <c r="Q5" s="81"/>
      <c r="R5" s="81"/>
      <c r="S5" s="81"/>
      <c r="T5" s="182"/>
      <c r="U5" s="182"/>
      <c r="V5" s="182"/>
    </row>
    <row r="6" spans="1:22" x14ac:dyDescent="0.25">
      <c r="A6" s="96" t="s">
        <v>156</v>
      </c>
    </row>
    <row r="7" spans="1:22" ht="30" x14ac:dyDescent="0.25">
      <c r="A7" s="178" t="s">
        <v>3</v>
      </c>
      <c r="B7" s="178" t="s">
        <v>81</v>
      </c>
      <c r="C7" s="178" t="s">
        <v>4</v>
      </c>
      <c r="D7" s="233" t="s">
        <v>5</v>
      </c>
      <c r="E7" s="233"/>
      <c r="F7" s="233"/>
      <c r="G7" s="233"/>
      <c r="H7" s="233"/>
      <c r="I7" s="234" t="s">
        <v>6</v>
      </c>
      <c r="J7" s="234" t="s">
        <v>7</v>
      </c>
      <c r="K7" s="234"/>
      <c r="L7" s="234"/>
    </row>
    <row r="8" spans="1:22" ht="30" x14ac:dyDescent="0.25">
      <c r="A8" s="82"/>
      <c r="B8" s="82"/>
      <c r="C8" s="82"/>
      <c r="D8" s="179" t="s">
        <v>176</v>
      </c>
      <c r="E8" s="180" t="s">
        <v>208</v>
      </c>
      <c r="F8" s="178" t="s">
        <v>206</v>
      </c>
      <c r="G8" s="179" t="s">
        <v>183</v>
      </c>
      <c r="H8" s="179" t="s">
        <v>211</v>
      </c>
      <c r="I8" s="234"/>
      <c r="J8" s="206" t="s">
        <v>176</v>
      </c>
      <c r="K8" s="179" t="s">
        <v>183</v>
      </c>
      <c r="L8" s="179" t="s">
        <v>205</v>
      </c>
    </row>
    <row r="9" spans="1:22" ht="75" x14ac:dyDescent="0.25">
      <c r="A9" s="83" t="s">
        <v>13</v>
      </c>
      <c r="B9" s="83" t="s">
        <v>14</v>
      </c>
      <c r="C9" s="178" t="s">
        <v>15</v>
      </c>
      <c r="D9" s="83" t="s">
        <v>16</v>
      </c>
      <c r="E9" s="83" t="s">
        <v>16</v>
      </c>
      <c r="F9" s="83" t="s">
        <v>16</v>
      </c>
      <c r="G9" s="83" t="s">
        <v>16</v>
      </c>
      <c r="H9" s="83" t="s">
        <v>16</v>
      </c>
      <c r="I9" s="178" t="s">
        <v>17</v>
      </c>
      <c r="J9" s="205" t="s">
        <v>17</v>
      </c>
      <c r="K9" s="178" t="s">
        <v>17</v>
      </c>
      <c r="L9" s="178" t="s">
        <v>17</v>
      </c>
    </row>
    <row r="10" spans="1:22" ht="82.9" customHeight="1" x14ac:dyDescent="0.25">
      <c r="A10" s="106" t="s">
        <v>157</v>
      </c>
      <c r="B10" s="202" t="s">
        <v>250</v>
      </c>
      <c r="C10" s="82" t="s">
        <v>177</v>
      </c>
      <c r="D10" s="184">
        <v>50400</v>
      </c>
      <c r="E10" s="184">
        <v>50400</v>
      </c>
      <c r="F10" s="184">
        <v>50400</v>
      </c>
      <c r="G10" s="184">
        <v>50400</v>
      </c>
      <c r="H10" s="184">
        <v>50400</v>
      </c>
      <c r="I10" s="75">
        <f>86.95+0.14732+0.2455+0.324082265+Q15</f>
        <v>91.459051814000006</v>
      </c>
      <c r="J10" s="75">
        <f>I10*D10</f>
        <v>4609536.2114256006</v>
      </c>
      <c r="K10" s="75">
        <f>I10*G10</f>
        <v>4609536.2114256006</v>
      </c>
      <c r="L10" s="75">
        <f t="shared" ref="L10:L17" si="0">K10</f>
        <v>4609536.2114256006</v>
      </c>
      <c r="M10" s="85"/>
      <c r="N10" s="85"/>
    </row>
    <row r="11" spans="1:22" ht="89.45" customHeight="1" x14ac:dyDescent="0.25">
      <c r="A11" s="106" t="s">
        <v>157</v>
      </c>
      <c r="B11" s="202" t="s">
        <v>251</v>
      </c>
      <c r="C11" s="82" t="s">
        <v>177</v>
      </c>
      <c r="D11" s="184">
        <v>18792</v>
      </c>
      <c r="E11" s="184">
        <v>18792</v>
      </c>
      <c r="F11" s="184">
        <v>18792</v>
      </c>
      <c r="G11" s="184">
        <v>18792</v>
      </c>
      <c r="H11" s="184">
        <v>18792</v>
      </c>
      <c r="I11" s="75">
        <f>94.37+0.14732+0.2455+0.324082265+Q15</f>
        <v>98.879051814000007</v>
      </c>
      <c r="J11" s="75">
        <f>I11*D11</f>
        <v>1858135.1416886882</v>
      </c>
      <c r="K11" s="75">
        <f t="shared" ref="K11:K17" si="1">J11</f>
        <v>1858135.1416886882</v>
      </c>
      <c r="L11" s="75">
        <f t="shared" si="0"/>
        <v>1858135.1416886882</v>
      </c>
      <c r="M11" s="85"/>
      <c r="N11" s="85"/>
    </row>
    <row r="12" spans="1:22" ht="104.45" customHeight="1" x14ac:dyDescent="0.25">
      <c r="A12" s="106" t="s">
        <v>157</v>
      </c>
      <c r="B12" s="202" t="s">
        <v>252</v>
      </c>
      <c r="C12" s="82" t="s">
        <v>177</v>
      </c>
      <c r="D12" s="184">
        <v>14580</v>
      </c>
      <c r="E12" s="184">
        <v>14580</v>
      </c>
      <c r="F12" s="184">
        <v>14580</v>
      </c>
      <c r="G12" s="184">
        <v>14580</v>
      </c>
      <c r="H12" s="184">
        <v>14580</v>
      </c>
      <c r="I12" s="75">
        <f>66.37+0.14732+0.2455+0.324082265+Q15</f>
        <v>70.879051814000007</v>
      </c>
      <c r="J12" s="75">
        <f>I12*D12</f>
        <v>1033416.5754481201</v>
      </c>
      <c r="K12" s="75">
        <f t="shared" si="1"/>
        <v>1033416.5754481201</v>
      </c>
      <c r="L12" s="75">
        <f t="shared" si="0"/>
        <v>1033416.5754481201</v>
      </c>
      <c r="M12" s="85"/>
      <c r="N12" s="85"/>
    </row>
    <row r="13" spans="1:22" ht="89.45" customHeight="1" x14ac:dyDescent="0.25">
      <c r="A13" s="106" t="s">
        <v>157</v>
      </c>
      <c r="B13" s="202" t="s">
        <v>253</v>
      </c>
      <c r="C13" s="82" t="s">
        <v>177</v>
      </c>
      <c r="D13" s="184">
        <v>31680</v>
      </c>
      <c r="E13" s="184">
        <v>31680</v>
      </c>
      <c r="F13" s="184">
        <v>31680</v>
      </c>
      <c r="G13" s="184">
        <v>31680</v>
      </c>
      <c r="H13" s="184">
        <v>31680</v>
      </c>
      <c r="I13" s="75">
        <f>74.78+0.14732+0.2455+0.324082265+Q15</f>
        <v>79.289051814000004</v>
      </c>
      <c r="J13" s="75">
        <f>I13*D13</f>
        <v>2511877.1614675201</v>
      </c>
      <c r="K13" s="75">
        <f t="shared" si="1"/>
        <v>2511877.1614675201</v>
      </c>
      <c r="L13" s="75">
        <f t="shared" si="0"/>
        <v>2511877.1614675201</v>
      </c>
      <c r="M13" s="85"/>
      <c r="N13" s="85"/>
    </row>
    <row r="14" spans="1:22" ht="94.15" customHeight="1" x14ac:dyDescent="0.25">
      <c r="A14" s="106"/>
      <c r="B14" s="202" t="s">
        <v>254</v>
      </c>
      <c r="C14" s="82" t="s">
        <v>177</v>
      </c>
      <c r="D14" s="184">
        <v>88200</v>
      </c>
      <c r="E14" s="184">
        <v>88200</v>
      </c>
      <c r="F14" s="184">
        <v>88200</v>
      </c>
      <c r="G14" s="184">
        <v>88200</v>
      </c>
      <c r="H14" s="184">
        <v>88200</v>
      </c>
      <c r="I14" s="75">
        <f>78.73+0.14732+0.2455+0.324082265+Q15</f>
        <v>83.239051814000007</v>
      </c>
      <c r="J14" s="75">
        <f>I14*D14</f>
        <v>7341684.3699948005</v>
      </c>
      <c r="K14" s="75">
        <f t="shared" si="1"/>
        <v>7341684.3699948005</v>
      </c>
      <c r="L14" s="75">
        <f t="shared" si="0"/>
        <v>7341684.3699948005</v>
      </c>
      <c r="M14" s="85"/>
      <c r="N14" s="85"/>
      <c r="O14" s="85"/>
    </row>
    <row r="15" spans="1:22" ht="42.6" customHeight="1" x14ac:dyDescent="0.25">
      <c r="A15" s="106" t="s">
        <v>259</v>
      </c>
      <c r="B15" s="200" t="s">
        <v>238</v>
      </c>
      <c r="C15" s="82"/>
      <c r="D15" s="184">
        <f>SUM(D10:D14)</f>
        <v>203652</v>
      </c>
      <c r="E15" s="184">
        <f t="shared" ref="E15:L15" si="2">SUM(E10:E14)</f>
        <v>203652</v>
      </c>
      <c r="F15" s="184">
        <f t="shared" si="2"/>
        <v>203652</v>
      </c>
      <c r="G15" s="184">
        <f t="shared" si="2"/>
        <v>203652</v>
      </c>
      <c r="H15" s="184">
        <f t="shared" si="2"/>
        <v>203652</v>
      </c>
      <c r="I15" s="75">
        <f>J15/H15</f>
        <v>85.217181564751286</v>
      </c>
      <c r="J15" s="75">
        <f>SUM(J10:J14)</f>
        <v>17354649.460024729</v>
      </c>
      <c r="K15" s="75">
        <f t="shared" si="2"/>
        <v>17354649.460024729</v>
      </c>
      <c r="L15" s="75">
        <f t="shared" si="2"/>
        <v>17354649.460024729</v>
      </c>
      <c r="M15" s="85">
        <f>J15/H15</f>
        <v>85.217181564751286</v>
      </c>
      <c r="N15" s="85">
        <f>N22-J18</f>
        <v>17354649.459999997</v>
      </c>
      <c r="O15" s="85">
        <f>J15-N15</f>
        <v>2.4732202291488647E-5</v>
      </c>
      <c r="P15" s="80">
        <f>O15/H15</f>
        <v>1.2144345398762914E-10</v>
      </c>
      <c r="Q15" s="80">
        <v>3.7921495489999999</v>
      </c>
    </row>
    <row r="16" spans="1:22" ht="54.6" customHeight="1" x14ac:dyDescent="0.25">
      <c r="A16" s="106" t="s">
        <v>157</v>
      </c>
      <c r="B16" s="204" t="s">
        <v>258</v>
      </c>
      <c r="C16" s="82" t="s">
        <v>236</v>
      </c>
      <c r="D16" s="184">
        <v>1</v>
      </c>
      <c r="E16" s="184">
        <v>1</v>
      </c>
      <c r="F16" s="184">
        <v>1</v>
      </c>
      <c r="G16" s="184">
        <v>1</v>
      </c>
      <c r="H16" s="184">
        <v>1</v>
      </c>
      <c r="I16" s="75">
        <f>173398.99+110.26+3.43</f>
        <v>173512.68</v>
      </c>
      <c r="J16" s="75">
        <f>D16*I16</f>
        <v>173512.68</v>
      </c>
      <c r="K16" s="75">
        <f t="shared" si="1"/>
        <v>173512.68</v>
      </c>
      <c r="L16" s="75">
        <f t="shared" si="0"/>
        <v>173512.68</v>
      </c>
      <c r="M16" s="85"/>
      <c r="N16" s="85">
        <f>J15+J18</f>
        <v>20750853.58002473</v>
      </c>
      <c r="O16" s="80">
        <f>19292674.74+685900</f>
        <v>19978574.739999998</v>
      </c>
      <c r="P16" s="85">
        <f>O16-N16</f>
        <v>-772278.84002473205</v>
      </c>
      <c r="Q16" s="80">
        <f>P16/G15</f>
        <v>-3.7921495493524837</v>
      </c>
    </row>
    <row r="17" spans="1:16" ht="48.6" customHeight="1" x14ac:dyDescent="0.25">
      <c r="A17" s="106"/>
      <c r="B17" s="202" t="s">
        <v>255</v>
      </c>
      <c r="C17" s="82" t="s">
        <v>236</v>
      </c>
      <c r="D17" s="184">
        <v>7</v>
      </c>
      <c r="E17" s="184">
        <v>7</v>
      </c>
      <c r="F17" s="184">
        <v>7</v>
      </c>
      <c r="G17" s="184">
        <v>7</v>
      </c>
      <c r="H17" s="184">
        <v>7</v>
      </c>
      <c r="I17" s="75">
        <v>460384.49</v>
      </c>
      <c r="J17" s="75">
        <f>D17*I17+0.01</f>
        <v>3222691.4399999995</v>
      </c>
      <c r="K17" s="75">
        <f t="shared" si="1"/>
        <v>3222691.4399999995</v>
      </c>
      <c r="L17" s="75">
        <f t="shared" si="0"/>
        <v>3222691.4399999995</v>
      </c>
      <c r="M17" s="85"/>
      <c r="N17" s="85"/>
      <c r="P17" s="85"/>
    </row>
    <row r="18" spans="1:16" ht="41.45" customHeight="1" x14ac:dyDescent="0.25">
      <c r="A18" s="106" t="s">
        <v>260</v>
      </c>
      <c r="B18" s="200" t="s">
        <v>239</v>
      </c>
      <c r="C18" s="82"/>
      <c r="D18" s="201">
        <f>SUM(D16:D17)</f>
        <v>8</v>
      </c>
      <c r="E18" s="201">
        <f t="shared" ref="E18:H18" si="3">SUM(E16:E17)</f>
        <v>8</v>
      </c>
      <c r="F18" s="201">
        <f t="shared" si="3"/>
        <v>8</v>
      </c>
      <c r="G18" s="201">
        <f t="shared" si="3"/>
        <v>8</v>
      </c>
      <c r="H18" s="201">
        <f t="shared" si="3"/>
        <v>8</v>
      </c>
      <c r="I18" s="201">
        <f>J18/H18</f>
        <v>424525.51499999996</v>
      </c>
      <c r="J18" s="75">
        <f t="shared" ref="J18" si="4">SUM(J16:J17)</f>
        <v>3396204.1199999996</v>
      </c>
      <c r="K18" s="75">
        <f t="shared" ref="K18" si="5">SUM(K16:K17)</f>
        <v>3396204.1199999996</v>
      </c>
      <c r="L18" s="75">
        <f t="shared" ref="L18" si="6">SUM(L16:L17)</f>
        <v>3396204.1199999996</v>
      </c>
      <c r="M18" s="85">
        <f>H18*I18</f>
        <v>3396204.1199999996</v>
      </c>
      <c r="P18" s="85"/>
    </row>
    <row r="19" spans="1:16" ht="51" customHeight="1" x14ac:dyDescent="0.25">
      <c r="A19" s="106" t="s">
        <v>157</v>
      </c>
      <c r="B19" s="191" t="s">
        <v>237</v>
      </c>
      <c r="C19" s="183" t="s">
        <v>20</v>
      </c>
      <c r="D19" s="184">
        <v>2</v>
      </c>
      <c r="E19" s="184"/>
      <c r="F19" s="184"/>
      <c r="G19" s="184">
        <v>2</v>
      </c>
      <c r="H19" s="184">
        <v>2</v>
      </c>
      <c r="I19" s="75"/>
      <c r="J19" s="75">
        <f>39300+66162</f>
        <v>105462</v>
      </c>
      <c r="K19" s="75">
        <f>J19</f>
        <v>105462</v>
      </c>
      <c r="L19" s="75">
        <f>J19</f>
        <v>105462</v>
      </c>
      <c r="M19" s="85"/>
      <c r="P19" s="85"/>
    </row>
    <row r="20" spans="1:16" x14ac:dyDescent="0.25">
      <c r="A20" s="183"/>
      <c r="B20" s="186" t="s">
        <v>229</v>
      </c>
      <c r="C20" s="183" t="s">
        <v>20</v>
      </c>
      <c r="D20" s="184">
        <v>20</v>
      </c>
      <c r="E20" s="184">
        <v>20</v>
      </c>
      <c r="F20" s="184">
        <v>20</v>
      </c>
      <c r="G20" s="184">
        <v>20</v>
      </c>
      <c r="H20" s="184">
        <v>20</v>
      </c>
      <c r="I20" s="75"/>
      <c r="J20" s="75">
        <v>4212116</v>
      </c>
      <c r="K20" s="75">
        <f>J20</f>
        <v>4212116</v>
      </c>
      <c r="L20" s="75">
        <f>K20</f>
        <v>4212116</v>
      </c>
      <c r="M20" s="85"/>
    </row>
    <row r="21" spans="1:16" x14ac:dyDescent="0.25">
      <c r="A21" s="259" t="s">
        <v>231</v>
      </c>
      <c r="B21" s="260"/>
      <c r="C21" s="261"/>
      <c r="D21" s="184"/>
      <c r="E21" s="184"/>
      <c r="F21" s="184"/>
      <c r="G21" s="184"/>
      <c r="H21" s="184"/>
      <c r="I21" s="75"/>
      <c r="J21" s="78">
        <f>J15+J18+J19+J20</f>
        <v>25068431.58002473</v>
      </c>
      <c r="K21" s="78">
        <f t="shared" ref="K21:L21" si="7">K15+K18+K19+K20</f>
        <v>25068431.58002473</v>
      </c>
      <c r="L21" s="78">
        <f t="shared" si="7"/>
        <v>25068431.58002473</v>
      </c>
      <c r="M21" s="85">
        <v>25068431.579999998</v>
      </c>
      <c r="N21" s="85">
        <f>J21-M21</f>
        <v>2.4732202291488647E-5</v>
      </c>
    </row>
    <row r="22" spans="1:16" ht="120" x14ac:dyDescent="0.25">
      <c r="A22" s="179" t="s">
        <v>160</v>
      </c>
      <c r="B22" s="202" t="s">
        <v>249</v>
      </c>
      <c r="C22" s="82" t="s">
        <v>177</v>
      </c>
      <c r="D22" s="184">
        <v>40824</v>
      </c>
      <c r="E22" s="184">
        <v>40824</v>
      </c>
      <c r="F22" s="184">
        <v>40824</v>
      </c>
      <c r="G22" s="184">
        <v>40824</v>
      </c>
      <c r="H22" s="184">
        <v>40824</v>
      </c>
      <c r="I22" s="75">
        <f>J22/H22</f>
        <v>107.11420047031159</v>
      </c>
      <c r="J22" s="75">
        <f>4054030.12+318800</f>
        <v>4372830.12</v>
      </c>
      <c r="K22" s="75">
        <f>J22</f>
        <v>4372830.12</v>
      </c>
      <c r="L22" s="75">
        <f>K22</f>
        <v>4372830.12</v>
      </c>
      <c r="M22" s="85"/>
      <c r="N22" s="85">
        <f>M21-J19-J20</f>
        <v>20750853.579999998</v>
      </c>
    </row>
    <row r="23" spans="1:16" x14ac:dyDescent="0.25">
      <c r="A23" s="183"/>
      <c r="B23" s="186" t="s">
        <v>229</v>
      </c>
      <c r="C23" s="183" t="s">
        <v>20</v>
      </c>
      <c r="D23" s="183">
        <v>11</v>
      </c>
      <c r="E23" s="183">
        <v>11</v>
      </c>
      <c r="F23" s="183">
        <v>11</v>
      </c>
      <c r="G23" s="183">
        <v>11</v>
      </c>
      <c r="H23" s="183">
        <v>11</v>
      </c>
      <c r="I23" s="183"/>
      <c r="J23" s="185">
        <v>1798084</v>
      </c>
      <c r="K23" s="185">
        <f>J23</f>
        <v>1798084</v>
      </c>
      <c r="L23" s="185">
        <f>K23</f>
        <v>1798084</v>
      </c>
      <c r="N23" s="85"/>
      <c r="P23" s="85"/>
    </row>
    <row r="24" spans="1:16" x14ac:dyDescent="0.25">
      <c r="A24" s="259" t="s">
        <v>231</v>
      </c>
      <c r="B24" s="260"/>
      <c r="C24" s="261"/>
      <c r="D24" s="183"/>
      <c r="E24" s="183"/>
      <c r="F24" s="183"/>
      <c r="G24" s="183"/>
      <c r="H24" s="183"/>
      <c r="I24" s="183"/>
      <c r="J24" s="187">
        <f>J22+J23</f>
        <v>6170914.1200000001</v>
      </c>
      <c r="K24" s="187">
        <f t="shared" ref="K24:L24" si="8">K22+K23</f>
        <v>6170914.1200000001</v>
      </c>
      <c r="L24" s="187">
        <f t="shared" si="8"/>
        <v>6170914.1200000001</v>
      </c>
    </row>
    <row r="25" spans="1:16" x14ac:dyDescent="0.25">
      <c r="A25" s="259" t="s">
        <v>230</v>
      </c>
      <c r="B25" s="260"/>
      <c r="C25" s="261"/>
      <c r="D25" s="186"/>
      <c r="E25" s="186"/>
      <c r="F25" s="186"/>
      <c r="G25" s="186"/>
      <c r="H25" s="186"/>
      <c r="I25" s="186"/>
      <c r="J25" s="187">
        <f>J21+J24</f>
        <v>31239345.700024731</v>
      </c>
      <c r="K25" s="187">
        <f t="shared" ref="K25:L25" si="9">K21+K24</f>
        <v>31239345.700024731</v>
      </c>
      <c r="L25" s="187">
        <f t="shared" si="9"/>
        <v>31239345.700024731</v>
      </c>
    </row>
    <row r="26" spans="1:16" x14ac:dyDescent="0.25">
      <c r="J26" s="85"/>
    </row>
    <row r="29" spans="1:16" x14ac:dyDescent="0.25">
      <c r="A29" s="80" t="s">
        <v>235</v>
      </c>
    </row>
    <row r="30" spans="1:16" x14ac:dyDescent="0.25">
      <c r="A30" s="80" t="s">
        <v>178</v>
      </c>
    </row>
  </sheetData>
  <mergeCells count="7">
    <mergeCell ref="A5:L5"/>
    <mergeCell ref="A21:C21"/>
    <mergeCell ref="A24:C24"/>
    <mergeCell ref="A25:C25"/>
    <mergeCell ref="D7:H7"/>
    <mergeCell ref="I7:I8"/>
    <mergeCell ref="J7:L7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50"/>
  <sheetViews>
    <sheetView zoomScale="60" zoomScaleNormal="60" workbookViewId="0">
      <pane xSplit="1" ySplit="13" topLeftCell="B135" activePane="bottomRight" state="frozen"/>
      <selection pane="topRight" activeCell="B1" sqref="B1"/>
      <selection pane="bottomLeft" activeCell="A12" sqref="A12"/>
      <selection pane="bottomRight" activeCell="A3" sqref="A3:V145"/>
    </sheetView>
  </sheetViews>
  <sheetFormatPr defaultColWidth="9.140625" defaultRowHeight="15" x14ac:dyDescent="0.25"/>
  <cols>
    <col min="1" max="1" width="27" style="80" customWidth="1"/>
    <col min="2" max="2" width="19.85546875" style="80" customWidth="1"/>
    <col min="3" max="3" width="23.7109375" style="80" customWidth="1"/>
    <col min="4" max="4" width="8.7109375" style="80" customWidth="1"/>
    <col min="5" max="5" width="18.28515625" style="80" hidden="1" customWidth="1"/>
    <col min="6" max="6" width="13.28515625" style="80" hidden="1" customWidth="1"/>
    <col min="7" max="7" width="14" style="80" customWidth="1"/>
    <col min="8" max="9" width="12.7109375" style="80" customWidth="1"/>
    <col min="10" max="10" width="17.28515625" style="80" customWidth="1"/>
    <col min="11" max="11" width="16" style="80" customWidth="1"/>
    <col min="12" max="12" width="13.85546875" style="80" customWidth="1"/>
    <col min="13" max="13" width="13.5703125" style="80" customWidth="1"/>
    <col min="14" max="14" width="16.7109375" style="80" customWidth="1"/>
    <col min="15" max="16" width="15.42578125" style="80" customWidth="1"/>
    <col min="17" max="19" width="14.7109375" style="80" customWidth="1"/>
    <col min="20" max="20" width="19.140625" style="80" customWidth="1"/>
    <col min="21" max="21" width="16.28515625" style="80" customWidth="1"/>
    <col min="22" max="22" width="16" style="80" customWidth="1"/>
    <col min="23" max="23" width="15.28515625" style="80" customWidth="1"/>
    <col min="24" max="24" width="13.5703125" style="80" bestFit="1" customWidth="1"/>
    <col min="25" max="25" width="18.7109375" style="80" customWidth="1"/>
    <col min="26" max="16384" width="9.140625" style="80"/>
  </cols>
  <sheetData>
    <row r="1" spans="1:25" hidden="1" x14ac:dyDescent="0.25">
      <c r="T1" s="117" t="s">
        <v>203</v>
      </c>
    </row>
    <row r="2" spans="1:25" hidden="1" x14ac:dyDescent="0.25">
      <c r="T2" s="117" t="s">
        <v>204</v>
      </c>
    </row>
    <row r="3" spans="1:25" x14ac:dyDescent="0.25">
      <c r="T3" s="117" t="s">
        <v>203</v>
      </c>
    </row>
    <row r="4" spans="1:25" x14ac:dyDescent="0.25">
      <c r="T4" s="117" t="s">
        <v>264</v>
      </c>
    </row>
    <row r="5" spans="1:25" x14ac:dyDescent="0.25">
      <c r="T5" s="117" t="s">
        <v>175</v>
      </c>
    </row>
    <row r="6" spans="1:25" x14ac:dyDescent="0.25">
      <c r="T6" s="117" t="s">
        <v>261</v>
      </c>
    </row>
    <row r="7" spans="1:25" x14ac:dyDescent="0.25">
      <c r="A7" s="241" t="s">
        <v>207</v>
      </c>
      <c r="B7" s="241"/>
      <c r="C7" s="242"/>
      <c r="D7" s="241"/>
      <c r="E7" s="241"/>
      <c r="F7" s="242"/>
      <c r="G7" s="242"/>
      <c r="H7" s="241"/>
      <c r="I7" s="241"/>
      <c r="J7" s="241"/>
      <c r="K7" s="242"/>
      <c r="L7" s="241"/>
      <c r="M7" s="241"/>
      <c r="N7" s="241"/>
      <c r="O7" s="241"/>
      <c r="P7" s="242"/>
      <c r="Q7" s="242"/>
      <c r="R7" s="242"/>
      <c r="S7" s="242"/>
      <c r="T7" s="241"/>
      <c r="U7" s="241"/>
      <c r="V7" s="241"/>
    </row>
    <row r="8" spans="1:25" x14ac:dyDescent="0.25">
      <c r="A8" s="81" t="s">
        <v>155</v>
      </c>
    </row>
    <row r="10" spans="1:25" ht="45" x14ac:dyDescent="0.25">
      <c r="A10" s="178" t="s">
        <v>3</v>
      </c>
      <c r="B10" s="213" t="s">
        <v>81</v>
      </c>
      <c r="C10" s="213" t="s">
        <v>152</v>
      </c>
      <c r="D10" s="213" t="s">
        <v>4</v>
      </c>
      <c r="E10" s="133" t="s">
        <v>5</v>
      </c>
      <c r="F10" s="134"/>
      <c r="G10" s="134"/>
      <c r="H10" s="134"/>
      <c r="I10" s="135"/>
      <c r="J10" s="243" t="s">
        <v>6</v>
      </c>
      <c r="K10" s="262"/>
      <c r="L10" s="262"/>
      <c r="M10" s="263"/>
      <c r="N10" s="234" t="s">
        <v>7</v>
      </c>
      <c r="O10" s="234"/>
      <c r="P10" s="234"/>
      <c r="Q10" s="234"/>
      <c r="R10" s="234"/>
      <c r="S10" s="234"/>
      <c r="T10" s="234"/>
      <c r="U10" s="234"/>
      <c r="V10" s="234"/>
    </row>
    <row r="11" spans="1:25" x14ac:dyDescent="0.25">
      <c r="A11" s="178"/>
      <c r="B11" s="213"/>
      <c r="C11" s="213"/>
      <c r="D11" s="213"/>
      <c r="E11" s="248"/>
      <c r="F11" s="249"/>
      <c r="G11" s="250"/>
      <c r="H11" s="216"/>
      <c r="I11" s="216"/>
      <c r="J11" s="213"/>
      <c r="K11" s="213"/>
      <c r="L11" s="213"/>
      <c r="M11" s="213"/>
      <c r="N11" s="243"/>
      <c r="O11" s="253"/>
      <c r="P11" s="253"/>
      <c r="Q11" s="253"/>
      <c r="R11" s="253"/>
      <c r="S11" s="253"/>
      <c r="T11" s="254"/>
      <c r="U11" s="213"/>
      <c r="V11" s="213"/>
    </row>
    <row r="12" spans="1:25" ht="75" x14ac:dyDescent="0.25">
      <c r="A12" s="82"/>
      <c r="B12" s="82"/>
      <c r="C12" s="82"/>
      <c r="D12" s="82"/>
      <c r="E12" s="213" t="s">
        <v>176</v>
      </c>
      <c r="F12" s="215" t="s">
        <v>208</v>
      </c>
      <c r="G12" s="190" t="s">
        <v>212</v>
      </c>
      <c r="H12" s="214" t="s">
        <v>183</v>
      </c>
      <c r="I12" s="214" t="s">
        <v>205</v>
      </c>
      <c r="J12" s="83" t="s">
        <v>79</v>
      </c>
      <c r="K12" s="213" t="s">
        <v>224</v>
      </c>
      <c r="L12" s="83" t="s">
        <v>11</v>
      </c>
      <c r="M12" s="214" t="s">
        <v>12</v>
      </c>
      <c r="N12" s="246" t="s">
        <v>176</v>
      </c>
      <c r="O12" s="246"/>
      <c r="P12" s="246"/>
      <c r="Q12" s="246"/>
      <c r="R12" s="246"/>
      <c r="S12" s="246"/>
      <c r="T12" s="246"/>
      <c r="U12" s="214" t="s">
        <v>183</v>
      </c>
      <c r="V12" s="214" t="s">
        <v>205</v>
      </c>
    </row>
    <row r="13" spans="1:25" ht="75" x14ac:dyDescent="0.25">
      <c r="A13" s="83" t="s">
        <v>13</v>
      </c>
      <c r="B13" s="83" t="s">
        <v>14</v>
      </c>
      <c r="C13" s="83"/>
      <c r="D13" s="213" t="s">
        <v>15</v>
      </c>
      <c r="E13" s="83" t="s">
        <v>16</v>
      </c>
      <c r="F13" s="83" t="s">
        <v>16</v>
      </c>
      <c r="G13" s="83" t="s">
        <v>16</v>
      </c>
      <c r="H13" s="83" t="s">
        <v>16</v>
      </c>
      <c r="I13" s="83" t="s">
        <v>16</v>
      </c>
      <c r="J13" s="213" t="s">
        <v>17</v>
      </c>
      <c r="K13" s="213" t="s">
        <v>17</v>
      </c>
      <c r="L13" s="213" t="s">
        <v>17</v>
      </c>
      <c r="M13" s="213" t="s">
        <v>17</v>
      </c>
      <c r="N13" s="213" t="s">
        <v>85</v>
      </c>
      <c r="O13" s="213" t="s">
        <v>83</v>
      </c>
      <c r="P13" s="84" t="s">
        <v>228</v>
      </c>
      <c r="Q13" s="213" t="s">
        <v>84</v>
      </c>
      <c r="R13" s="84" t="s">
        <v>227</v>
      </c>
      <c r="S13" s="84" t="s">
        <v>263</v>
      </c>
      <c r="T13" s="213" t="s">
        <v>12</v>
      </c>
      <c r="U13" s="213" t="s">
        <v>17</v>
      </c>
      <c r="V13" s="213" t="s">
        <v>17</v>
      </c>
    </row>
    <row r="14" spans="1:25" ht="21.6" customHeight="1" x14ac:dyDescent="0.25">
      <c r="A14" s="196" t="s">
        <v>18</v>
      </c>
      <c r="B14" s="82"/>
      <c r="C14" s="82"/>
      <c r="D14" s="82"/>
      <c r="E14" s="72"/>
      <c r="F14" s="72"/>
      <c r="G14" s="72"/>
      <c r="H14" s="72"/>
      <c r="I14" s="72"/>
      <c r="J14" s="75"/>
      <c r="K14" s="75"/>
      <c r="L14" s="75"/>
      <c r="M14" s="75"/>
      <c r="N14" s="78">
        <f>N15+N20</f>
        <v>6609323</v>
      </c>
      <c r="O14" s="78">
        <f>O15+O20</f>
        <v>2680227.9983392479</v>
      </c>
      <c r="P14" s="78">
        <f>P15</f>
        <v>673916</v>
      </c>
      <c r="Q14" s="78">
        <f>Q15+Q20</f>
        <v>3941178.5699963998</v>
      </c>
      <c r="R14" s="78">
        <f>R15</f>
        <v>2118894</v>
      </c>
      <c r="S14" s="78">
        <f>S15</f>
        <v>1518868.56</v>
      </c>
      <c r="T14" s="78">
        <f>T15+T20+T21</f>
        <v>17542408.128335647</v>
      </c>
      <c r="U14" s="78">
        <f t="shared" ref="U14:V14" si="0">U15+U20+U21</f>
        <v>17542408.128335644</v>
      </c>
      <c r="V14" s="78">
        <f t="shared" si="0"/>
        <v>17542408.128335644</v>
      </c>
      <c r="W14" s="80">
        <v>3941178.57</v>
      </c>
      <c r="X14" s="85">
        <f>W14-Q14</f>
        <v>3.6000274121761322E-6</v>
      </c>
      <c r="Y14" s="80">
        <f>X14/I20</f>
        <v>2.9032479130452678E-8</v>
      </c>
    </row>
    <row r="15" spans="1:25" ht="91.9" customHeight="1" x14ac:dyDescent="0.25">
      <c r="A15" s="202" t="s">
        <v>256</v>
      </c>
      <c r="B15" s="84" t="s">
        <v>76</v>
      </c>
      <c r="C15" s="84"/>
      <c r="D15" s="82"/>
      <c r="E15" s="72"/>
      <c r="F15" s="72"/>
      <c r="G15" s="72"/>
      <c r="H15" s="72"/>
      <c r="I15" s="72"/>
      <c r="J15" s="75"/>
      <c r="K15" s="75"/>
      <c r="L15" s="75"/>
      <c r="M15" s="75"/>
      <c r="N15" s="75">
        <f>N16+N17+N19+N18</f>
        <v>6609323</v>
      </c>
      <c r="O15" s="75">
        <f>O16+O17+O19+O18</f>
        <v>2680227.9983392479</v>
      </c>
      <c r="P15" s="75">
        <f>P23</f>
        <v>673916</v>
      </c>
      <c r="Q15" s="75">
        <f>Q16+Q17+Q18+Q19</f>
        <v>2465614.1419963995</v>
      </c>
      <c r="R15" s="75">
        <f>R22</f>
        <v>2118894</v>
      </c>
      <c r="S15" s="75">
        <f>S21</f>
        <v>1518868.56</v>
      </c>
      <c r="T15" s="75">
        <f>T16+T17+T19+T18+T22+T23</f>
        <v>14547975.140335649</v>
      </c>
      <c r="U15" s="75">
        <f>U16+U17+U19+U18+U22+U23</f>
        <v>14547975.140335646</v>
      </c>
      <c r="V15" s="75">
        <f>V16+V17+V19+V18+V22+V23</f>
        <v>14547975.140335646</v>
      </c>
      <c r="X15" s="85"/>
    </row>
    <row r="16" spans="1:25" ht="105" x14ac:dyDescent="0.25">
      <c r="A16" s="83"/>
      <c r="B16" s="97" t="s">
        <v>19</v>
      </c>
      <c r="C16" s="93" t="s">
        <v>0</v>
      </c>
      <c r="D16" s="86" t="s">
        <v>20</v>
      </c>
      <c r="E16" s="87">
        <v>20</v>
      </c>
      <c r="F16" s="87">
        <v>20</v>
      </c>
      <c r="G16" s="87">
        <f>(E16*8+F16*4)/12</f>
        <v>20</v>
      </c>
      <c r="H16" s="87">
        <v>20</v>
      </c>
      <c r="I16" s="87">
        <v>20</v>
      </c>
      <c r="J16" s="75">
        <v>49378.38</v>
      </c>
      <c r="K16" s="75">
        <v>21614.746317252</v>
      </c>
      <c r="L16" s="75">
        <f>18972.01+207.38+704.5950161</f>
        <v>19883.985016099999</v>
      </c>
      <c r="M16" s="75">
        <f>J16+K16+L16</f>
        <v>90877.11133335199</v>
      </c>
      <c r="N16" s="75">
        <f>G16*J16-0.16-0.05</f>
        <v>987567.3899999999</v>
      </c>
      <c r="O16" s="75">
        <f>G16*K16-0.545</f>
        <v>432294.38134503999</v>
      </c>
      <c r="P16" s="75"/>
      <c r="Q16" s="75">
        <f>G16*L16</f>
        <v>397679.70032199996</v>
      </c>
      <c r="R16" s="75"/>
      <c r="S16" s="75">
        <v>0</v>
      </c>
      <c r="T16" s="75">
        <f>SUM(N16:Q16)</f>
        <v>1817541.4716670397</v>
      </c>
      <c r="U16" s="75">
        <f>T16</f>
        <v>1817541.4716670397</v>
      </c>
      <c r="V16" s="75">
        <f>U16</f>
        <v>1817541.4716670397</v>
      </c>
      <c r="X16" s="85"/>
    </row>
    <row r="17" spans="1:25" x14ac:dyDescent="0.25">
      <c r="A17" s="88"/>
      <c r="B17" s="97" t="s">
        <v>24</v>
      </c>
      <c r="C17" s="127"/>
      <c r="D17" s="214" t="s">
        <v>20</v>
      </c>
      <c r="E17" s="87">
        <v>63</v>
      </c>
      <c r="F17" s="87">
        <v>63</v>
      </c>
      <c r="G17" s="87">
        <f>(E17*8+F17*4)/12</f>
        <v>63</v>
      </c>
      <c r="H17" s="87">
        <v>63</v>
      </c>
      <c r="I17" s="87">
        <v>63</v>
      </c>
      <c r="J17" s="75">
        <v>39098.57</v>
      </c>
      <c r="K17" s="75">
        <v>21614.746317252</v>
      </c>
      <c r="L17" s="75">
        <f t="shared" ref="L17:L19" si="1">18972.01+207.38+704.5950161</f>
        <v>19883.985016099999</v>
      </c>
      <c r="M17" s="75">
        <f>J17+K17+L17</f>
        <v>80597.301333351992</v>
      </c>
      <c r="N17" s="75">
        <f>G17*J17</f>
        <v>2463209.91</v>
      </c>
      <c r="O17" s="75">
        <f>G17*K17</f>
        <v>1361729.017986876</v>
      </c>
      <c r="P17" s="75"/>
      <c r="Q17" s="75">
        <f>G17*L17</f>
        <v>1252691.0560142999</v>
      </c>
      <c r="R17" s="75"/>
      <c r="S17" s="75">
        <v>0</v>
      </c>
      <c r="T17" s="75">
        <f>SUM(N17:Q17)</f>
        <v>5077629.9840011764</v>
      </c>
      <c r="U17" s="75">
        <f>H17*M17</f>
        <v>5077629.9840011755</v>
      </c>
      <c r="V17" s="75">
        <f>I17*M17</f>
        <v>5077629.9840011755</v>
      </c>
      <c r="X17" s="85"/>
    </row>
    <row r="18" spans="1:25" ht="105" x14ac:dyDescent="0.25">
      <c r="A18" s="88"/>
      <c r="B18" s="97" t="s">
        <v>24</v>
      </c>
      <c r="C18" s="93" t="s">
        <v>179</v>
      </c>
      <c r="D18" s="214" t="s">
        <v>20</v>
      </c>
      <c r="E18" s="87">
        <v>41</v>
      </c>
      <c r="F18" s="87">
        <v>41</v>
      </c>
      <c r="G18" s="87">
        <f>(E18*8+F18*4)/12</f>
        <v>41</v>
      </c>
      <c r="H18" s="87">
        <v>41</v>
      </c>
      <c r="I18" s="87">
        <v>41</v>
      </c>
      <c r="J18" s="208">
        <v>77037.7</v>
      </c>
      <c r="K18" s="75">
        <v>21614.746317252</v>
      </c>
      <c r="L18" s="75">
        <f t="shared" si="1"/>
        <v>19883.985016099999</v>
      </c>
      <c r="M18" s="75">
        <f>J18+K18+L18</f>
        <v>118536.431333352</v>
      </c>
      <c r="N18" s="75">
        <f>G18*J18</f>
        <v>3158545.6999999997</v>
      </c>
      <c r="O18" s="75">
        <f>G18*K18</f>
        <v>886204.599007332</v>
      </c>
      <c r="P18" s="75"/>
      <c r="Q18" s="75">
        <f>G18*L18</f>
        <v>815243.38566010003</v>
      </c>
      <c r="R18" s="75"/>
      <c r="S18" s="75">
        <v>0</v>
      </c>
      <c r="T18" s="75">
        <f>SUM(N18:Q18)</f>
        <v>4859993.6846674317</v>
      </c>
      <c r="U18" s="75">
        <f>H18*M18</f>
        <v>4859993.6846674317</v>
      </c>
      <c r="V18" s="75">
        <f>I18*M18</f>
        <v>4859993.6846674317</v>
      </c>
      <c r="X18" s="85"/>
    </row>
    <row r="19" spans="1:25" ht="120" x14ac:dyDescent="0.25">
      <c r="A19" s="88"/>
      <c r="B19" s="97" t="s">
        <v>24</v>
      </c>
      <c r="C19" s="93" t="s">
        <v>162</v>
      </c>
      <c r="D19" s="214" t="s">
        <v>20</v>
      </c>
      <c r="E19" s="87">
        <v>0</v>
      </c>
      <c r="F19" s="87">
        <v>0</v>
      </c>
      <c r="G19" s="87">
        <f>(E19*8+F19*4)/12</f>
        <v>0</v>
      </c>
      <c r="H19" s="87">
        <v>0</v>
      </c>
      <c r="I19" s="87">
        <v>0</v>
      </c>
      <c r="J19" s="209">
        <v>57312.38</v>
      </c>
      <c r="K19" s="75">
        <v>21614.746317252</v>
      </c>
      <c r="L19" s="75">
        <f t="shared" si="1"/>
        <v>19883.985016099999</v>
      </c>
      <c r="M19" s="75">
        <f>J19+K19+L19</f>
        <v>98811.11133335199</v>
      </c>
      <c r="N19" s="75">
        <f>G19*J19</f>
        <v>0</v>
      </c>
      <c r="O19" s="75">
        <f>G19*K19</f>
        <v>0</v>
      </c>
      <c r="P19" s="75"/>
      <c r="Q19" s="75">
        <f>G19*L19</f>
        <v>0</v>
      </c>
      <c r="R19" s="75"/>
      <c r="S19" s="75">
        <v>0</v>
      </c>
      <c r="T19" s="75">
        <f t="shared" ref="T19:T131" si="2">SUM(N19:Q19)</f>
        <v>0</v>
      </c>
      <c r="U19" s="75">
        <f>H19*M19</f>
        <v>0</v>
      </c>
      <c r="V19" s="75">
        <f t="shared" ref="V19:V125" si="3">I19*M19</f>
        <v>0</v>
      </c>
      <c r="X19" s="85"/>
    </row>
    <row r="20" spans="1:25" ht="72" customHeight="1" x14ac:dyDescent="0.25">
      <c r="A20" s="202" t="s">
        <v>257</v>
      </c>
      <c r="B20" s="214" t="s">
        <v>28</v>
      </c>
      <c r="C20" s="127" t="s">
        <v>219</v>
      </c>
      <c r="D20" s="82"/>
      <c r="E20" s="87">
        <f>E19+E18+E17+E16</f>
        <v>124</v>
      </c>
      <c r="F20" s="87">
        <f>F19+F18+F17+F16</f>
        <v>124</v>
      </c>
      <c r="G20" s="87">
        <f>(E20*8+F20*4)/12</f>
        <v>124</v>
      </c>
      <c r="H20" s="87">
        <f>H19+H18+H17+H16</f>
        <v>124</v>
      </c>
      <c r="I20" s="87">
        <f>I19+I18+I17+I16</f>
        <v>124</v>
      </c>
      <c r="J20" s="75">
        <v>0</v>
      </c>
      <c r="K20" s="75"/>
      <c r="L20" s="75">
        <v>12405.807000000001</v>
      </c>
      <c r="M20" s="75">
        <f>J20+K20+L20</f>
        <v>12405.807000000001</v>
      </c>
      <c r="N20" s="75">
        <f t="shared" ref="N20" si="4">E20*J20</f>
        <v>0</v>
      </c>
      <c r="O20" s="75">
        <f t="shared" ref="O20" si="5">G20*K20</f>
        <v>0</v>
      </c>
      <c r="P20" s="75"/>
      <c r="Q20" s="75">
        <f>G20*L20-62755.64</f>
        <v>1475564.4280000001</v>
      </c>
      <c r="R20" s="75"/>
      <c r="S20" s="75">
        <v>0</v>
      </c>
      <c r="T20" s="75">
        <f>SUM(N20:Q20)</f>
        <v>1475564.4280000001</v>
      </c>
      <c r="U20" s="75">
        <f>T20</f>
        <v>1475564.4280000001</v>
      </c>
      <c r="V20" s="75">
        <f>U20</f>
        <v>1475564.4280000001</v>
      </c>
    </row>
    <row r="21" spans="1:25" x14ac:dyDescent="0.25">
      <c r="A21" s="195"/>
      <c r="B21" s="214" t="s">
        <v>28</v>
      </c>
      <c r="C21" s="127" t="s">
        <v>220</v>
      </c>
      <c r="D21" s="82"/>
      <c r="E21" s="87"/>
      <c r="F21" s="87"/>
      <c r="G21" s="87"/>
      <c r="H21" s="87"/>
      <c r="I21" s="87"/>
      <c r="J21" s="75"/>
      <c r="K21" s="75"/>
      <c r="L21" s="75">
        <v>12248.94</v>
      </c>
      <c r="M21" s="75"/>
      <c r="N21" s="75"/>
      <c r="O21" s="75"/>
      <c r="P21" s="75"/>
      <c r="Q21" s="75"/>
      <c r="R21" s="75"/>
      <c r="S21" s="75">
        <f>G20*L21</f>
        <v>1518868.56</v>
      </c>
      <c r="T21" s="75">
        <f>S21</f>
        <v>1518868.56</v>
      </c>
      <c r="U21" s="75">
        <f>S21</f>
        <v>1518868.56</v>
      </c>
      <c r="V21" s="75">
        <f>S21</f>
        <v>1518868.56</v>
      </c>
    </row>
    <row r="22" spans="1:25" x14ac:dyDescent="0.25">
      <c r="A22" s="195"/>
      <c r="B22" s="89" t="s">
        <v>225</v>
      </c>
      <c r="C22" s="127" t="s">
        <v>219</v>
      </c>
      <c r="D22" s="82"/>
      <c r="E22" s="87"/>
      <c r="F22" s="87"/>
      <c r="G22" s="87">
        <v>13</v>
      </c>
      <c r="H22" s="87">
        <v>13</v>
      </c>
      <c r="I22" s="87">
        <v>13</v>
      </c>
      <c r="J22" s="75"/>
      <c r="K22" s="75"/>
      <c r="L22" s="75"/>
      <c r="M22" s="75"/>
      <c r="N22" s="75"/>
      <c r="O22" s="75"/>
      <c r="P22" s="75"/>
      <c r="Q22" s="75"/>
      <c r="R22" s="75">
        <v>2118894</v>
      </c>
      <c r="S22" s="75"/>
      <c r="T22" s="75">
        <f>R22</f>
        <v>2118894</v>
      </c>
      <c r="U22" s="75">
        <f>R22</f>
        <v>2118894</v>
      </c>
      <c r="V22" s="75">
        <f>R22</f>
        <v>2118894</v>
      </c>
    </row>
    <row r="23" spans="1:25" x14ac:dyDescent="0.25">
      <c r="A23" s="195"/>
      <c r="B23" s="89" t="s">
        <v>225</v>
      </c>
      <c r="C23" s="127" t="s">
        <v>226</v>
      </c>
      <c r="D23" s="82"/>
      <c r="E23" s="87"/>
      <c r="F23" s="87"/>
      <c r="G23" s="87">
        <v>7</v>
      </c>
      <c r="H23" s="87">
        <v>7</v>
      </c>
      <c r="I23" s="87">
        <v>7</v>
      </c>
      <c r="J23" s="75"/>
      <c r="K23" s="75"/>
      <c r="L23" s="75"/>
      <c r="M23" s="75"/>
      <c r="N23" s="75"/>
      <c r="O23" s="75"/>
      <c r="P23" s="75">
        <f>199806+331890+142220</f>
        <v>673916</v>
      </c>
      <c r="Q23" s="75"/>
      <c r="R23" s="75"/>
      <c r="S23" s="75"/>
      <c r="T23" s="75">
        <f>N23+O23+P23+Q23</f>
        <v>673916</v>
      </c>
      <c r="U23" s="75">
        <f>N23+O23+P23+Q23</f>
        <v>673916</v>
      </c>
      <c r="V23" s="75">
        <f>N23+O23+P23+Q23</f>
        <v>673916</v>
      </c>
    </row>
    <row r="24" spans="1:25" x14ac:dyDescent="0.25">
      <c r="A24" s="89" t="s">
        <v>29</v>
      </c>
      <c r="B24" s="214"/>
      <c r="C24" s="127"/>
      <c r="D24" s="82"/>
      <c r="E24" s="87"/>
      <c r="F24" s="87"/>
      <c r="G24" s="87"/>
      <c r="H24" s="87"/>
      <c r="I24" s="87"/>
      <c r="J24" s="75"/>
      <c r="K24" s="75"/>
      <c r="L24" s="75"/>
      <c r="M24" s="75">
        <f t="shared" ref="M24:M133" si="6">J24+K24+L24</f>
        <v>0</v>
      </c>
      <c r="N24" s="78">
        <f>N25+N27</f>
        <v>2458341</v>
      </c>
      <c r="O24" s="78">
        <f>O25+O27</f>
        <v>756516.00110382005</v>
      </c>
      <c r="P24" s="78">
        <f>P25</f>
        <v>308902</v>
      </c>
      <c r="Q24" s="78">
        <f>Q25+Q27</f>
        <v>1993512.9099849998</v>
      </c>
      <c r="R24" s="78">
        <f>R25+R27</f>
        <v>1391321</v>
      </c>
      <c r="S24" s="78">
        <f>S28</f>
        <v>428712.9</v>
      </c>
      <c r="T24" s="78">
        <f>T25+T27+T28</f>
        <v>7337305.81108882</v>
      </c>
      <c r="U24" s="78">
        <f t="shared" ref="U24:V24" si="7">U25+U27+U28</f>
        <v>7337305.81108882</v>
      </c>
      <c r="V24" s="78">
        <f t="shared" si="7"/>
        <v>7337305.81108882</v>
      </c>
      <c r="W24" s="80">
        <v>1993512.91</v>
      </c>
      <c r="X24" s="85">
        <f>W24-Q24</f>
        <v>1.5000114217400551E-5</v>
      </c>
      <c r="Y24" s="80">
        <f>X24/I27</f>
        <v>4.2857469192573004E-7</v>
      </c>
    </row>
    <row r="25" spans="1:25" ht="164.25" customHeight="1" x14ac:dyDescent="0.25">
      <c r="A25" s="202" t="s">
        <v>256</v>
      </c>
      <c r="B25" s="84" t="s">
        <v>76</v>
      </c>
      <c r="C25" s="128"/>
      <c r="D25" s="82"/>
      <c r="E25" s="68"/>
      <c r="F25" s="68"/>
      <c r="G25" s="68"/>
      <c r="H25" s="68"/>
      <c r="I25" s="68"/>
      <c r="J25" s="75"/>
      <c r="K25" s="75"/>
      <c r="L25" s="75"/>
      <c r="M25" s="75">
        <f t="shared" si="6"/>
        <v>0</v>
      </c>
      <c r="N25" s="75">
        <f>SUM(N26:N31)</f>
        <v>2458341</v>
      </c>
      <c r="O25" s="75">
        <f>SUM(O26:O26)</f>
        <v>756516.00110382005</v>
      </c>
      <c r="P25" s="75">
        <f>P30</f>
        <v>308902</v>
      </c>
      <c r="Q25" s="75">
        <f>Q26</f>
        <v>1615435.0299849999</v>
      </c>
      <c r="R25" s="75">
        <f>R29</f>
        <v>1391321</v>
      </c>
      <c r="S25" s="75"/>
      <c r="T25" s="75">
        <f>T26+T30+T29+T31</f>
        <v>6530515.0310888197</v>
      </c>
      <c r="U25" s="75">
        <f t="shared" ref="U25:V25" si="8">U26+U30+U29+U31</f>
        <v>6530515.0310888197</v>
      </c>
      <c r="V25" s="75">
        <f t="shared" si="8"/>
        <v>6530515.0310888197</v>
      </c>
    </row>
    <row r="26" spans="1:25" ht="105" x14ac:dyDescent="0.25">
      <c r="A26" s="83"/>
      <c r="B26" s="82"/>
      <c r="C26" s="93" t="s">
        <v>30</v>
      </c>
      <c r="D26" s="214" t="s">
        <v>31</v>
      </c>
      <c r="E26" s="87">
        <v>35</v>
      </c>
      <c r="F26" s="87">
        <v>35</v>
      </c>
      <c r="G26" s="87">
        <f>(E26*8+F26*4)/12</f>
        <v>35</v>
      </c>
      <c r="H26" s="87">
        <v>35</v>
      </c>
      <c r="I26" s="87">
        <v>35</v>
      </c>
      <c r="J26" s="209">
        <v>758131.11</v>
      </c>
      <c r="K26" s="75">
        <v>21614.746317252</v>
      </c>
      <c r="L26" s="75">
        <f>49452.628-5733.31+207.38+2228.586571</f>
        <v>46155.284570999997</v>
      </c>
      <c r="M26" s="75">
        <f>J26+K26+L26</f>
        <v>825901.14088825206</v>
      </c>
      <c r="N26" s="75">
        <f>3*J26+0.01-0.34</f>
        <v>2274393</v>
      </c>
      <c r="O26" s="75">
        <f>G26*K26-0.12</f>
        <v>756516.00110382005</v>
      </c>
      <c r="P26" s="75"/>
      <c r="Q26" s="75">
        <f>L26*G27+0.07</f>
        <v>1615435.0299849999</v>
      </c>
      <c r="R26" s="75"/>
      <c r="S26" s="75"/>
      <c r="T26" s="75">
        <f>SUM(N26:Q26)</f>
        <v>4646344.0310888197</v>
      </c>
      <c r="U26" s="75">
        <f>T26</f>
        <v>4646344.0310888197</v>
      </c>
      <c r="V26" s="75">
        <f>U26</f>
        <v>4646344.0310888197</v>
      </c>
    </row>
    <row r="27" spans="1:25" ht="90" x14ac:dyDescent="0.25">
      <c r="A27" s="202" t="s">
        <v>257</v>
      </c>
      <c r="B27" s="214" t="s">
        <v>28</v>
      </c>
      <c r="C27" s="127" t="s">
        <v>219</v>
      </c>
      <c r="D27" s="214" t="s">
        <v>20</v>
      </c>
      <c r="E27" s="87">
        <v>35</v>
      </c>
      <c r="F27" s="87">
        <v>35</v>
      </c>
      <c r="G27" s="87">
        <f>(E27*8+F27*4)/12</f>
        <v>35</v>
      </c>
      <c r="H27" s="87">
        <v>35</v>
      </c>
      <c r="I27" s="87">
        <v>35</v>
      </c>
      <c r="J27" s="75" t="s">
        <v>23</v>
      </c>
      <c r="K27" s="75"/>
      <c r="L27" s="75">
        <f>6672.5+5733.31</f>
        <v>12405.810000000001</v>
      </c>
      <c r="M27" s="75">
        <f t="shared" si="6"/>
        <v>12405.810000000001</v>
      </c>
      <c r="N27" s="75">
        <f t="shared" ref="N27" si="9">E27*J27</f>
        <v>0</v>
      </c>
      <c r="O27" s="75">
        <f t="shared" ref="O27:O41" si="10">E27*K27</f>
        <v>0</v>
      </c>
      <c r="P27" s="75"/>
      <c r="Q27" s="75">
        <f>L27*I27-0.34-56125.13</f>
        <v>378077.88</v>
      </c>
      <c r="R27" s="75"/>
      <c r="S27" s="75"/>
      <c r="T27" s="75">
        <f>SUM(N27:Q27)</f>
        <v>378077.88</v>
      </c>
      <c r="U27" s="75">
        <f>T27</f>
        <v>378077.88</v>
      </c>
      <c r="V27" s="75">
        <f>U27</f>
        <v>378077.88</v>
      </c>
    </row>
    <row r="28" spans="1:25" x14ac:dyDescent="0.25">
      <c r="A28" s="195"/>
      <c r="B28" s="214" t="s">
        <v>28</v>
      </c>
      <c r="C28" s="127" t="s">
        <v>220</v>
      </c>
      <c r="D28" s="214"/>
      <c r="E28" s="87"/>
      <c r="F28" s="87"/>
      <c r="G28" s="87"/>
      <c r="H28" s="87"/>
      <c r="I28" s="87"/>
      <c r="J28" s="75"/>
      <c r="K28" s="75"/>
      <c r="L28" s="75">
        <v>12248.94</v>
      </c>
      <c r="M28" s="75"/>
      <c r="N28" s="75"/>
      <c r="O28" s="75"/>
      <c r="P28" s="75"/>
      <c r="Q28" s="75"/>
      <c r="R28" s="75"/>
      <c r="S28" s="75">
        <f>L28*G27</f>
        <v>428712.9</v>
      </c>
      <c r="T28" s="75">
        <f>S28</f>
        <v>428712.9</v>
      </c>
      <c r="U28" s="75">
        <f>S28</f>
        <v>428712.9</v>
      </c>
      <c r="V28" s="75">
        <f>S28</f>
        <v>428712.9</v>
      </c>
    </row>
    <row r="29" spans="1:25" x14ac:dyDescent="0.25">
      <c r="A29" s="195"/>
      <c r="B29" s="89" t="s">
        <v>225</v>
      </c>
      <c r="C29" s="127" t="s">
        <v>219</v>
      </c>
      <c r="D29" s="214"/>
      <c r="E29" s="87"/>
      <c r="F29" s="87"/>
      <c r="G29" s="87">
        <v>9</v>
      </c>
      <c r="H29" s="87">
        <v>9</v>
      </c>
      <c r="I29" s="87">
        <v>9</v>
      </c>
      <c r="J29" s="75"/>
      <c r="K29" s="75"/>
      <c r="L29" s="75"/>
      <c r="M29" s="75"/>
      <c r="N29" s="75"/>
      <c r="O29" s="75"/>
      <c r="P29" s="75"/>
      <c r="Q29" s="75"/>
      <c r="R29" s="75">
        <v>1391321</v>
      </c>
      <c r="S29" s="75"/>
      <c r="T29" s="75">
        <f>R29</f>
        <v>1391321</v>
      </c>
      <c r="U29" s="75">
        <f>R29</f>
        <v>1391321</v>
      </c>
      <c r="V29" s="75">
        <f>R29</f>
        <v>1391321</v>
      </c>
    </row>
    <row r="30" spans="1:25" x14ac:dyDescent="0.25">
      <c r="A30" s="195"/>
      <c r="B30" s="89" t="s">
        <v>225</v>
      </c>
      <c r="C30" s="127" t="s">
        <v>226</v>
      </c>
      <c r="D30" s="214"/>
      <c r="E30" s="87"/>
      <c r="F30" s="87"/>
      <c r="G30" s="87">
        <v>4</v>
      </c>
      <c r="H30" s="87">
        <v>4</v>
      </c>
      <c r="I30" s="87">
        <v>4</v>
      </c>
      <c r="J30" s="75"/>
      <c r="K30" s="75"/>
      <c r="L30" s="75"/>
      <c r="M30" s="75"/>
      <c r="N30" s="75"/>
      <c r="O30" s="75"/>
      <c r="P30" s="75">
        <f>114175+112639+82088</f>
        <v>308902</v>
      </c>
      <c r="Q30" s="75"/>
      <c r="R30" s="75"/>
      <c r="S30" s="75"/>
      <c r="T30" s="75">
        <f>N30+O30+P30+Q30</f>
        <v>308902</v>
      </c>
      <c r="U30" s="75">
        <f>N30+O30+P30+Q30</f>
        <v>308902</v>
      </c>
      <c r="V30" s="75">
        <f>N30+O30+P30+Q30</f>
        <v>308902</v>
      </c>
    </row>
    <row r="31" spans="1:25" ht="61.9" customHeight="1" x14ac:dyDescent="0.25">
      <c r="A31" s="207"/>
      <c r="B31" s="84" t="s">
        <v>271</v>
      </c>
      <c r="C31" s="127" t="s">
        <v>226</v>
      </c>
      <c r="D31" s="214"/>
      <c r="E31" s="87"/>
      <c r="F31" s="87"/>
      <c r="G31" s="87"/>
      <c r="H31" s="87"/>
      <c r="I31" s="87"/>
      <c r="J31" s="75"/>
      <c r="K31" s="75"/>
      <c r="L31" s="75"/>
      <c r="M31" s="75"/>
      <c r="N31" s="75">
        <v>183948</v>
      </c>
      <c r="O31" s="75"/>
      <c r="P31" s="75"/>
      <c r="Q31" s="75"/>
      <c r="R31" s="75"/>
      <c r="S31" s="75"/>
      <c r="T31" s="75">
        <f>N31+O31+P31+Q31</f>
        <v>183948</v>
      </c>
      <c r="U31" s="75">
        <f>T31</f>
        <v>183948</v>
      </c>
      <c r="V31" s="75">
        <f>U31</f>
        <v>183948</v>
      </c>
    </row>
    <row r="32" spans="1:25" ht="28.9" customHeight="1" x14ac:dyDescent="0.25">
      <c r="A32" s="196" t="s">
        <v>35</v>
      </c>
      <c r="B32" s="214"/>
      <c r="C32" s="127"/>
      <c r="D32" s="91"/>
      <c r="E32" s="92"/>
      <c r="F32" s="92"/>
      <c r="G32" s="92"/>
      <c r="H32" s="92"/>
      <c r="I32" s="92"/>
      <c r="J32" s="78"/>
      <c r="K32" s="78"/>
      <c r="L32" s="78"/>
      <c r="M32" s="78">
        <f t="shared" si="6"/>
        <v>0</v>
      </c>
      <c r="N32" s="78">
        <f>N33+N41</f>
        <v>8724280</v>
      </c>
      <c r="O32" s="78">
        <f>O33+O41</f>
        <v>2399237.0012149718</v>
      </c>
      <c r="P32" s="78">
        <f>P33</f>
        <v>682712</v>
      </c>
      <c r="Q32" s="78">
        <f>Q33+Q41</f>
        <v>3906552.5599699998</v>
      </c>
      <c r="R32" s="78">
        <f>R33</f>
        <v>2269072</v>
      </c>
      <c r="S32" s="78">
        <f>S42</f>
        <v>1359632.34</v>
      </c>
      <c r="T32" s="78">
        <f>T33+T41+T42</f>
        <v>19341485.901184972</v>
      </c>
      <c r="U32" s="78">
        <f t="shared" ref="U32:V32" si="11">U33+U41+U42</f>
        <v>19341485.901184972</v>
      </c>
      <c r="V32" s="78">
        <f t="shared" si="11"/>
        <v>19341485.901184972</v>
      </c>
      <c r="W32" s="80">
        <v>3906552.56</v>
      </c>
      <c r="X32" s="85">
        <f>W32-Q32</f>
        <v>3.0000228434801102E-5</v>
      </c>
      <c r="Y32" s="80">
        <f>X32/111</f>
        <v>2.7027232824145137E-7</v>
      </c>
    </row>
    <row r="33" spans="1:25" ht="94.9" customHeight="1" x14ac:dyDescent="0.25">
      <c r="A33" s="202" t="s">
        <v>256</v>
      </c>
      <c r="B33" s="84" t="s">
        <v>76</v>
      </c>
      <c r="C33" s="128"/>
      <c r="D33" s="82"/>
      <c r="E33" s="68"/>
      <c r="F33" s="68"/>
      <c r="G33" s="68"/>
      <c r="H33" s="68"/>
      <c r="I33" s="68"/>
      <c r="J33" s="75"/>
      <c r="K33" s="75"/>
      <c r="L33" s="75"/>
      <c r="M33" s="75">
        <f t="shared" si="6"/>
        <v>0</v>
      </c>
      <c r="N33" s="75">
        <f>SUM(N34:N40)</f>
        <v>8724280</v>
      </c>
      <c r="O33" s="75">
        <f t="shared" ref="O33:Q33" si="12">SUM(O34:O37)</f>
        <v>2399237.0012149718</v>
      </c>
      <c r="P33" s="75">
        <f>P39</f>
        <v>682712</v>
      </c>
      <c r="Q33" s="75">
        <f t="shared" si="12"/>
        <v>2560885.8029700001</v>
      </c>
      <c r="R33" s="75">
        <f>R38</f>
        <v>2269072</v>
      </c>
      <c r="S33" s="75"/>
      <c r="T33" s="75">
        <f>SUM(T34:T40)</f>
        <v>16636186.804184973</v>
      </c>
      <c r="U33" s="75">
        <f t="shared" ref="U33:V33" si="13">SUM(U34:U40)</f>
        <v>16636186.804184973</v>
      </c>
      <c r="V33" s="75">
        <f t="shared" si="13"/>
        <v>16636186.804184973</v>
      </c>
      <c r="W33" s="85">
        <f>T33+T41+T42</f>
        <v>19341485.901184972</v>
      </c>
    </row>
    <row r="34" spans="1:25" ht="105" x14ac:dyDescent="0.25">
      <c r="A34" s="83"/>
      <c r="B34" s="97" t="s">
        <v>19</v>
      </c>
      <c r="C34" s="93" t="s">
        <v>0</v>
      </c>
      <c r="D34" s="214" t="s">
        <v>20</v>
      </c>
      <c r="E34" s="87">
        <v>0</v>
      </c>
      <c r="F34" s="87">
        <v>0</v>
      </c>
      <c r="G34" s="87">
        <f t="shared" ref="G34:G36" si="14">(E34*8+F34*4)/12</f>
        <v>0</v>
      </c>
      <c r="H34" s="87">
        <v>0</v>
      </c>
      <c r="I34" s="87">
        <v>0</v>
      </c>
      <c r="J34" s="75">
        <v>43138.04</v>
      </c>
      <c r="K34" s="75">
        <v>21614.746317252</v>
      </c>
      <c r="L34" s="75">
        <f>18972.01+207.38+90.0901+3801.56317</f>
        <v>23071.043270000002</v>
      </c>
      <c r="M34" s="75">
        <f t="shared" si="6"/>
        <v>87823.829587251996</v>
      </c>
      <c r="N34" s="75">
        <f>G34*J34</f>
        <v>0</v>
      </c>
      <c r="O34" s="75">
        <f>G34*K34</f>
        <v>0</v>
      </c>
      <c r="P34" s="75"/>
      <c r="Q34" s="75">
        <f>G34*L34</f>
        <v>0</v>
      </c>
      <c r="R34" s="75"/>
      <c r="S34" s="75"/>
      <c r="T34" s="75">
        <f t="shared" si="2"/>
        <v>0</v>
      </c>
      <c r="U34" s="75">
        <f t="shared" ref="U34:U125" si="15">H34*M34</f>
        <v>0</v>
      </c>
      <c r="V34" s="75">
        <f t="shared" si="3"/>
        <v>0</v>
      </c>
    </row>
    <row r="35" spans="1:25" x14ac:dyDescent="0.25">
      <c r="A35" s="88"/>
      <c r="B35" s="97" t="s">
        <v>24</v>
      </c>
      <c r="C35" s="97"/>
      <c r="D35" s="86" t="s">
        <v>20</v>
      </c>
      <c r="E35" s="87">
        <v>0</v>
      </c>
      <c r="F35" s="87">
        <v>0</v>
      </c>
      <c r="G35" s="87">
        <f t="shared" si="14"/>
        <v>0</v>
      </c>
      <c r="H35" s="87">
        <v>0</v>
      </c>
      <c r="I35" s="87">
        <v>0</v>
      </c>
      <c r="J35" s="75">
        <v>34198.17</v>
      </c>
      <c r="K35" s="75">
        <v>21614.746317252</v>
      </c>
      <c r="L35" s="75">
        <f t="shared" ref="L35:L37" si="16">18972.01+207.38+90.0901+3801.56317</f>
        <v>23071.043270000002</v>
      </c>
      <c r="M35" s="75">
        <f t="shared" si="6"/>
        <v>78883.959587252</v>
      </c>
      <c r="N35" s="75">
        <f>G35*J35</f>
        <v>0</v>
      </c>
      <c r="O35" s="75">
        <f>G35*K35</f>
        <v>0</v>
      </c>
      <c r="P35" s="75"/>
      <c r="Q35" s="75">
        <f>G35*L35</f>
        <v>0</v>
      </c>
      <c r="R35" s="75"/>
      <c r="S35" s="75"/>
      <c r="T35" s="75">
        <f t="shared" si="2"/>
        <v>0</v>
      </c>
      <c r="U35" s="75">
        <f t="shared" si="15"/>
        <v>0</v>
      </c>
      <c r="V35" s="75">
        <f t="shared" si="3"/>
        <v>0</v>
      </c>
    </row>
    <row r="36" spans="1:25" ht="105" x14ac:dyDescent="0.25">
      <c r="A36" s="83"/>
      <c r="B36" s="97" t="s">
        <v>24</v>
      </c>
      <c r="C36" s="93" t="s">
        <v>38</v>
      </c>
      <c r="D36" s="214" t="s">
        <v>20</v>
      </c>
      <c r="E36" s="87">
        <v>29</v>
      </c>
      <c r="F36" s="87">
        <v>29</v>
      </c>
      <c r="G36" s="87">
        <f t="shared" si="14"/>
        <v>29</v>
      </c>
      <c r="H36" s="87">
        <v>29</v>
      </c>
      <c r="I36" s="87">
        <v>29</v>
      </c>
      <c r="J36" s="75">
        <v>142093.57999999999</v>
      </c>
      <c r="K36" s="75">
        <v>21614.746317252</v>
      </c>
      <c r="L36" s="75">
        <f t="shared" si="16"/>
        <v>23071.043270000002</v>
      </c>
      <c r="M36" s="75">
        <f t="shared" si="6"/>
        <v>186779.36958725197</v>
      </c>
      <c r="N36" s="75">
        <f>G36*J36+0.43-0.31</f>
        <v>4120713.94</v>
      </c>
      <c r="O36" s="75">
        <f>G36*K36+0.16</f>
        <v>626827.803200308</v>
      </c>
      <c r="P36" s="75"/>
      <c r="Q36" s="75">
        <f>G36*L36</f>
        <v>669060.25483000011</v>
      </c>
      <c r="R36" s="75"/>
      <c r="S36" s="75"/>
      <c r="T36" s="75">
        <f t="shared" si="2"/>
        <v>5416601.9980303077</v>
      </c>
      <c r="U36" s="75">
        <f>T36</f>
        <v>5416601.9980303077</v>
      </c>
      <c r="V36" s="75">
        <f>U36</f>
        <v>5416601.9980303077</v>
      </c>
    </row>
    <row r="37" spans="1:25" ht="120" x14ac:dyDescent="0.25">
      <c r="A37" s="83"/>
      <c r="B37" s="97" t="s">
        <v>24</v>
      </c>
      <c r="C37" s="93" t="s">
        <v>162</v>
      </c>
      <c r="D37" s="214" t="s">
        <v>20</v>
      </c>
      <c r="E37" s="87">
        <v>82</v>
      </c>
      <c r="F37" s="87">
        <v>82</v>
      </c>
      <c r="G37" s="87">
        <f>(E37*8+F37*4)/12</f>
        <v>82</v>
      </c>
      <c r="H37" s="87">
        <v>82</v>
      </c>
      <c r="I37" s="87">
        <v>82</v>
      </c>
      <c r="J37" s="209">
        <v>50023.83</v>
      </c>
      <c r="K37" s="75">
        <v>21614.746317252</v>
      </c>
      <c r="L37" s="75">
        <f t="shared" si="16"/>
        <v>23071.043270000002</v>
      </c>
      <c r="M37" s="75">
        <f t="shared" si="6"/>
        <v>94709.619587252004</v>
      </c>
      <c r="N37" s="75">
        <f>G37*J37</f>
        <v>4101954.06</v>
      </c>
      <c r="O37" s="75">
        <f>G37*K37</f>
        <v>1772409.198014664</v>
      </c>
      <c r="P37" s="75"/>
      <c r="Q37" s="75">
        <f>G37*L37</f>
        <v>1891825.5481400001</v>
      </c>
      <c r="R37" s="75"/>
      <c r="S37" s="75"/>
      <c r="T37" s="75">
        <f t="shared" si="2"/>
        <v>7766188.8061546646</v>
      </c>
      <c r="U37" s="75">
        <f t="shared" si="15"/>
        <v>7766188.8061546646</v>
      </c>
      <c r="V37" s="75">
        <f t="shared" si="3"/>
        <v>7766188.8061546646</v>
      </c>
    </row>
    <row r="38" spans="1:25" x14ac:dyDescent="0.25">
      <c r="A38" s="83"/>
      <c r="B38" s="89" t="s">
        <v>225</v>
      </c>
      <c r="C38" s="127" t="s">
        <v>219</v>
      </c>
      <c r="D38" s="214"/>
      <c r="E38" s="87"/>
      <c r="F38" s="87"/>
      <c r="G38" s="87">
        <v>13</v>
      </c>
      <c r="H38" s="87">
        <v>13</v>
      </c>
      <c r="I38" s="87">
        <v>13</v>
      </c>
      <c r="J38" s="75"/>
      <c r="K38" s="75"/>
      <c r="L38" s="75"/>
      <c r="M38" s="75"/>
      <c r="N38" s="75"/>
      <c r="O38" s="75"/>
      <c r="P38" s="75"/>
      <c r="Q38" s="75"/>
      <c r="R38" s="75">
        <v>2269072</v>
      </c>
      <c r="S38" s="75"/>
      <c r="T38" s="75">
        <f>R38</f>
        <v>2269072</v>
      </c>
      <c r="U38" s="75">
        <f>R38</f>
        <v>2269072</v>
      </c>
      <c r="V38" s="75">
        <f>R38</f>
        <v>2269072</v>
      </c>
    </row>
    <row r="39" spans="1:25" x14ac:dyDescent="0.25">
      <c r="A39" s="83"/>
      <c r="B39" s="89" t="s">
        <v>225</v>
      </c>
      <c r="C39" s="127" t="s">
        <v>226</v>
      </c>
      <c r="D39" s="214"/>
      <c r="E39" s="87"/>
      <c r="F39" s="87"/>
      <c r="G39" s="87">
        <v>7</v>
      </c>
      <c r="H39" s="87">
        <v>7</v>
      </c>
      <c r="I39" s="87">
        <v>7</v>
      </c>
      <c r="J39" s="75"/>
      <c r="K39" s="75"/>
      <c r="L39" s="75"/>
      <c r="M39" s="75"/>
      <c r="N39" s="75"/>
      <c r="O39" s="75"/>
      <c r="P39" s="75">
        <f>199806+334705+148201</f>
        <v>682712</v>
      </c>
      <c r="Q39" s="75"/>
      <c r="R39" s="75"/>
      <c r="S39" s="75"/>
      <c r="T39" s="75">
        <f>P39</f>
        <v>682712</v>
      </c>
      <c r="U39" s="75">
        <f>P39</f>
        <v>682712</v>
      </c>
      <c r="V39" s="75">
        <f>P39</f>
        <v>682712</v>
      </c>
    </row>
    <row r="40" spans="1:25" ht="57" x14ac:dyDescent="0.25">
      <c r="A40" s="83"/>
      <c r="B40" s="84" t="s">
        <v>271</v>
      </c>
      <c r="C40" s="127" t="s">
        <v>226</v>
      </c>
      <c r="D40" s="214"/>
      <c r="E40" s="87"/>
      <c r="F40" s="87"/>
      <c r="G40" s="87"/>
      <c r="H40" s="87"/>
      <c r="I40" s="87"/>
      <c r="J40" s="75"/>
      <c r="K40" s="75"/>
      <c r="L40" s="75"/>
      <c r="M40" s="75"/>
      <c r="N40" s="75">
        <v>501612</v>
      </c>
      <c r="O40" s="75"/>
      <c r="P40" s="75"/>
      <c r="Q40" s="75"/>
      <c r="R40" s="75"/>
      <c r="S40" s="75"/>
      <c r="T40" s="75">
        <f>N40</f>
        <v>501612</v>
      </c>
      <c r="U40" s="75">
        <f>T40</f>
        <v>501612</v>
      </c>
      <c r="V40" s="75">
        <f>U40</f>
        <v>501612</v>
      </c>
    </row>
    <row r="41" spans="1:25" ht="90" x14ac:dyDescent="0.25">
      <c r="A41" s="202" t="s">
        <v>257</v>
      </c>
      <c r="B41" s="214" t="s">
        <v>28</v>
      </c>
      <c r="C41" s="127" t="s">
        <v>219</v>
      </c>
      <c r="D41" s="214" t="s">
        <v>20</v>
      </c>
      <c r="E41" s="87">
        <f>E37+E36+E35+E34</f>
        <v>111</v>
      </c>
      <c r="F41" s="87">
        <f>F37+F36+F35+F34</f>
        <v>111</v>
      </c>
      <c r="G41" s="87">
        <f>(E41*8+F41*4)/12</f>
        <v>111</v>
      </c>
      <c r="H41" s="87">
        <f>H37+H36+H35+H34</f>
        <v>111</v>
      </c>
      <c r="I41" s="87">
        <f>I37+I36+I35+I34</f>
        <v>111</v>
      </c>
      <c r="J41" s="75" t="s">
        <v>23</v>
      </c>
      <c r="K41" s="75"/>
      <c r="L41" s="75">
        <v>12405.807000000001</v>
      </c>
      <c r="M41" s="75">
        <f t="shared" si="6"/>
        <v>12405.807000000001</v>
      </c>
      <c r="N41" s="75">
        <f t="shared" ref="N41:N83" si="17">E41*J41</f>
        <v>0</v>
      </c>
      <c r="O41" s="75">
        <f t="shared" si="10"/>
        <v>0</v>
      </c>
      <c r="P41" s="75"/>
      <c r="Q41" s="75">
        <f>G41*L41-31377.82</f>
        <v>1345666.757</v>
      </c>
      <c r="R41" s="75"/>
      <c r="S41" s="75"/>
      <c r="T41" s="75">
        <f>SUM(N41:Q41)</f>
        <v>1345666.757</v>
      </c>
      <c r="U41" s="75">
        <f>T41</f>
        <v>1345666.757</v>
      </c>
      <c r="V41" s="75">
        <f>U41</f>
        <v>1345666.757</v>
      </c>
    </row>
    <row r="42" spans="1:25" x14ac:dyDescent="0.25">
      <c r="A42" s="86"/>
      <c r="B42" s="214" t="s">
        <v>28</v>
      </c>
      <c r="C42" s="127" t="s">
        <v>220</v>
      </c>
      <c r="D42" s="214"/>
      <c r="E42" s="87"/>
      <c r="F42" s="87"/>
      <c r="G42" s="87"/>
      <c r="H42" s="87"/>
      <c r="I42" s="87"/>
      <c r="J42" s="75"/>
      <c r="K42" s="75"/>
      <c r="L42" s="75">
        <v>12248.94</v>
      </c>
      <c r="M42" s="75"/>
      <c r="N42" s="75"/>
      <c r="O42" s="75"/>
      <c r="P42" s="75"/>
      <c r="Q42" s="75"/>
      <c r="R42" s="75"/>
      <c r="S42" s="75">
        <f>L42*G41</f>
        <v>1359632.34</v>
      </c>
      <c r="T42" s="75">
        <f>S42</f>
        <v>1359632.34</v>
      </c>
      <c r="U42" s="75">
        <f>S42</f>
        <v>1359632.34</v>
      </c>
      <c r="V42" s="75">
        <f>S42</f>
        <v>1359632.34</v>
      </c>
    </row>
    <row r="43" spans="1:25" x14ac:dyDescent="0.25">
      <c r="A43" s="196" t="s">
        <v>40</v>
      </c>
      <c r="B43" s="94"/>
      <c r="C43" s="94"/>
      <c r="D43" s="94"/>
      <c r="E43" s="92"/>
      <c r="F43" s="92"/>
      <c r="G43" s="92"/>
      <c r="H43" s="92"/>
      <c r="I43" s="92"/>
      <c r="J43" s="78"/>
      <c r="K43" s="78"/>
      <c r="L43" s="78"/>
      <c r="M43" s="78">
        <f t="shared" si="6"/>
        <v>0</v>
      </c>
      <c r="N43" s="78">
        <f>N44+N51</f>
        <v>5568798.4000000004</v>
      </c>
      <c r="O43" s="78">
        <f>O44+O51</f>
        <v>2399237.0012149718</v>
      </c>
      <c r="P43" s="78">
        <f>P44</f>
        <v>430352</v>
      </c>
      <c r="Q43" s="78">
        <f t="shared" ref="Q43" si="18">Q44+Q51</f>
        <v>3633024.6599940001</v>
      </c>
      <c r="R43" s="78">
        <f>R44</f>
        <v>2001627</v>
      </c>
      <c r="S43" s="78">
        <f>S52</f>
        <v>1359632.34</v>
      </c>
      <c r="T43" s="78">
        <f>T44+T51+T52</f>
        <v>15392671.401208973</v>
      </c>
      <c r="U43" s="78">
        <f>U44+U51+U52</f>
        <v>15392671.401208973</v>
      </c>
      <c r="V43" s="78">
        <f>V44+V51+V52</f>
        <v>15392671.401208973</v>
      </c>
      <c r="W43" s="85">
        <v>3633024.66</v>
      </c>
      <c r="X43" s="85">
        <f>W43-Q43</f>
        <v>6.0000456869602203E-6</v>
      </c>
      <c r="Y43" s="80">
        <f>X43/I51</f>
        <v>5.4054465648290273E-8</v>
      </c>
    </row>
    <row r="44" spans="1:25" ht="93.6" customHeight="1" x14ac:dyDescent="0.25">
      <c r="A44" s="202" t="s">
        <v>256</v>
      </c>
      <c r="B44" s="84" t="s">
        <v>76</v>
      </c>
      <c r="C44" s="128"/>
      <c r="D44" s="95"/>
      <c r="E44" s="68"/>
      <c r="F44" s="68"/>
      <c r="G44" s="68"/>
      <c r="H44" s="68"/>
      <c r="I44" s="68"/>
      <c r="J44" s="75"/>
      <c r="K44" s="75"/>
      <c r="L44" s="75"/>
      <c r="M44" s="75">
        <f t="shared" si="6"/>
        <v>0</v>
      </c>
      <c r="N44" s="75">
        <f>SUM(N45:N50)</f>
        <v>5568798.4000000004</v>
      </c>
      <c r="O44" s="75">
        <f>SUM(O45:O47)</f>
        <v>2399237.0012149718</v>
      </c>
      <c r="P44" s="75">
        <f>P49</f>
        <v>430352</v>
      </c>
      <c r="Q44" s="75">
        <f t="shared" ref="Q44" si="19">SUM(Q45:Q47)</f>
        <v>2381491.3529940001</v>
      </c>
      <c r="R44" s="75">
        <f>R48</f>
        <v>2001627</v>
      </c>
      <c r="S44" s="75"/>
      <c r="T44" s="75">
        <f>SUM(T45:T50)</f>
        <v>12781505.754208973</v>
      </c>
      <c r="U44" s="75">
        <f t="shared" ref="U44:V44" si="20">SUM(U45:U50)</f>
        <v>12781505.754208973</v>
      </c>
      <c r="V44" s="75">
        <f t="shared" si="20"/>
        <v>12781505.754208973</v>
      </c>
      <c r="W44" s="85"/>
    </row>
    <row r="45" spans="1:25" ht="105" x14ac:dyDescent="0.25">
      <c r="A45" s="83"/>
      <c r="B45" s="97" t="s">
        <v>19</v>
      </c>
      <c r="C45" s="93" t="s">
        <v>0</v>
      </c>
      <c r="D45" s="214" t="s">
        <v>20</v>
      </c>
      <c r="E45" s="87">
        <v>20</v>
      </c>
      <c r="F45" s="87">
        <v>20</v>
      </c>
      <c r="G45" s="87">
        <f>(E45*8+F45*4)/12</f>
        <v>20</v>
      </c>
      <c r="H45" s="87">
        <v>20</v>
      </c>
      <c r="I45" s="87">
        <v>20</v>
      </c>
      <c r="J45" s="75">
        <v>43138.04</v>
      </c>
      <c r="K45" s="75">
        <v>21614.746317252</v>
      </c>
      <c r="L45" s="75">
        <f>18972.01+207.38+2275.487054</f>
        <v>21454.877054</v>
      </c>
      <c r="M45" s="75">
        <f t="shared" si="6"/>
        <v>86207.663371251998</v>
      </c>
      <c r="N45" s="75">
        <f>G45*J45</f>
        <v>862760.8</v>
      </c>
      <c r="O45" s="75">
        <f>G45*K45</f>
        <v>432294.92634503997</v>
      </c>
      <c r="P45" s="75"/>
      <c r="Q45" s="75">
        <f>G45*L45</f>
        <v>429097.54108</v>
      </c>
      <c r="R45" s="75"/>
      <c r="S45" s="75"/>
      <c r="T45" s="75">
        <f t="shared" si="2"/>
        <v>1724153.2674250398</v>
      </c>
      <c r="U45" s="75">
        <f t="shared" si="15"/>
        <v>1724153.26742504</v>
      </c>
      <c r="V45" s="75">
        <f t="shared" si="3"/>
        <v>1724153.26742504</v>
      </c>
    </row>
    <row r="46" spans="1:25" x14ac:dyDescent="0.25">
      <c r="A46" s="88"/>
      <c r="B46" s="97" t="s">
        <v>24</v>
      </c>
      <c r="C46" s="97"/>
      <c r="D46" s="86" t="s">
        <v>20</v>
      </c>
      <c r="E46" s="87">
        <v>21</v>
      </c>
      <c r="F46" s="87">
        <v>21</v>
      </c>
      <c r="G46" s="87">
        <f t="shared" ref="G46:G47" si="21">(E46*8+F46*4)/12</f>
        <v>21</v>
      </c>
      <c r="H46" s="87">
        <v>21</v>
      </c>
      <c r="I46" s="87">
        <v>21</v>
      </c>
      <c r="J46" s="75">
        <v>34198.17</v>
      </c>
      <c r="K46" s="75">
        <v>21614.746317252</v>
      </c>
      <c r="L46" s="75">
        <f t="shared" ref="L46:L47" si="22">18972.01+207.38+2275.487054</f>
        <v>21454.877054</v>
      </c>
      <c r="M46" s="75">
        <f t="shared" si="6"/>
        <v>77267.793371252003</v>
      </c>
      <c r="N46" s="75">
        <f>G46*J46</f>
        <v>718161.57</v>
      </c>
      <c r="O46" s="75">
        <f>G46*K46</f>
        <v>453909.67266229203</v>
      </c>
      <c r="P46" s="75"/>
      <c r="Q46" s="75">
        <f>G46*L46</f>
        <v>450552.41813400004</v>
      </c>
      <c r="R46" s="75"/>
      <c r="S46" s="75"/>
      <c r="T46" s="75">
        <f t="shared" si="2"/>
        <v>1622623.6607962921</v>
      </c>
      <c r="U46" s="75">
        <f t="shared" si="15"/>
        <v>1622623.6607962921</v>
      </c>
      <c r="V46" s="75">
        <f t="shared" si="3"/>
        <v>1622623.6607962921</v>
      </c>
    </row>
    <row r="47" spans="1:25" ht="120" x14ac:dyDescent="0.25">
      <c r="A47" s="88"/>
      <c r="B47" s="97" t="s">
        <v>24</v>
      </c>
      <c r="C47" s="93" t="s">
        <v>162</v>
      </c>
      <c r="D47" s="214" t="s">
        <v>20</v>
      </c>
      <c r="E47" s="87">
        <v>70</v>
      </c>
      <c r="F47" s="87">
        <v>70</v>
      </c>
      <c r="G47" s="87">
        <f t="shared" si="21"/>
        <v>70</v>
      </c>
      <c r="H47" s="87">
        <v>70</v>
      </c>
      <c r="I47" s="87">
        <v>70</v>
      </c>
      <c r="J47" s="209">
        <v>50023.83</v>
      </c>
      <c r="K47" s="75">
        <v>21614.746317252</v>
      </c>
      <c r="L47" s="75">
        <f t="shared" si="22"/>
        <v>21454.877054</v>
      </c>
      <c r="M47" s="75">
        <f t="shared" si="6"/>
        <v>93093.453371252006</v>
      </c>
      <c r="N47" s="75">
        <f>G47*J47-0.35+0.28</f>
        <v>3501668.03</v>
      </c>
      <c r="O47" s="75">
        <f>G47*K47+0.16</f>
        <v>1513032.40220764</v>
      </c>
      <c r="P47" s="75"/>
      <c r="Q47" s="75">
        <f>G47*L47</f>
        <v>1501841.39378</v>
      </c>
      <c r="R47" s="75"/>
      <c r="S47" s="75"/>
      <c r="T47" s="75">
        <f t="shared" si="2"/>
        <v>6516541.8259876408</v>
      </c>
      <c r="U47" s="75">
        <f>T47</f>
        <v>6516541.8259876408</v>
      </c>
      <c r="V47" s="75">
        <f>U47</f>
        <v>6516541.8259876408</v>
      </c>
    </row>
    <row r="48" spans="1:25" x14ac:dyDescent="0.25">
      <c r="A48" s="88"/>
      <c r="B48" s="89" t="s">
        <v>225</v>
      </c>
      <c r="C48" s="127" t="s">
        <v>219</v>
      </c>
      <c r="D48" s="214"/>
      <c r="E48" s="87"/>
      <c r="F48" s="87"/>
      <c r="G48" s="87">
        <v>11</v>
      </c>
      <c r="H48" s="87">
        <v>11</v>
      </c>
      <c r="I48" s="87">
        <v>11</v>
      </c>
      <c r="J48" s="75"/>
      <c r="K48" s="75"/>
      <c r="L48" s="75"/>
      <c r="M48" s="75"/>
      <c r="N48" s="75"/>
      <c r="O48" s="75"/>
      <c r="P48" s="75"/>
      <c r="Q48" s="75"/>
      <c r="R48" s="75">
        <v>2001627</v>
      </c>
      <c r="S48" s="75"/>
      <c r="T48" s="75">
        <f>R48</f>
        <v>2001627</v>
      </c>
      <c r="U48" s="75">
        <f>R48</f>
        <v>2001627</v>
      </c>
      <c r="V48" s="75">
        <f>R48</f>
        <v>2001627</v>
      </c>
    </row>
    <row r="49" spans="1:25" x14ac:dyDescent="0.25">
      <c r="A49" s="88"/>
      <c r="B49" s="89" t="s">
        <v>225</v>
      </c>
      <c r="C49" s="127" t="s">
        <v>226</v>
      </c>
      <c r="D49" s="214"/>
      <c r="E49" s="87"/>
      <c r="F49" s="87"/>
      <c r="G49" s="87">
        <v>7</v>
      </c>
      <c r="H49" s="87">
        <v>7</v>
      </c>
      <c r="I49" s="87">
        <v>7</v>
      </c>
      <c r="J49" s="75"/>
      <c r="K49" s="75"/>
      <c r="L49" s="75"/>
      <c r="M49" s="75"/>
      <c r="N49" s="75"/>
      <c r="O49" s="75"/>
      <c r="P49" s="75">
        <f>199806+148566+81980</f>
        <v>430352</v>
      </c>
      <c r="Q49" s="75"/>
      <c r="R49" s="75"/>
      <c r="S49" s="75"/>
      <c r="T49" s="75">
        <f>P49</f>
        <v>430352</v>
      </c>
      <c r="U49" s="75">
        <f>P49</f>
        <v>430352</v>
      </c>
      <c r="V49" s="75">
        <f>P49</f>
        <v>430352</v>
      </c>
    </row>
    <row r="50" spans="1:25" ht="57" x14ac:dyDescent="0.25">
      <c r="A50" s="88"/>
      <c r="B50" s="84" t="s">
        <v>271</v>
      </c>
      <c r="C50" s="127" t="s">
        <v>226</v>
      </c>
      <c r="D50" s="214"/>
      <c r="E50" s="87"/>
      <c r="F50" s="87"/>
      <c r="G50" s="87"/>
      <c r="H50" s="87"/>
      <c r="I50" s="87"/>
      <c r="J50" s="75"/>
      <c r="K50" s="75"/>
      <c r="L50" s="75"/>
      <c r="M50" s="75"/>
      <c r="N50" s="75">
        <v>486208</v>
      </c>
      <c r="O50" s="75"/>
      <c r="P50" s="75"/>
      <c r="Q50" s="75"/>
      <c r="R50" s="75"/>
      <c r="S50" s="75"/>
      <c r="T50" s="75">
        <f>N50</f>
        <v>486208</v>
      </c>
      <c r="U50" s="75">
        <f>T50</f>
        <v>486208</v>
      </c>
      <c r="V50" s="75">
        <f>U50</f>
        <v>486208</v>
      </c>
    </row>
    <row r="51" spans="1:25" ht="90" x14ac:dyDescent="0.25">
      <c r="A51" s="202" t="s">
        <v>257</v>
      </c>
      <c r="B51" s="214" t="s">
        <v>28</v>
      </c>
      <c r="C51" s="127" t="s">
        <v>219</v>
      </c>
      <c r="D51" s="86" t="s">
        <v>20</v>
      </c>
      <c r="E51" s="87">
        <f>E47+E46+E45</f>
        <v>111</v>
      </c>
      <c r="F51" s="87">
        <f>F47+F46+F45</f>
        <v>111</v>
      </c>
      <c r="G51" s="87">
        <f>(E51*8+F51*4)/12</f>
        <v>111</v>
      </c>
      <c r="H51" s="87">
        <f>H47+H46+H45</f>
        <v>111</v>
      </c>
      <c r="I51" s="87">
        <f>I47+I46+I45</f>
        <v>111</v>
      </c>
      <c r="J51" s="75" t="s">
        <v>23</v>
      </c>
      <c r="K51" s="75"/>
      <c r="L51" s="75">
        <v>12405.807000000001</v>
      </c>
      <c r="M51" s="75">
        <f t="shared" si="6"/>
        <v>12405.807000000001</v>
      </c>
      <c r="N51" s="75">
        <f t="shared" ref="N51" si="23">G51*J51</f>
        <v>0</v>
      </c>
      <c r="O51" s="75">
        <f t="shared" ref="O51" si="24">G51*K51</f>
        <v>0</v>
      </c>
      <c r="P51" s="75"/>
      <c r="Q51" s="75">
        <f>E51*L51-125511.27</f>
        <v>1251533.307</v>
      </c>
      <c r="R51" s="75"/>
      <c r="S51" s="75"/>
      <c r="T51" s="75">
        <f>SUM(N51:Q51)</f>
        <v>1251533.307</v>
      </c>
      <c r="U51" s="75">
        <f>T51</f>
        <v>1251533.307</v>
      </c>
      <c r="V51" s="75">
        <f>U51</f>
        <v>1251533.307</v>
      </c>
    </row>
    <row r="52" spans="1:25" x14ac:dyDescent="0.25">
      <c r="A52" s="86"/>
      <c r="B52" s="214" t="s">
        <v>28</v>
      </c>
      <c r="C52" s="127" t="s">
        <v>220</v>
      </c>
      <c r="D52" s="86"/>
      <c r="E52" s="87"/>
      <c r="F52" s="87"/>
      <c r="G52" s="87"/>
      <c r="H52" s="87"/>
      <c r="I52" s="87"/>
      <c r="J52" s="75"/>
      <c r="K52" s="75"/>
      <c r="L52" s="75">
        <v>12248.94</v>
      </c>
      <c r="M52" s="75"/>
      <c r="N52" s="75"/>
      <c r="O52" s="75"/>
      <c r="P52" s="75"/>
      <c r="Q52" s="75"/>
      <c r="R52" s="75"/>
      <c r="S52" s="75">
        <f>L52*G51</f>
        <v>1359632.34</v>
      </c>
      <c r="T52" s="75">
        <f>S52</f>
        <v>1359632.34</v>
      </c>
      <c r="U52" s="75">
        <f>S52</f>
        <v>1359632.34</v>
      </c>
      <c r="V52" s="75">
        <f>S52</f>
        <v>1359632.34</v>
      </c>
    </row>
    <row r="53" spans="1:25" x14ac:dyDescent="0.25">
      <c r="A53" s="196" t="s">
        <v>44</v>
      </c>
      <c r="B53" s="94"/>
      <c r="C53" s="94"/>
      <c r="D53" s="94"/>
      <c r="E53" s="92"/>
      <c r="F53" s="92"/>
      <c r="G53" s="92"/>
      <c r="H53" s="92"/>
      <c r="I53" s="92"/>
      <c r="J53" s="78"/>
      <c r="K53" s="78"/>
      <c r="L53" s="78"/>
      <c r="M53" s="78">
        <f t="shared" si="6"/>
        <v>0</v>
      </c>
      <c r="N53" s="78">
        <f>N54+N62</f>
        <v>12356046</v>
      </c>
      <c r="O53" s="78">
        <f>O54+O62</f>
        <v>4625556.0018919278</v>
      </c>
      <c r="P53" s="78">
        <f>P54</f>
        <v>768048</v>
      </c>
      <c r="Q53" s="78">
        <f t="shared" ref="Q53" si="25">Q54+Q62</f>
        <v>7127415.0299948007</v>
      </c>
      <c r="R53" s="78">
        <f>R54</f>
        <v>3311260</v>
      </c>
      <c r="S53" s="78">
        <f>S63</f>
        <v>2621273.16</v>
      </c>
      <c r="T53" s="78">
        <f>T54+T62+T63</f>
        <v>30809598.19188673</v>
      </c>
      <c r="U53" s="78">
        <f t="shared" ref="U53:V53" si="26">U54+U62+U63</f>
        <v>30809598.19188673</v>
      </c>
      <c r="V53" s="78">
        <f t="shared" si="26"/>
        <v>30809598.19188673</v>
      </c>
      <c r="W53" s="80">
        <v>7127415.0300000003</v>
      </c>
      <c r="X53" s="85">
        <f>W53-Q53</f>
        <v>5.1995739340782166E-6</v>
      </c>
      <c r="Y53" s="80">
        <f>X53/I62</f>
        <v>2.4297074458309424E-8</v>
      </c>
    </row>
    <row r="54" spans="1:25" ht="96.6" customHeight="1" x14ac:dyDescent="0.25">
      <c r="A54" s="202" t="s">
        <v>256</v>
      </c>
      <c r="B54" s="84" t="s">
        <v>76</v>
      </c>
      <c r="C54" s="128"/>
      <c r="D54" s="95"/>
      <c r="E54" s="68"/>
      <c r="F54" s="68"/>
      <c r="G54" s="68"/>
      <c r="H54" s="68"/>
      <c r="I54" s="68"/>
      <c r="J54" s="75"/>
      <c r="K54" s="75"/>
      <c r="L54" s="75"/>
      <c r="M54" s="75">
        <f t="shared" si="6"/>
        <v>0</v>
      </c>
      <c r="N54" s="75">
        <f>SUM(N55:N61)</f>
        <v>12356046</v>
      </c>
      <c r="O54" s="75">
        <f t="shared" ref="O54:Q54" si="27">SUM(O55:O58)</f>
        <v>4625556.0018919278</v>
      </c>
      <c r="P54" s="75">
        <f>P60</f>
        <v>768048</v>
      </c>
      <c r="Q54" s="75">
        <f t="shared" si="27"/>
        <v>4315683.2519947998</v>
      </c>
      <c r="R54" s="75">
        <f>R59</f>
        <v>3311260</v>
      </c>
      <c r="S54" s="75"/>
      <c r="T54" s="75">
        <f>SUM(T55:T61)</f>
        <v>25376593.253886729</v>
      </c>
      <c r="U54" s="75">
        <f t="shared" ref="U54:V54" si="28">SUM(U55:U61)</f>
        <v>25376593.253886729</v>
      </c>
      <c r="V54" s="75">
        <f t="shared" si="28"/>
        <v>25376593.253886729</v>
      </c>
      <c r="W54" s="85">
        <f>S53+T54</f>
        <v>27997866.41388673</v>
      </c>
    </row>
    <row r="55" spans="1:25" ht="105" x14ac:dyDescent="0.25">
      <c r="A55" s="83"/>
      <c r="B55" s="97" t="s">
        <v>19</v>
      </c>
      <c r="C55" s="93" t="s">
        <v>0</v>
      </c>
      <c r="D55" s="214" t="s">
        <v>20</v>
      </c>
      <c r="E55" s="87">
        <v>37</v>
      </c>
      <c r="F55" s="87">
        <v>37</v>
      </c>
      <c r="G55" s="87">
        <f>(E55*8+F55*4)/12</f>
        <v>37</v>
      </c>
      <c r="H55" s="87">
        <v>37</v>
      </c>
      <c r="I55" s="87">
        <v>37</v>
      </c>
      <c r="J55" s="75">
        <v>43138.04</v>
      </c>
      <c r="K55" s="75">
        <v>21614.746317252</v>
      </c>
      <c r="L55" s="75">
        <f>18972.01+207.38+987.3541682</f>
        <v>20166.744168199999</v>
      </c>
      <c r="M55" s="75">
        <f t="shared" si="6"/>
        <v>84919.530485452007</v>
      </c>
      <c r="N55" s="75">
        <f>G55*J55+0.2+0.3</f>
        <v>1596107.98</v>
      </c>
      <c r="O55" s="75">
        <f>G55*K55+0.29</f>
        <v>799745.90373832406</v>
      </c>
      <c r="P55" s="75"/>
      <c r="Q55" s="75">
        <f>G55*L55</f>
        <v>746169.53422339994</v>
      </c>
      <c r="R55" s="75"/>
      <c r="S55" s="75"/>
      <c r="T55" s="75">
        <f>SUM(N55:Q55)</f>
        <v>3142023.4179617241</v>
      </c>
      <c r="U55" s="75">
        <f>T55</f>
        <v>3142023.4179617241</v>
      </c>
      <c r="V55" s="75">
        <f>U55</f>
        <v>3142023.4179617241</v>
      </c>
    </row>
    <row r="56" spans="1:25" x14ac:dyDescent="0.25">
      <c r="A56" s="88"/>
      <c r="B56" s="97" t="s">
        <v>24</v>
      </c>
      <c r="C56" s="97"/>
      <c r="D56" s="86" t="s">
        <v>20</v>
      </c>
      <c r="E56" s="87">
        <v>79</v>
      </c>
      <c r="F56" s="87">
        <v>79</v>
      </c>
      <c r="G56" s="87">
        <f>(E56*8+F56*4)/12</f>
        <v>79</v>
      </c>
      <c r="H56" s="87">
        <v>79</v>
      </c>
      <c r="I56" s="87">
        <v>79</v>
      </c>
      <c r="J56" s="75">
        <v>34198.17</v>
      </c>
      <c r="K56" s="75">
        <v>21614.746317252</v>
      </c>
      <c r="L56" s="75">
        <f t="shared" ref="L56:L58" si="29">18972.01+207.38+987.3541682</f>
        <v>20166.744168199999</v>
      </c>
      <c r="M56" s="75">
        <f t="shared" si="6"/>
        <v>75979.660485451997</v>
      </c>
      <c r="N56" s="75">
        <f t="shared" ref="N56:N62" si="30">G56*J56</f>
        <v>2701655.4299999997</v>
      </c>
      <c r="O56" s="75">
        <f t="shared" ref="O56:O62" si="31">G56*K56</f>
        <v>1707564.9590629081</v>
      </c>
      <c r="P56" s="75"/>
      <c r="Q56" s="75">
        <f t="shared" ref="Q56:Q57" si="32">G56*L56</f>
        <v>1593172.7892878</v>
      </c>
      <c r="R56" s="75"/>
      <c r="S56" s="75"/>
      <c r="T56" s="75">
        <f t="shared" si="2"/>
        <v>6002393.1783507075</v>
      </c>
      <c r="U56" s="75">
        <f t="shared" si="15"/>
        <v>6002393.1783507075</v>
      </c>
      <c r="V56" s="75">
        <f t="shared" si="3"/>
        <v>6002393.1783507075</v>
      </c>
    </row>
    <row r="57" spans="1:25" ht="105" x14ac:dyDescent="0.25">
      <c r="A57" s="83"/>
      <c r="B57" s="130"/>
      <c r="C57" s="93" t="s">
        <v>38</v>
      </c>
      <c r="D57" s="214" t="s">
        <v>20</v>
      </c>
      <c r="E57" s="87">
        <v>23</v>
      </c>
      <c r="F57" s="87">
        <v>23</v>
      </c>
      <c r="G57" s="87">
        <f t="shared" ref="G57:G62" si="33">(E57*8+F57*4)/12</f>
        <v>23</v>
      </c>
      <c r="H57" s="87">
        <v>23</v>
      </c>
      <c r="I57" s="87">
        <v>23</v>
      </c>
      <c r="J57" s="75">
        <v>142093.57999999999</v>
      </c>
      <c r="K57" s="75">
        <v>21614.746317252</v>
      </c>
      <c r="L57" s="75">
        <f t="shared" si="29"/>
        <v>20166.744168199999</v>
      </c>
      <c r="M57" s="75">
        <f t="shared" si="6"/>
        <v>183875.07048545199</v>
      </c>
      <c r="N57" s="75">
        <f t="shared" si="30"/>
        <v>3268152.34</v>
      </c>
      <c r="O57" s="75">
        <f t="shared" si="31"/>
        <v>497139.16529679601</v>
      </c>
      <c r="P57" s="75"/>
      <c r="Q57" s="75">
        <f t="shared" si="32"/>
        <v>463835.11586859997</v>
      </c>
      <c r="R57" s="75"/>
      <c r="S57" s="75"/>
      <c r="T57" s="75">
        <f t="shared" si="2"/>
        <v>4229126.6211653957</v>
      </c>
      <c r="U57" s="75">
        <f t="shared" si="15"/>
        <v>4229126.6211653957</v>
      </c>
      <c r="V57" s="75">
        <f t="shared" si="3"/>
        <v>4229126.6211653957</v>
      </c>
    </row>
    <row r="58" spans="1:25" ht="120" x14ac:dyDescent="0.25">
      <c r="A58" s="83"/>
      <c r="B58" s="97" t="s">
        <v>24</v>
      </c>
      <c r="C58" s="93" t="s">
        <v>162</v>
      </c>
      <c r="D58" s="214" t="s">
        <v>20</v>
      </c>
      <c r="E58" s="87">
        <v>75</v>
      </c>
      <c r="F58" s="87">
        <v>75</v>
      </c>
      <c r="G58" s="87">
        <f t="shared" si="33"/>
        <v>75</v>
      </c>
      <c r="H58" s="87">
        <v>75</v>
      </c>
      <c r="I58" s="87">
        <v>75</v>
      </c>
      <c r="J58" s="209">
        <v>50023.83</v>
      </c>
      <c r="K58" s="75">
        <v>21614.746317252</v>
      </c>
      <c r="L58" s="75">
        <f t="shared" si="29"/>
        <v>20166.744168199999</v>
      </c>
      <c r="M58" s="75">
        <f t="shared" si="6"/>
        <v>91805.320485452015</v>
      </c>
      <c r="N58" s="75">
        <f t="shared" si="30"/>
        <v>3751787.25</v>
      </c>
      <c r="O58" s="75">
        <f t="shared" si="31"/>
        <v>1621105.9737939001</v>
      </c>
      <c r="P58" s="75"/>
      <c r="Q58" s="75">
        <f>G58*L58</f>
        <v>1512505.8126149999</v>
      </c>
      <c r="R58" s="75"/>
      <c r="S58" s="75"/>
      <c r="T58" s="75">
        <f t="shared" si="2"/>
        <v>6885399.0364088994</v>
      </c>
      <c r="U58" s="75">
        <f t="shared" si="15"/>
        <v>6885399.0364089012</v>
      </c>
      <c r="V58" s="75">
        <f t="shared" si="3"/>
        <v>6885399.0364089012</v>
      </c>
    </row>
    <row r="59" spans="1:25" x14ac:dyDescent="0.25">
      <c r="A59" s="83"/>
      <c r="B59" s="89" t="s">
        <v>225</v>
      </c>
      <c r="C59" s="127" t="s">
        <v>219</v>
      </c>
      <c r="D59" s="214"/>
      <c r="E59" s="87"/>
      <c r="F59" s="87"/>
      <c r="G59" s="87">
        <v>20</v>
      </c>
      <c r="H59" s="87">
        <v>20</v>
      </c>
      <c r="I59" s="87">
        <v>20</v>
      </c>
      <c r="J59" s="75"/>
      <c r="K59" s="75"/>
      <c r="L59" s="75"/>
      <c r="M59" s="75"/>
      <c r="N59" s="75"/>
      <c r="O59" s="75"/>
      <c r="P59" s="75"/>
      <c r="Q59" s="75"/>
      <c r="R59" s="75">
        <v>3311260</v>
      </c>
      <c r="S59" s="75"/>
      <c r="T59" s="75">
        <f>R59</f>
        <v>3311260</v>
      </c>
      <c r="U59" s="75">
        <f>R59</f>
        <v>3311260</v>
      </c>
      <c r="V59" s="75">
        <f>R59</f>
        <v>3311260</v>
      </c>
    </row>
    <row r="60" spans="1:25" x14ac:dyDescent="0.25">
      <c r="A60" s="83"/>
      <c r="B60" s="89" t="s">
        <v>225</v>
      </c>
      <c r="C60" s="127" t="s">
        <v>226</v>
      </c>
      <c r="D60" s="214"/>
      <c r="E60" s="87"/>
      <c r="F60" s="87"/>
      <c r="G60" s="87">
        <v>12</v>
      </c>
      <c r="H60" s="87">
        <v>12</v>
      </c>
      <c r="I60" s="87">
        <v>12</v>
      </c>
      <c r="J60" s="75"/>
      <c r="K60" s="75"/>
      <c r="L60" s="75"/>
      <c r="M60" s="75"/>
      <c r="N60" s="75"/>
      <c r="O60" s="75"/>
      <c r="P60" s="75">
        <f>342524+289631+135893</f>
        <v>768048</v>
      </c>
      <c r="Q60" s="75"/>
      <c r="R60" s="75"/>
      <c r="S60" s="75"/>
      <c r="T60" s="75">
        <f>P60</f>
        <v>768048</v>
      </c>
      <c r="U60" s="75">
        <f>P60</f>
        <v>768048</v>
      </c>
      <c r="V60" s="75">
        <f>P60</f>
        <v>768048</v>
      </c>
    </row>
    <row r="61" spans="1:25" ht="57" x14ac:dyDescent="0.25">
      <c r="A61" s="83"/>
      <c r="B61" s="84" t="s">
        <v>271</v>
      </c>
      <c r="C61" s="127" t="s">
        <v>226</v>
      </c>
      <c r="D61" s="214"/>
      <c r="E61" s="87"/>
      <c r="F61" s="87"/>
      <c r="G61" s="87"/>
      <c r="H61" s="87"/>
      <c r="I61" s="87"/>
      <c r="J61" s="75"/>
      <c r="K61" s="75"/>
      <c r="L61" s="75"/>
      <c r="M61" s="75"/>
      <c r="N61" s="75">
        <v>1038343</v>
      </c>
      <c r="O61" s="75"/>
      <c r="P61" s="75"/>
      <c r="Q61" s="75"/>
      <c r="R61" s="75"/>
      <c r="S61" s="75"/>
      <c r="T61" s="75">
        <f>N61</f>
        <v>1038343</v>
      </c>
      <c r="U61" s="75">
        <f>T61</f>
        <v>1038343</v>
      </c>
      <c r="V61" s="75">
        <f>U61</f>
        <v>1038343</v>
      </c>
    </row>
    <row r="62" spans="1:25" ht="90" x14ac:dyDescent="0.25">
      <c r="A62" s="202" t="s">
        <v>257</v>
      </c>
      <c r="B62" s="214" t="s">
        <v>28</v>
      </c>
      <c r="C62" s="127" t="s">
        <v>219</v>
      </c>
      <c r="D62" s="86" t="s">
        <v>20</v>
      </c>
      <c r="E62" s="87">
        <f>E58+E57+E56+E55</f>
        <v>214</v>
      </c>
      <c r="F62" s="87">
        <f>F58+F57+F56+F55</f>
        <v>214</v>
      </c>
      <c r="G62" s="87">
        <f t="shared" si="33"/>
        <v>214</v>
      </c>
      <c r="H62" s="87">
        <f>H58+H57+H56+H55</f>
        <v>214</v>
      </c>
      <c r="I62" s="87">
        <f>I58+I57+I56+I55</f>
        <v>214</v>
      </c>
      <c r="J62" s="75" t="s">
        <v>23</v>
      </c>
      <c r="K62" s="75"/>
      <c r="L62" s="75">
        <v>12405.807000000001</v>
      </c>
      <c r="M62" s="75">
        <f t="shared" si="6"/>
        <v>12405.807000000001</v>
      </c>
      <c r="N62" s="75">
        <f t="shared" si="30"/>
        <v>0</v>
      </c>
      <c r="O62" s="75">
        <f t="shared" si="31"/>
        <v>0</v>
      </c>
      <c r="P62" s="75"/>
      <c r="Q62" s="75">
        <f>G62*L62+156889.08</f>
        <v>2811731.7780000004</v>
      </c>
      <c r="R62" s="75"/>
      <c r="S62" s="75"/>
      <c r="T62" s="75">
        <f t="shared" si="2"/>
        <v>2811731.7780000004</v>
      </c>
      <c r="U62" s="75">
        <f>T62</f>
        <v>2811731.7780000004</v>
      </c>
      <c r="V62" s="75">
        <f>U62</f>
        <v>2811731.7780000004</v>
      </c>
    </row>
    <row r="63" spans="1:25" ht="42" customHeight="1" x14ac:dyDescent="0.25">
      <c r="A63" s="86"/>
      <c r="B63" s="214" t="s">
        <v>28</v>
      </c>
      <c r="C63" s="127" t="s">
        <v>220</v>
      </c>
      <c r="D63" s="86"/>
      <c r="E63" s="87"/>
      <c r="F63" s="87"/>
      <c r="G63" s="87"/>
      <c r="H63" s="87"/>
      <c r="I63" s="87"/>
      <c r="J63" s="75"/>
      <c r="K63" s="75"/>
      <c r="L63" s="75">
        <v>12248.94</v>
      </c>
      <c r="M63" s="75"/>
      <c r="N63" s="75"/>
      <c r="O63" s="75"/>
      <c r="P63" s="75"/>
      <c r="Q63" s="75"/>
      <c r="R63" s="75"/>
      <c r="S63" s="75">
        <f>L63*G62</f>
        <v>2621273.16</v>
      </c>
      <c r="T63" s="75">
        <f>S63</f>
        <v>2621273.16</v>
      </c>
      <c r="U63" s="75">
        <f>S63</f>
        <v>2621273.16</v>
      </c>
      <c r="V63" s="75">
        <f>S63</f>
        <v>2621273.16</v>
      </c>
    </row>
    <row r="64" spans="1:25" x14ac:dyDescent="0.25">
      <c r="A64" s="196" t="s">
        <v>49</v>
      </c>
      <c r="B64" s="94"/>
      <c r="C64" s="94"/>
      <c r="D64" s="94"/>
      <c r="E64" s="92"/>
      <c r="F64" s="92"/>
      <c r="G64" s="92"/>
      <c r="H64" s="92"/>
      <c r="I64" s="92"/>
      <c r="J64" s="78"/>
      <c r="K64" s="78"/>
      <c r="L64" s="78"/>
      <c r="M64" s="78">
        <f t="shared" si="6"/>
        <v>0</v>
      </c>
      <c r="N64" s="78">
        <f>N65+N73</f>
        <v>5469567</v>
      </c>
      <c r="O64" s="78">
        <f>O65+O73</f>
        <v>2550539.9954357361</v>
      </c>
      <c r="P64" s="78">
        <f>P65</f>
        <v>423231</v>
      </c>
      <c r="Q64" s="78">
        <f>Q65+Q73</f>
        <v>3813088.1199759999</v>
      </c>
      <c r="R64" s="78">
        <f>R65</f>
        <v>2050850</v>
      </c>
      <c r="S64" s="78">
        <f>S74</f>
        <v>1445374.9200000002</v>
      </c>
      <c r="T64" s="78">
        <f>T65+T73+T74</f>
        <v>15752651.035411736</v>
      </c>
      <c r="U64" s="78">
        <f>U65+U73+U74</f>
        <v>15752651.035411736</v>
      </c>
      <c r="V64" s="78">
        <f t="shared" ref="V64" si="34">V65+V73+V74</f>
        <v>15752651.035411736</v>
      </c>
      <c r="W64" s="80">
        <v>3813088.12</v>
      </c>
      <c r="X64" s="85">
        <f>W64-Q64</f>
        <v>2.4000182747840881E-5</v>
      </c>
      <c r="Y64" s="80">
        <f>X64/I73</f>
        <v>2.0339137921899052E-7</v>
      </c>
    </row>
    <row r="65" spans="1:25" ht="96" customHeight="1" x14ac:dyDescent="0.25">
      <c r="A65" s="202" t="s">
        <v>256</v>
      </c>
      <c r="B65" s="84" t="s">
        <v>76</v>
      </c>
      <c r="C65" s="128"/>
      <c r="D65" s="95"/>
      <c r="E65" s="68"/>
      <c r="F65" s="68"/>
      <c r="G65" s="68"/>
      <c r="H65" s="68"/>
      <c r="I65" s="68"/>
      <c r="J65" s="75"/>
      <c r="K65" s="75"/>
      <c r="L65" s="75"/>
      <c r="M65" s="75">
        <f t="shared" si="6"/>
        <v>0</v>
      </c>
      <c r="N65" s="75">
        <f>SUM(N66:N72)</f>
        <v>5469567</v>
      </c>
      <c r="O65" s="75">
        <f t="shared" ref="O65:Q65" si="35">SUM(O66:O69)</f>
        <v>2550539.9954357361</v>
      </c>
      <c r="P65" s="189">
        <f>P71</f>
        <v>423231</v>
      </c>
      <c r="Q65" s="75">
        <f t="shared" si="35"/>
        <v>2474714.1639760002</v>
      </c>
      <c r="R65" s="75">
        <f>R70</f>
        <v>2050850</v>
      </c>
      <c r="S65" s="75"/>
      <c r="T65" s="75">
        <f>SUM(T66:T72)</f>
        <v>12968902.159411736</v>
      </c>
      <c r="U65" s="75">
        <f t="shared" ref="U65:V65" si="36">SUM(U66:U72)</f>
        <v>12968902.159411736</v>
      </c>
      <c r="V65" s="75">
        <f t="shared" si="36"/>
        <v>12968902.159411736</v>
      </c>
    </row>
    <row r="66" spans="1:25" ht="105" x14ac:dyDescent="0.25">
      <c r="A66" s="83"/>
      <c r="B66" s="97" t="s">
        <v>19</v>
      </c>
      <c r="C66" s="93" t="s">
        <v>0</v>
      </c>
      <c r="D66" s="214" t="s">
        <v>20</v>
      </c>
      <c r="E66" s="87">
        <v>26</v>
      </c>
      <c r="F66" s="87">
        <v>26</v>
      </c>
      <c r="G66" s="87">
        <f t="shared" ref="G66:G69" si="37">(E66*8+F66*4)/12</f>
        <v>26</v>
      </c>
      <c r="H66" s="87">
        <v>26</v>
      </c>
      <c r="I66" s="87">
        <v>26</v>
      </c>
      <c r="J66" s="75">
        <v>43138.04</v>
      </c>
      <c r="K66" s="75">
        <v>21614.746317252</v>
      </c>
      <c r="L66" s="75">
        <f>18972.01+207.38+1792.763932</f>
        <v>20972.153932000001</v>
      </c>
      <c r="M66" s="75">
        <f t="shared" si="6"/>
        <v>85724.940249252002</v>
      </c>
      <c r="N66" s="75">
        <f>G66*J66-0.48+0.3</f>
        <v>1121588.8600000001</v>
      </c>
      <c r="O66" s="75">
        <f>G66*K66-0.07</f>
        <v>561983.3342485521</v>
      </c>
      <c r="P66" s="75"/>
      <c r="Q66" s="75">
        <f>G66*L66</f>
        <v>545276.002232</v>
      </c>
      <c r="R66" s="75"/>
      <c r="S66" s="75"/>
      <c r="T66" s="75">
        <f>SUM(N66:Q66)</f>
        <v>2228848.1964805522</v>
      </c>
      <c r="U66" s="75">
        <f>T66</f>
        <v>2228848.1964805522</v>
      </c>
      <c r="V66" s="75">
        <f>U66</f>
        <v>2228848.1964805522</v>
      </c>
    </row>
    <row r="67" spans="1:25" x14ac:dyDescent="0.25">
      <c r="A67" s="88"/>
      <c r="B67" s="97" t="s">
        <v>24</v>
      </c>
      <c r="C67" s="97"/>
      <c r="D67" s="86" t="s">
        <v>20</v>
      </c>
      <c r="E67" s="87">
        <v>17</v>
      </c>
      <c r="F67" s="87">
        <v>17</v>
      </c>
      <c r="G67" s="87">
        <f>(E67*8+F67*4)/12</f>
        <v>17</v>
      </c>
      <c r="H67" s="87">
        <v>17</v>
      </c>
      <c r="I67" s="87">
        <v>17</v>
      </c>
      <c r="J67" s="75">
        <v>34198.17</v>
      </c>
      <c r="K67" s="75">
        <v>21614.746317252</v>
      </c>
      <c r="L67" s="75">
        <f t="shared" ref="L67:L69" si="38">18972.01+207.38+1792.763932</f>
        <v>20972.153932000001</v>
      </c>
      <c r="M67" s="75">
        <f t="shared" si="6"/>
        <v>76785.070249251992</v>
      </c>
      <c r="N67" s="75">
        <f>G67*J67</f>
        <v>581368.89</v>
      </c>
      <c r="O67" s="75">
        <f>G67*K67</f>
        <v>367450.687393284</v>
      </c>
      <c r="P67" s="75"/>
      <c r="Q67" s="75">
        <f>G67*L67</f>
        <v>356526.616844</v>
      </c>
      <c r="R67" s="75"/>
      <c r="S67" s="75"/>
      <c r="T67" s="75">
        <f>SUM(N67:Q67)</f>
        <v>1305346.1942372841</v>
      </c>
      <c r="U67" s="75">
        <f>H67*M67</f>
        <v>1305346.1942372839</v>
      </c>
      <c r="V67" s="75">
        <f>U67</f>
        <v>1305346.1942372839</v>
      </c>
    </row>
    <row r="68" spans="1:25" ht="105" x14ac:dyDescent="0.25">
      <c r="A68" s="88"/>
      <c r="B68" s="97" t="s">
        <v>24</v>
      </c>
      <c r="C68" s="93" t="s">
        <v>179</v>
      </c>
      <c r="D68" s="86" t="s">
        <v>20</v>
      </c>
      <c r="E68" s="87">
        <v>0</v>
      </c>
      <c r="F68" s="87">
        <v>0</v>
      </c>
      <c r="G68" s="87">
        <f>(E68*8+F68*4)/12</f>
        <v>0</v>
      </c>
      <c r="H68" s="87">
        <v>0</v>
      </c>
      <c r="I68" s="87">
        <v>0</v>
      </c>
      <c r="J68" s="209">
        <v>67236.92</v>
      </c>
      <c r="K68" s="75">
        <v>21614.746317252</v>
      </c>
      <c r="L68" s="75">
        <f t="shared" si="38"/>
        <v>20972.153932000001</v>
      </c>
      <c r="M68" s="75">
        <f>J68+K68+L68</f>
        <v>109823.82024925201</v>
      </c>
      <c r="N68" s="75">
        <f>G68*J68</f>
        <v>0</v>
      </c>
      <c r="O68" s="75">
        <f>G68*K68</f>
        <v>0</v>
      </c>
      <c r="P68" s="75"/>
      <c r="Q68" s="75">
        <f>G68*L68</f>
        <v>0</v>
      </c>
      <c r="R68" s="75"/>
      <c r="S68" s="75"/>
      <c r="T68" s="75">
        <f>SUM(N68:Q68)</f>
        <v>0</v>
      </c>
      <c r="U68" s="75">
        <f>H68*M68</f>
        <v>0</v>
      </c>
      <c r="V68" s="75">
        <f>I68*M68</f>
        <v>0</v>
      </c>
    </row>
    <row r="69" spans="1:25" ht="120" x14ac:dyDescent="0.25">
      <c r="A69" s="88"/>
      <c r="B69" s="97" t="s">
        <v>24</v>
      </c>
      <c r="C69" s="93" t="s">
        <v>162</v>
      </c>
      <c r="D69" s="214" t="s">
        <v>20</v>
      </c>
      <c r="E69" s="87">
        <v>75</v>
      </c>
      <c r="F69" s="87">
        <v>75</v>
      </c>
      <c r="G69" s="87">
        <f t="shared" si="37"/>
        <v>75</v>
      </c>
      <c r="H69" s="87">
        <v>75</v>
      </c>
      <c r="I69" s="87">
        <v>75</v>
      </c>
      <c r="J69" s="209">
        <v>50023.83</v>
      </c>
      <c r="K69" s="75">
        <v>21614.746317252</v>
      </c>
      <c r="L69" s="75">
        <f t="shared" si="38"/>
        <v>20972.153932000001</v>
      </c>
      <c r="M69" s="75">
        <f t="shared" ref="M69" si="39">J69+K69+L69</f>
        <v>92610.73024925201</v>
      </c>
      <c r="N69" s="75">
        <f t="shared" ref="N69:N73" si="40">G69*J69</f>
        <v>3751787.25</v>
      </c>
      <c r="O69" s="75">
        <f t="shared" ref="O69:O73" si="41">G69*K69</f>
        <v>1621105.9737939001</v>
      </c>
      <c r="P69" s="75"/>
      <c r="Q69" s="75">
        <f t="shared" ref="Q69" si="42">G69*L69</f>
        <v>1572911.5449000001</v>
      </c>
      <c r="R69" s="75"/>
      <c r="S69" s="75"/>
      <c r="T69" s="75">
        <f t="shared" ref="T69" si="43">SUM(N69:Q69)</f>
        <v>6945804.7686938997</v>
      </c>
      <c r="U69" s="75">
        <f t="shared" ref="U69" si="44">H69*M69</f>
        <v>6945804.7686939007</v>
      </c>
      <c r="V69" s="75">
        <f t="shared" ref="V69" si="45">I69*M69</f>
        <v>6945804.7686939007</v>
      </c>
    </row>
    <row r="70" spans="1:25" x14ac:dyDescent="0.25">
      <c r="A70" s="88"/>
      <c r="B70" s="89" t="s">
        <v>225</v>
      </c>
      <c r="C70" s="127" t="s">
        <v>219</v>
      </c>
      <c r="D70" s="214"/>
      <c r="E70" s="87"/>
      <c r="F70" s="87"/>
      <c r="G70" s="87">
        <v>12</v>
      </c>
      <c r="H70" s="87">
        <v>12</v>
      </c>
      <c r="I70" s="87">
        <v>12</v>
      </c>
      <c r="J70" s="75"/>
      <c r="K70" s="75"/>
      <c r="L70" s="75"/>
      <c r="M70" s="75"/>
      <c r="N70" s="75"/>
      <c r="O70" s="75"/>
      <c r="P70" s="75"/>
      <c r="Q70" s="75"/>
      <c r="R70" s="75">
        <v>2050850</v>
      </c>
      <c r="S70" s="75"/>
      <c r="T70" s="75">
        <f>R70</f>
        <v>2050850</v>
      </c>
      <c r="U70" s="75">
        <f>R70</f>
        <v>2050850</v>
      </c>
      <c r="V70" s="75">
        <f>R70</f>
        <v>2050850</v>
      </c>
    </row>
    <row r="71" spans="1:25" x14ac:dyDescent="0.25">
      <c r="A71" s="88"/>
      <c r="B71" s="89" t="s">
        <v>225</v>
      </c>
      <c r="C71" s="127" t="s">
        <v>226</v>
      </c>
      <c r="D71" s="214"/>
      <c r="E71" s="87"/>
      <c r="F71" s="87"/>
      <c r="G71" s="87">
        <v>6</v>
      </c>
      <c r="H71" s="87">
        <v>6</v>
      </c>
      <c r="I71" s="87">
        <v>6</v>
      </c>
      <c r="J71" s="75"/>
      <c r="K71" s="75"/>
      <c r="L71" s="75"/>
      <c r="M71" s="75"/>
      <c r="N71" s="75"/>
      <c r="O71" s="75"/>
      <c r="P71" s="75">
        <f>171262+162730+89239</f>
        <v>423231</v>
      </c>
      <c r="Q71" s="75"/>
      <c r="R71" s="75"/>
      <c r="S71" s="75"/>
      <c r="T71" s="75">
        <f>P71</f>
        <v>423231</v>
      </c>
      <c r="U71" s="75">
        <f>P71</f>
        <v>423231</v>
      </c>
      <c r="V71" s="75">
        <f>P71</f>
        <v>423231</v>
      </c>
    </row>
    <row r="72" spans="1:25" ht="57" x14ac:dyDescent="0.25">
      <c r="A72" s="88"/>
      <c r="B72" s="84" t="s">
        <v>271</v>
      </c>
      <c r="C72" s="127" t="s">
        <v>226</v>
      </c>
      <c r="D72" s="214"/>
      <c r="E72" s="87"/>
      <c r="F72" s="87"/>
      <c r="G72" s="87"/>
      <c r="H72" s="87"/>
      <c r="I72" s="87"/>
      <c r="J72" s="75"/>
      <c r="K72" s="75"/>
      <c r="L72" s="75"/>
      <c r="M72" s="75"/>
      <c r="N72" s="75">
        <v>14822</v>
      </c>
      <c r="O72" s="75"/>
      <c r="P72" s="75"/>
      <c r="Q72" s="75"/>
      <c r="R72" s="75"/>
      <c r="S72" s="75"/>
      <c r="T72" s="75">
        <f>N72</f>
        <v>14822</v>
      </c>
      <c r="U72" s="75">
        <f>T72</f>
        <v>14822</v>
      </c>
      <c r="V72" s="75">
        <f>U72</f>
        <v>14822</v>
      </c>
    </row>
    <row r="73" spans="1:25" ht="34.9" customHeight="1" x14ac:dyDescent="0.25">
      <c r="A73" s="86" t="s">
        <v>257</v>
      </c>
      <c r="B73" s="214" t="s">
        <v>28</v>
      </c>
      <c r="C73" s="127" t="s">
        <v>219</v>
      </c>
      <c r="D73" s="86" t="s">
        <v>20</v>
      </c>
      <c r="E73" s="87">
        <f>E69+E68+E67+E66</f>
        <v>118</v>
      </c>
      <c r="F73" s="87">
        <f>F69+F68+F67+F66</f>
        <v>118</v>
      </c>
      <c r="G73" s="87">
        <f>(E73*8+F73*4)/12</f>
        <v>118</v>
      </c>
      <c r="H73" s="87">
        <f>H69+H68+H67+H66</f>
        <v>118</v>
      </c>
      <c r="I73" s="87">
        <f>I69+I68+I67+I66</f>
        <v>118</v>
      </c>
      <c r="J73" s="75" t="s">
        <v>23</v>
      </c>
      <c r="K73" s="75"/>
      <c r="L73" s="75">
        <v>12405.807000000001</v>
      </c>
      <c r="M73" s="75">
        <f t="shared" si="6"/>
        <v>12405.807000000001</v>
      </c>
      <c r="N73" s="75">
        <f t="shared" si="40"/>
        <v>0</v>
      </c>
      <c r="O73" s="75">
        <f t="shared" si="41"/>
        <v>0</v>
      </c>
      <c r="P73" s="75"/>
      <c r="Q73" s="75">
        <f>G73*L73-125511.27</f>
        <v>1338373.956</v>
      </c>
      <c r="R73" s="75"/>
      <c r="S73" s="75"/>
      <c r="T73" s="75">
        <f t="shared" si="2"/>
        <v>1338373.956</v>
      </c>
      <c r="U73" s="75">
        <f>T73</f>
        <v>1338373.956</v>
      </c>
      <c r="V73" s="75">
        <f>U73</f>
        <v>1338373.956</v>
      </c>
    </row>
    <row r="74" spans="1:25" ht="51" customHeight="1" x14ac:dyDescent="0.25">
      <c r="A74" s="86"/>
      <c r="B74" s="214" t="s">
        <v>28</v>
      </c>
      <c r="C74" s="127" t="s">
        <v>220</v>
      </c>
      <c r="D74" s="86"/>
      <c r="E74" s="87"/>
      <c r="F74" s="87"/>
      <c r="G74" s="87"/>
      <c r="H74" s="87"/>
      <c r="I74" s="87"/>
      <c r="J74" s="75"/>
      <c r="K74" s="75"/>
      <c r="L74" s="75">
        <v>12248.94</v>
      </c>
      <c r="M74" s="75"/>
      <c r="N74" s="75"/>
      <c r="O74" s="75"/>
      <c r="P74" s="75"/>
      <c r="Q74" s="75"/>
      <c r="R74" s="75"/>
      <c r="S74" s="75">
        <f>L74*G73</f>
        <v>1445374.9200000002</v>
      </c>
      <c r="T74" s="75">
        <f>S74</f>
        <v>1445374.9200000002</v>
      </c>
      <c r="U74" s="75">
        <f>S74</f>
        <v>1445374.9200000002</v>
      </c>
      <c r="V74" s="75">
        <f>S74</f>
        <v>1445374.9200000002</v>
      </c>
    </row>
    <row r="75" spans="1:25" x14ac:dyDescent="0.25">
      <c r="A75" s="196" t="s">
        <v>53</v>
      </c>
      <c r="B75" s="94"/>
      <c r="C75" s="94"/>
      <c r="D75" s="94"/>
      <c r="E75" s="92"/>
      <c r="F75" s="92"/>
      <c r="G75" s="92"/>
      <c r="H75" s="92"/>
      <c r="I75" s="92"/>
      <c r="J75" s="78"/>
      <c r="K75" s="78"/>
      <c r="L75" s="78"/>
      <c r="M75" s="78">
        <f t="shared" si="6"/>
        <v>0</v>
      </c>
      <c r="N75" s="78">
        <f>N76+N83</f>
        <v>7997409.5999999996</v>
      </c>
      <c r="O75" s="78">
        <f>O76+O83</f>
        <v>3458359.0007603196</v>
      </c>
      <c r="P75" s="78">
        <f>P76</f>
        <v>704131</v>
      </c>
      <c r="Q75" s="78">
        <f t="shared" ref="Q75" si="46">Q76+Q83</f>
        <v>6046912.9400000004</v>
      </c>
      <c r="R75" s="78">
        <f>R76</f>
        <v>4585119</v>
      </c>
      <c r="S75" s="78">
        <f>S84</f>
        <v>1959830.4000000001</v>
      </c>
      <c r="T75" s="78">
        <f>T76+T83+T84</f>
        <v>24751761.940760318</v>
      </c>
      <c r="U75" s="78">
        <f t="shared" ref="U75:V75" si="47">U76+U83+U84</f>
        <v>24751761.940760322</v>
      </c>
      <c r="V75" s="78">
        <f t="shared" si="47"/>
        <v>24751761.940760322</v>
      </c>
      <c r="W75" s="80">
        <v>6046912.9400000004</v>
      </c>
      <c r="X75" s="85">
        <f>W75-Q75</f>
        <v>0</v>
      </c>
      <c r="Y75" s="124">
        <f>X75/I83</f>
        <v>0</v>
      </c>
    </row>
    <row r="76" spans="1:25" ht="94.9" customHeight="1" x14ac:dyDescent="0.25">
      <c r="A76" s="202" t="s">
        <v>256</v>
      </c>
      <c r="B76" s="84" t="s">
        <v>76</v>
      </c>
      <c r="C76" s="128"/>
      <c r="D76" s="95"/>
      <c r="E76" s="68"/>
      <c r="F76" s="68"/>
      <c r="G76" s="68"/>
      <c r="H76" s="68"/>
      <c r="I76" s="68"/>
      <c r="J76" s="75"/>
      <c r="K76" s="75"/>
      <c r="L76" s="75"/>
      <c r="M76" s="75">
        <f t="shared" si="6"/>
        <v>0</v>
      </c>
      <c r="N76" s="75">
        <f>SUM(N77:N82)</f>
        <v>7997409.5999999996</v>
      </c>
      <c r="O76" s="75">
        <f>SUM(O77:O79)</f>
        <v>3458359.0007603196</v>
      </c>
      <c r="P76" s="75">
        <f>P81</f>
        <v>704131</v>
      </c>
      <c r="Q76" s="75">
        <f t="shared" ref="Q76" si="48">SUM(Q77:Q79)</f>
        <v>4030606</v>
      </c>
      <c r="R76" s="75">
        <f>R80</f>
        <v>4585119</v>
      </c>
      <c r="S76" s="75"/>
      <c r="T76" s="75">
        <f>SUM(T77:T82)</f>
        <v>20775624.600760318</v>
      </c>
      <c r="U76" s="75">
        <f t="shared" ref="U76:V76" si="49">SUM(U77:U82)</f>
        <v>20775624.600760322</v>
      </c>
      <c r="V76" s="75">
        <f t="shared" si="49"/>
        <v>20775624.600760322</v>
      </c>
    </row>
    <row r="77" spans="1:25" ht="105" x14ac:dyDescent="0.25">
      <c r="A77" s="83"/>
      <c r="B77" s="97" t="s">
        <v>19</v>
      </c>
      <c r="C77" s="93" t="s">
        <v>0</v>
      </c>
      <c r="D77" s="214" t="s">
        <v>20</v>
      </c>
      <c r="E77" s="87">
        <v>18</v>
      </c>
      <c r="F77" s="87">
        <v>18</v>
      </c>
      <c r="G77" s="87">
        <f t="shared" ref="G77:G83" si="50">(E77*8+F77*4)/12</f>
        <v>18</v>
      </c>
      <c r="H77" s="87">
        <v>18</v>
      </c>
      <c r="I77" s="87">
        <v>18</v>
      </c>
      <c r="J77" s="75">
        <v>43138.04</v>
      </c>
      <c r="K77" s="75">
        <v>21614.746317252</v>
      </c>
      <c r="L77" s="75">
        <f>18972.01+207.38+1068.75+4943.1475</f>
        <v>25191.287499999999</v>
      </c>
      <c r="M77" s="75">
        <f t="shared" si="6"/>
        <v>89944.073817252007</v>
      </c>
      <c r="N77" s="75">
        <f>G77*J77</f>
        <v>776484.72</v>
      </c>
      <c r="O77" s="75">
        <f>G77*K77</f>
        <v>389065.43371053599</v>
      </c>
      <c r="P77" s="75"/>
      <c r="Q77" s="75">
        <f>G77*L77</f>
        <v>453443.17499999999</v>
      </c>
      <c r="R77" s="75"/>
      <c r="S77" s="75"/>
      <c r="T77" s="75">
        <f t="shared" si="2"/>
        <v>1618993.328710536</v>
      </c>
      <c r="U77" s="75">
        <f t="shared" si="15"/>
        <v>1618993.328710536</v>
      </c>
      <c r="V77" s="75">
        <f t="shared" si="3"/>
        <v>1618993.328710536</v>
      </c>
    </row>
    <row r="78" spans="1:25" x14ac:dyDescent="0.25">
      <c r="A78" s="88"/>
      <c r="B78" s="97" t="s">
        <v>24</v>
      </c>
      <c r="C78" s="97"/>
      <c r="D78" s="86" t="s">
        <v>20</v>
      </c>
      <c r="E78" s="87">
        <v>42</v>
      </c>
      <c r="F78" s="87">
        <v>42</v>
      </c>
      <c r="G78" s="87">
        <f t="shared" si="50"/>
        <v>42</v>
      </c>
      <c r="H78" s="87">
        <v>42</v>
      </c>
      <c r="I78" s="87">
        <v>42</v>
      </c>
      <c r="J78" s="75">
        <v>34198.17</v>
      </c>
      <c r="K78" s="75">
        <v>21614.746317252</v>
      </c>
      <c r="L78" s="75">
        <f t="shared" ref="L78:L79" si="51">18972.01+207.38+1068.75+4943.1475</f>
        <v>25191.287499999999</v>
      </c>
      <c r="M78" s="75">
        <f t="shared" si="6"/>
        <v>81004.203817251997</v>
      </c>
      <c r="N78" s="75">
        <f>G78*J78</f>
        <v>1436323.14</v>
      </c>
      <c r="O78" s="75">
        <f>G78*K78</f>
        <v>907819.34532458405</v>
      </c>
      <c r="P78" s="75"/>
      <c r="Q78" s="75">
        <f t="shared" ref="Q78:Q79" si="52">G78*L78</f>
        <v>1058034.075</v>
      </c>
      <c r="R78" s="75"/>
      <c r="S78" s="75"/>
      <c r="T78" s="75">
        <f t="shared" si="2"/>
        <v>3402176.5603245841</v>
      </c>
      <c r="U78" s="75">
        <f t="shared" si="15"/>
        <v>3402176.5603245837</v>
      </c>
      <c r="V78" s="75">
        <f t="shared" si="3"/>
        <v>3402176.5603245837</v>
      </c>
    </row>
    <row r="79" spans="1:25" ht="120" x14ac:dyDescent="0.25">
      <c r="A79" s="88"/>
      <c r="B79" s="97" t="s">
        <v>24</v>
      </c>
      <c r="C79" s="93" t="s">
        <v>162</v>
      </c>
      <c r="D79" s="214" t="s">
        <v>20</v>
      </c>
      <c r="E79" s="87">
        <v>100</v>
      </c>
      <c r="F79" s="87">
        <v>100</v>
      </c>
      <c r="G79" s="87">
        <f t="shared" si="50"/>
        <v>100</v>
      </c>
      <c r="H79" s="87">
        <v>100</v>
      </c>
      <c r="I79" s="87">
        <v>100</v>
      </c>
      <c r="J79" s="209">
        <v>50023.83</v>
      </c>
      <c r="K79" s="75">
        <v>21614.746317252</v>
      </c>
      <c r="L79" s="75">
        <f t="shared" si="51"/>
        <v>25191.287499999999</v>
      </c>
      <c r="M79" s="75">
        <f t="shared" si="6"/>
        <v>96829.863817252015</v>
      </c>
      <c r="N79" s="75">
        <f>G79*J79-0.26</f>
        <v>5002382.74</v>
      </c>
      <c r="O79" s="75">
        <f>G79*K79-0.41</f>
        <v>2161474.2217251998</v>
      </c>
      <c r="P79" s="75"/>
      <c r="Q79" s="75">
        <f t="shared" si="52"/>
        <v>2519128.75</v>
      </c>
      <c r="R79" s="75"/>
      <c r="S79" s="75"/>
      <c r="T79" s="75">
        <f t="shared" si="2"/>
        <v>9682985.7117251996</v>
      </c>
      <c r="U79" s="75">
        <f>H79*M79-0.67</f>
        <v>9682985.7117252015</v>
      </c>
      <c r="V79" s="75">
        <f>U79</f>
        <v>9682985.7117252015</v>
      </c>
      <c r="W79" s="85">
        <f>T79-U79</f>
        <v>0</v>
      </c>
    </row>
    <row r="80" spans="1:25" x14ac:dyDescent="0.25">
      <c r="A80" s="88"/>
      <c r="B80" s="89" t="s">
        <v>225</v>
      </c>
      <c r="C80" s="127" t="s">
        <v>219</v>
      </c>
      <c r="D80" s="214"/>
      <c r="E80" s="87"/>
      <c r="F80" s="87"/>
      <c r="G80" s="87">
        <v>26</v>
      </c>
      <c r="H80" s="87">
        <v>26</v>
      </c>
      <c r="I80" s="87">
        <v>26</v>
      </c>
      <c r="J80" s="75"/>
      <c r="K80" s="75"/>
      <c r="L80" s="75"/>
      <c r="M80" s="75"/>
      <c r="N80" s="75"/>
      <c r="O80" s="75"/>
      <c r="P80" s="75"/>
      <c r="Q80" s="75"/>
      <c r="R80" s="75">
        <v>4585119</v>
      </c>
      <c r="S80" s="75"/>
      <c r="T80" s="75">
        <f>R80</f>
        <v>4585119</v>
      </c>
      <c r="U80" s="75">
        <f>R80</f>
        <v>4585119</v>
      </c>
      <c r="V80" s="75">
        <f>R80</f>
        <v>4585119</v>
      </c>
    </row>
    <row r="81" spans="1:25" x14ac:dyDescent="0.25">
      <c r="A81" s="88"/>
      <c r="B81" s="89" t="s">
        <v>225</v>
      </c>
      <c r="C81" s="127" t="s">
        <v>226</v>
      </c>
      <c r="D81" s="214"/>
      <c r="E81" s="87"/>
      <c r="F81" s="87"/>
      <c r="G81" s="87">
        <v>10</v>
      </c>
      <c r="H81" s="87">
        <v>10</v>
      </c>
      <c r="I81" s="87">
        <v>10</v>
      </c>
      <c r="J81" s="75"/>
      <c r="K81" s="75"/>
      <c r="L81" s="75"/>
      <c r="M81" s="75"/>
      <c r="N81" s="75"/>
      <c r="O81" s="75"/>
      <c r="P81" s="75">
        <f>285437+300877+117817</f>
        <v>704131</v>
      </c>
      <c r="Q81" s="75"/>
      <c r="R81" s="75"/>
      <c r="S81" s="75"/>
      <c r="T81" s="75">
        <f>P81</f>
        <v>704131</v>
      </c>
      <c r="U81" s="75">
        <f>P81</f>
        <v>704131</v>
      </c>
      <c r="V81" s="75">
        <f>P81</f>
        <v>704131</v>
      </c>
    </row>
    <row r="82" spans="1:25" ht="57" x14ac:dyDescent="0.25">
      <c r="A82" s="88"/>
      <c r="B82" s="84" t="s">
        <v>271</v>
      </c>
      <c r="C82" s="127" t="s">
        <v>226</v>
      </c>
      <c r="D82" s="214"/>
      <c r="E82" s="87"/>
      <c r="F82" s="87"/>
      <c r="G82" s="87"/>
      <c r="H82" s="87"/>
      <c r="I82" s="87"/>
      <c r="J82" s="75"/>
      <c r="K82" s="75"/>
      <c r="L82" s="75"/>
      <c r="M82" s="75"/>
      <c r="N82" s="75">
        <v>782219</v>
      </c>
      <c r="O82" s="75"/>
      <c r="P82" s="75"/>
      <c r="Q82" s="75"/>
      <c r="R82" s="75"/>
      <c r="S82" s="75"/>
      <c r="T82" s="75">
        <f>N82</f>
        <v>782219</v>
      </c>
      <c r="U82" s="75">
        <f>T82</f>
        <v>782219</v>
      </c>
      <c r="V82" s="75">
        <f>U82</f>
        <v>782219</v>
      </c>
    </row>
    <row r="83" spans="1:25" ht="90" x14ac:dyDescent="0.25">
      <c r="A83" s="202" t="s">
        <v>257</v>
      </c>
      <c r="B83" s="214" t="s">
        <v>28</v>
      </c>
      <c r="C83" s="127" t="s">
        <v>219</v>
      </c>
      <c r="D83" s="86" t="s">
        <v>20</v>
      </c>
      <c r="E83" s="87">
        <f>E79+E78+E77</f>
        <v>160</v>
      </c>
      <c r="F83" s="87">
        <f>F79+F78+F77</f>
        <v>160</v>
      </c>
      <c r="G83" s="87">
        <f t="shared" si="50"/>
        <v>160</v>
      </c>
      <c r="H83" s="87">
        <f>H79+H78+H77</f>
        <v>160</v>
      </c>
      <c r="I83" s="87">
        <f>I79+I78+I77</f>
        <v>160</v>
      </c>
      <c r="J83" s="75" t="s">
        <v>23</v>
      </c>
      <c r="K83" s="75"/>
      <c r="L83" s="75">
        <v>12405.807000000001</v>
      </c>
      <c r="M83" s="75">
        <f t="shared" si="6"/>
        <v>12405.807000000001</v>
      </c>
      <c r="N83" s="75">
        <f t="shared" si="17"/>
        <v>0</v>
      </c>
      <c r="O83" s="75">
        <f t="shared" ref="O83" si="53">G83*K83</f>
        <v>0</v>
      </c>
      <c r="P83" s="75"/>
      <c r="Q83" s="75">
        <f>G83*L83+31377.82</f>
        <v>2016306.9400000002</v>
      </c>
      <c r="R83" s="75"/>
      <c r="S83" s="75"/>
      <c r="T83" s="75">
        <f t="shared" si="2"/>
        <v>2016306.9400000002</v>
      </c>
      <c r="U83" s="75">
        <f>T83</f>
        <v>2016306.9400000002</v>
      </c>
      <c r="V83" s="75">
        <f>U83</f>
        <v>2016306.9400000002</v>
      </c>
    </row>
    <row r="84" spans="1:25" x14ac:dyDescent="0.25">
      <c r="A84" s="86"/>
      <c r="B84" s="214" t="s">
        <v>28</v>
      </c>
      <c r="C84" s="127" t="s">
        <v>220</v>
      </c>
      <c r="D84" s="86"/>
      <c r="E84" s="87"/>
      <c r="F84" s="87"/>
      <c r="G84" s="87"/>
      <c r="H84" s="87"/>
      <c r="I84" s="87"/>
      <c r="J84" s="75"/>
      <c r="K84" s="75"/>
      <c r="L84" s="75">
        <v>12248.94</v>
      </c>
      <c r="M84" s="75"/>
      <c r="N84" s="75"/>
      <c r="O84" s="75"/>
      <c r="P84" s="75"/>
      <c r="Q84" s="75"/>
      <c r="R84" s="75"/>
      <c r="S84" s="75">
        <f>L84*G83</f>
        <v>1959830.4000000001</v>
      </c>
      <c r="T84" s="75">
        <f>S84:S85</f>
        <v>1959830.4000000001</v>
      </c>
      <c r="U84" s="75">
        <f>S84</f>
        <v>1959830.4000000001</v>
      </c>
      <c r="V84" s="75">
        <f>S84</f>
        <v>1959830.4000000001</v>
      </c>
    </row>
    <row r="85" spans="1:25" x14ac:dyDescent="0.25">
      <c r="A85" s="196" t="s">
        <v>57</v>
      </c>
      <c r="B85" s="94"/>
      <c r="C85" s="94"/>
      <c r="D85" s="94"/>
      <c r="E85" s="92"/>
      <c r="F85" s="92"/>
      <c r="G85" s="92"/>
      <c r="H85" s="92"/>
      <c r="I85" s="92"/>
      <c r="J85" s="78"/>
      <c r="K85" s="78"/>
      <c r="L85" s="78"/>
      <c r="M85" s="78">
        <f t="shared" si="6"/>
        <v>0</v>
      </c>
      <c r="N85" s="78">
        <f t="shared" ref="N85:Q85" si="54">N86+N96</f>
        <v>5349385</v>
      </c>
      <c r="O85" s="78">
        <f>O86+O96</f>
        <v>2399237.0012149718</v>
      </c>
      <c r="P85" s="78">
        <f>P86</f>
        <v>432368</v>
      </c>
      <c r="Q85" s="78">
        <f t="shared" si="54"/>
        <v>3859444.0699669998</v>
      </c>
      <c r="R85" s="78">
        <f>R86</f>
        <v>2133207</v>
      </c>
      <c r="S85" s="78">
        <f>S97</f>
        <v>1359632.34</v>
      </c>
      <c r="T85" s="78">
        <f>T86+T96+T97</f>
        <v>15533273.411181973</v>
      </c>
      <c r="U85" s="78">
        <f>U86+U96+U97</f>
        <v>15533273.411181973</v>
      </c>
      <c r="V85" s="78">
        <f t="shared" ref="V85" si="55">V86+V96+V97</f>
        <v>15533273.411181973</v>
      </c>
      <c r="W85" s="80">
        <v>3859444.07</v>
      </c>
      <c r="X85" s="85">
        <f>W85-Q85</f>
        <v>3.3000018447637558E-5</v>
      </c>
      <c r="Y85" s="80">
        <f>X85/I96</f>
        <v>2.9729746349223028E-7</v>
      </c>
    </row>
    <row r="86" spans="1:25" ht="96" customHeight="1" x14ac:dyDescent="0.25">
      <c r="A86" s="202" t="s">
        <v>256</v>
      </c>
      <c r="B86" s="84" t="s">
        <v>76</v>
      </c>
      <c r="C86" s="128"/>
      <c r="D86" s="95"/>
      <c r="E86" s="68"/>
      <c r="F86" s="68"/>
      <c r="G86" s="68"/>
      <c r="H86" s="68"/>
      <c r="I86" s="68"/>
      <c r="J86" s="75"/>
      <c r="K86" s="75"/>
      <c r="L86" s="75"/>
      <c r="M86" s="75">
        <f t="shared" si="6"/>
        <v>0</v>
      </c>
      <c r="N86" s="75">
        <f>SUM(N87:N95)</f>
        <v>5349385</v>
      </c>
      <c r="O86" s="75">
        <f t="shared" ref="O86:Q86" si="56">SUM(O87:O92)</f>
        <v>2399237.0012149718</v>
      </c>
      <c r="P86" s="75">
        <f>P94</f>
        <v>432368</v>
      </c>
      <c r="Q86" s="75">
        <f t="shared" si="56"/>
        <v>2388266.042967</v>
      </c>
      <c r="R86" s="75">
        <f>R93</f>
        <v>2133207</v>
      </c>
      <c r="S86" s="75"/>
      <c r="T86" s="75">
        <f>SUM(T87:T95)</f>
        <v>12702463.044181973</v>
      </c>
      <c r="U86" s="75">
        <f t="shared" ref="U86:V86" si="57">SUM(U87:U95)</f>
        <v>12702463.044181973</v>
      </c>
      <c r="V86" s="75">
        <f t="shared" si="57"/>
        <v>12702463.044181973</v>
      </c>
    </row>
    <row r="87" spans="1:25" ht="105" x14ac:dyDescent="0.25">
      <c r="A87" s="83"/>
      <c r="B87" s="97" t="s">
        <v>19</v>
      </c>
      <c r="C87" s="93" t="s">
        <v>0</v>
      </c>
      <c r="D87" s="214" t="s">
        <v>20</v>
      </c>
      <c r="E87" s="87">
        <v>21</v>
      </c>
      <c r="F87" s="87">
        <v>21</v>
      </c>
      <c r="G87" s="87">
        <f t="shared" ref="G87:G88" si="58">(E87*8+F87*4)/12</f>
        <v>21</v>
      </c>
      <c r="H87" s="87">
        <v>21</v>
      </c>
      <c r="I87" s="87">
        <v>21</v>
      </c>
      <c r="J87" s="75">
        <v>43138.04</v>
      </c>
      <c r="K87" s="75">
        <v>21614.746317252</v>
      </c>
      <c r="L87" s="75">
        <f>18972.01+207.38+2336.520297</f>
        <v>21515.910296999999</v>
      </c>
      <c r="M87" s="75">
        <f t="shared" si="6"/>
        <v>86268.696614251996</v>
      </c>
      <c r="N87" s="75">
        <f>G87*J87+0.37-0.67</f>
        <v>905898.53999999992</v>
      </c>
      <c r="O87" s="75">
        <f>G87*K87+0.16</f>
        <v>453909.832662292</v>
      </c>
      <c r="P87" s="75"/>
      <c r="Q87" s="75">
        <f>G87*L87</f>
        <v>451834.11623699998</v>
      </c>
      <c r="R87" s="75"/>
      <c r="S87" s="75"/>
      <c r="T87" s="75">
        <f t="shared" si="2"/>
        <v>1811642.488899292</v>
      </c>
      <c r="U87" s="75">
        <f>T87</f>
        <v>1811642.488899292</v>
      </c>
      <c r="V87" s="75">
        <f>U87</f>
        <v>1811642.488899292</v>
      </c>
    </row>
    <row r="88" spans="1:25" x14ac:dyDescent="0.25">
      <c r="A88" s="88"/>
      <c r="B88" s="97" t="s">
        <v>24</v>
      </c>
      <c r="C88" s="97"/>
      <c r="D88" s="86" t="s">
        <v>20</v>
      </c>
      <c r="E88" s="87">
        <v>17</v>
      </c>
      <c r="F88" s="87">
        <v>17</v>
      </c>
      <c r="G88" s="87">
        <f t="shared" si="58"/>
        <v>17</v>
      </c>
      <c r="H88" s="87">
        <v>17</v>
      </c>
      <c r="I88" s="87">
        <v>17</v>
      </c>
      <c r="J88" s="75">
        <v>34198.17</v>
      </c>
      <c r="K88" s="75">
        <v>21614.746317252</v>
      </c>
      <c r="L88" s="75">
        <f t="shared" ref="L88:L89" si="59">18972.01+207.38+2336.520297</f>
        <v>21515.910296999999</v>
      </c>
      <c r="M88" s="75">
        <f t="shared" si="6"/>
        <v>77328.826614252001</v>
      </c>
      <c r="N88" s="75">
        <f t="shared" ref="N88:N96" si="60">G88*J88</f>
        <v>581368.89</v>
      </c>
      <c r="O88" s="75">
        <f t="shared" ref="O88:O96" si="61">G88*K88</f>
        <v>367450.687393284</v>
      </c>
      <c r="P88" s="75"/>
      <c r="Q88" s="75">
        <f t="shared" ref="Q88" si="62">G88*L88</f>
        <v>365770.475049</v>
      </c>
      <c r="R88" s="75"/>
      <c r="S88" s="75"/>
      <c r="T88" s="75">
        <f t="shared" si="2"/>
        <v>1314590.0524422841</v>
      </c>
      <c r="U88" s="75">
        <f t="shared" si="15"/>
        <v>1314590.0524422841</v>
      </c>
      <c r="V88" s="75">
        <f t="shared" si="3"/>
        <v>1314590.0524422841</v>
      </c>
    </row>
    <row r="89" spans="1:25" ht="120" x14ac:dyDescent="0.25">
      <c r="A89" s="83"/>
      <c r="B89" s="97" t="s">
        <v>24</v>
      </c>
      <c r="C89" s="93" t="s">
        <v>162</v>
      </c>
      <c r="D89" s="214" t="s">
        <v>20</v>
      </c>
      <c r="E89" s="87">
        <v>73</v>
      </c>
      <c r="F89" s="87">
        <v>73</v>
      </c>
      <c r="G89" s="87">
        <f>(E89*8+F89*4)/12</f>
        <v>73</v>
      </c>
      <c r="H89" s="87">
        <v>73</v>
      </c>
      <c r="I89" s="87">
        <v>73</v>
      </c>
      <c r="J89" s="209">
        <v>50023.83</v>
      </c>
      <c r="K89" s="75">
        <v>21614.746317252</v>
      </c>
      <c r="L89" s="75">
        <f t="shared" si="59"/>
        <v>21515.910296999999</v>
      </c>
      <c r="M89" s="75">
        <f t="shared" si="6"/>
        <v>93154.486614252004</v>
      </c>
      <c r="N89" s="75">
        <f>G89*J89</f>
        <v>3651739.5900000003</v>
      </c>
      <c r="O89" s="75">
        <f>G89*K89</f>
        <v>1577876.481159396</v>
      </c>
      <c r="P89" s="75"/>
      <c r="Q89" s="75">
        <f>G89*L89</f>
        <v>1570661.4516809999</v>
      </c>
      <c r="R89" s="75"/>
      <c r="S89" s="75"/>
      <c r="T89" s="75">
        <f>SUM(N89:Q89)</f>
        <v>6800277.5228403965</v>
      </c>
      <c r="U89" s="75">
        <f t="shared" si="15"/>
        <v>6800277.5228403965</v>
      </c>
      <c r="V89" s="75">
        <f t="shared" si="3"/>
        <v>6800277.5228403965</v>
      </c>
    </row>
    <row r="90" spans="1:25" x14ac:dyDescent="0.25">
      <c r="A90" s="83"/>
      <c r="B90" s="97" t="s">
        <v>180</v>
      </c>
      <c r="C90" s="255" t="s">
        <v>78</v>
      </c>
      <c r="D90" s="257" t="s">
        <v>20</v>
      </c>
      <c r="E90" s="87">
        <v>0</v>
      </c>
      <c r="F90" s="87">
        <v>0</v>
      </c>
      <c r="G90" s="87">
        <f>(E90*8+F90*4)/12</f>
        <v>0</v>
      </c>
      <c r="H90" s="87">
        <v>0</v>
      </c>
      <c r="I90" s="87">
        <v>0</v>
      </c>
      <c r="J90" s="75">
        <v>2073.06</v>
      </c>
      <c r="K90" s="75"/>
      <c r="L90" s="75"/>
      <c r="M90" s="75">
        <f>J90+K90+L90</f>
        <v>2073.06</v>
      </c>
      <c r="N90" s="75">
        <f t="shared" si="60"/>
        <v>0</v>
      </c>
      <c r="O90" s="75">
        <f>G90*K90</f>
        <v>0</v>
      </c>
      <c r="P90" s="75"/>
      <c r="Q90" s="75">
        <f>G90*L90</f>
        <v>0</v>
      </c>
      <c r="R90" s="75"/>
      <c r="S90" s="75"/>
      <c r="T90" s="75">
        <f>SUM(N90:Q90)</f>
        <v>0</v>
      </c>
      <c r="U90" s="75">
        <f>H90*M90</f>
        <v>0</v>
      </c>
      <c r="V90" s="75">
        <f>I90*M90</f>
        <v>0</v>
      </c>
    </row>
    <row r="91" spans="1:25" x14ac:dyDescent="0.25">
      <c r="A91" s="83"/>
      <c r="B91" s="97" t="s">
        <v>181</v>
      </c>
      <c r="C91" s="256"/>
      <c r="D91" s="258"/>
      <c r="E91" s="87">
        <v>17</v>
      </c>
      <c r="F91" s="87">
        <v>17</v>
      </c>
      <c r="G91" s="87">
        <f>(E91*8+F91*4)/12</f>
        <v>17</v>
      </c>
      <c r="H91" s="87">
        <v>17</v>
      </c>
      <c r="I91" s="87">
        <v>17</v>
      </c>
      <c r="J91" s="209">
        <v>1554.8</v>
      </c>
      <c r="K91" s="75"/>
      <c r="L91" s="75"/>
      <c r="M91" s="75">
        <f>J91+K91+L91</f>
        <v>1554.8</v>
      </c>
      <c r="N91" s="75">
        <f>G91*J91</f>
        <v>26431.599999999999</v>
      </c>
      <c r="O91" s="75">
        <f>G91*K91</f>
        <v>0</v>
      </c>
      <c r="P91" s="75"/>
      <c r="Q91" s="75">
        <f>G91*L91</f>
        <v>0</v>
      </c>
      <c r="R91" s="75"/>
      <c r="S91" s="75"/>
      <c r="T91" s="75">
        <f>SUM(N91:Q91)</f>
        <v>26431.599999999999</v>
      </c>
      <c r="U91" s="75">
        <f>H91*M91</f>
        <v>26431.599999999999</v>
      </c>
      <c r="V91" s="75">
        <f>I91*M91</f>
        <v>26431.599999999999</v>
      </c>
    </row>
    <row r="92" spans="1:25" ht="75" x14ac:dyDescent="0.25">
      <c r="A92" s="83"/>
      <c r="B92" s="97" t="s">
        <v>181</v>
      </c>
      <c r="C92" s="216" t="s">
        <v>182</v>
      </c>
      <c r="D92" s="86" t="s">
        <v>20</v>
      </c>
      <c r="E92" s="87">
        <v>73</v>
      </c>
      <c r="F92" s="87">
        <v>73</v>
      </c>
      <c r="G92" s="87">
        <f>(E92*8+F92*4)/12</f>
        <v>73</v>
      </c>
      <c r="H92" s="87">
        <v>73</v>
      </c>
      <c r="I92" s="87">
        <v>73</v>
      </c>
      <c r="J92" s="209">
        <v>2073.06</v>
      </c>
      <c r="K92" s="75"/>
      <c r="L92" s="75"/>
      <c r="M92" s="75">
        <f>J92+K92+L92</f>
        <v>2073.06</v>
      </c>
      <c r="N92" s="75">
        <f t="shared" si="60"/>
        <v>151333.38</v>
      </c>
      <c r="O92" s="75">
        <f>G92*K92</f>
        <v>0</v>
      </c>
      <c r="P92" s="75"/>
      <c r="Q92" s="75">
        <f>G92*L92</f>
        <v>0</v>
      </c>
      <c r="R92" s="75"/>
      <c r="S92" s="75"/>
      <c r="T92" s="75">
        <f>SUM(N92:Q92)</f>
        <v>151333.38</v>
      </c>
      <c r="U92" s="75">
        <f>H92*M92</f>
        <v>151333.38</v>
      </c>
      <c r="V92" s="75">
        <f>I92*M92</f>
        <v>151333.38</v>
      </c>
    </row>
    <row r="93" spans="1:25" x14ac:dyDescent="0.25">
      <c r="A93" s="83"/>
      <c r="B93" s="89" t="s">
        <v>225</v>
      </c>
      <c r="C93" s="127" t="s">
        <v>219</v>
      </c>
      <c r="D93" s="86"/>
      <c r="E93" s="87"/>
      <c r="F93" s="87"/>
      <c r="G93" s="87">
        <v>13</v>
      </c>
      <c r="H93" s="87">
        <v>13</v>
      </c>
      <c r="I93" s="87">
        <v>13</v>
      </c>
      <c r="J93" s="75"/>
      <c r="K93" s="75"/>
      <c r="L93" s="75"/>
      <c r="M93" s="75"/>
      <c r="N93" s="75"/>
      <c r="O93" s="75"/>
      <c r="P93" s="75"/>
      <c r="Q93" s="75"/>
      <c r="R93" s="75">
        <v>2133207</v>
      </c>
      <c r="S93" s="75"/>
      <c r="T93" s="75">
        <f>R93</f>
        <v>2133207</v>
      </c>
      <c r="U93" s="75">
        <f>R93</f>
        <v>2133207</v>
      </c>
      <c r="V93" s="75">
        <f>R93</f>
        <v>2133207</v>
      </c>
    </row>
    <row r="94" spans="1:25" x14ac:dyDescent="0.25">
      <c r="A94" s="83"/>
      <c r="B94" s="89" t="s">
        <v>225</v>
      </c>
      <c r="C94" s="127" t="s">
        <v>226</v>
      </c>
      <c r="D94" s="86"/>
      <c r="E94" s="87"/>
      <c r="F94" s="87"/>
      <c r="G94" s="87">
        <v>7</v>
      </c>
      <c r="H94" s="87">
        <v>7</v>
      </c>
      <c r="I94" s="87">
        <v>7</v>
      </c>
      <c r="J94" s="75"/>
      <c r="K94" s="75"/>
      <c r="L94" s="75"/>
      <c r="M94" s="75"/>
      <c r="N94" s="75"/>
      <c r="O94" s="75"/>
      <c r="P94" s="75">
        <f>199806+173878+58684</f>
        <v>432368</v>
      </c>
      <c r="Q94" s="75"/>
      <c r="R94" s="75"/>
      <c r="S94" s="75"/>
      <c r="T94" s="75">
        <f>P94</f>
        <v>432368</v>
      </c>
      <c r="U94" s="75">
        <f>P94</f>
        <v>432368</v>
      </c>
      <c r="V94" s="75">
        <f>P94</f>
        <v>432368</v>
      </c>
    </row>
    <row r="95" spans="1:25" ht="57" x14ac:dyDescent="0.25">
      <c r="A95" s="83"/>
      <c r="B95" s="84" t="s">
        <v>271</v>
      </c>
      <c r="C95" s="127" t="s">
        <v>226</v>
      </c>
      <c r="D95" s="214"/>
      <c r="E95" s="87"/>
      <c r="F95" s="87"/>
      <c r="G95" s="87"/>
      <c r="H95" s="87"/>
      <c r="I95" s="87"/>
      <c r="J95" s="75"/>
      <c r="K95" s="75"/>
      <c r="L95" s="75"/>
      <c r="M95" s="75"/>
      <c r="N95" s="75">
        <v>32613</v>
      </c>
      <c r="O95" s="75"/>
      <c r="P95" s="75"/>
      <c r="Q95" s="75"/>
      <c r="R95" s="75"/>
      <c r="S95" s="75"/>
      <c r="T95" s="75">
        <f>N95</f>
        <v>32613</v>
      </c>
      <c r="U95" s="75">
        <f>T95</f>
        <v>32613</v>
      </c>
      <c r="V95" s="75">
        <f>U95</f>
        <v>32613</v>
      </c>
    </row>
    <row r="96" spans="1:25" ht="90" x14ac:dyDescent="0.25">
      <c r="A96" s="202" t="s">
        <v>257</v>
      </c>
      <c r="B96" s="214" t="s">
        <v>28</v>
      </c>
      <c r="C96" s="127" t="s">
        <v>219</v>
      </c>
      <c r="D96" s="86" t="s">
        <v>20</v>
      </c>
      <c r="E96" s="87">
        <f>E89+E88+E87</f>
        <v>111</v>
      </c>
      <c r="F96" s="87">
        <f>F89+F88+F87</f>
        <v>111</v>
      </c>
      <c r="G96" s="87">
        <f>(E96*8+F96*4)/12</f>
        <v>111</v>
      </c>
      <c r="H96" s="87">
        <f>H89+H88+H87</f>
        <v>111</v>
      </c>
      <c r="I96" s="87">
        <f>I89+I88+I87</f>
        <v>111</v>
      </c>
      <c r="J96" s="75" t="s">
        <v>23</v>
      </c>
      <c r="K96" s="75"/>
      <c r="L96" s="75">
        <v>12405.807000000001</v>
      </c>
      <c r="M96" s="75">
        <f t="shared" si="6"/>
        <v>12405.807000000001</v>
      </c>
      <c r="N96" s="75">
        <f t="shared" si="60"/>
        <v>0</v>
      </c>
      <c r="O96" s="75">
        <f t="shared" si="61"/>
        <v>0</v>
      </c>
      <c r="P96" s="75"/>
      <c r="Q96" s="75">
        <f>G96*L96+94133.45</f>
        <v>1471178.027</v>
      </c>
      <c r="R96" s="75"/>
      <c r="S96" s="75"/>
      <c r="T96" s="75">
        <f t="shared" si="2"/>
        <v>1471178.027</v>
      </c>
      <c r="U96" s="75">
        <f>T96</f>
        <v>1471178.027</v>
      </c>
      <c r="V96" s="75">
        <f>U96</f>
        <v>1471178.027</v>
      </c>
    </row>
    <row r="97" spans="1:25" ht="33" customHeight="1" x14ac:dyDescent="0.25">
      <c r="A97" s="86"/>
      <c r="B97" s="214" t="s">
        <v>28</v>
      </c>
      <c r="C97" s="127" t="s">
        <v>220</v>
      </c>
      <c r="D97" s="86"/>
      <c r="E97" s="87"/>
      <c r="F97" s="87"/>
      <c r="G97" s="87"/>
      <c r="H97" s="87"/>
      <c r="I97" s="87"/>
      <c r="J97" s="75"/>
      <c r="K97" s="75"/>
      <c r="L97" s="75">
        <v>12248.94</v>
      </c>
      <c r="M97" s="75"/>
      <c r="N97" s="75"/>
      <c r="O97" s="75"/>
      <c r="P97" s="75"/>
      <c r="Q97" s="75"/>
      <c r="R97" s="75"/>
      <c r="S97" s="75">
        <f>L97*G96</f>
        <v>1359632.34</v>
      </c>
      <c r="T97" s="75">
        <f>S97</f>
        <v>1359632.34</v>
      </c>
      <c r="U97" s="75">
        <f>S97</f>
        <v>1359632.34</v>
      </c>
      <c r="V97" s="75">
        <f>S97</f>
        <v>1359632.34</v>
      </c>
    </row>
    <row r="98" spans="1:25" ht="19.899999999999999" customHeight="1" x14ac:dyDescent="0.25">
      <c r="A98" s="196" t="s">
        <v>61</v>
      </c>
      <c r="B98" s="94"/>
      <c r="C98" s="94"/>
      <c r="D98" s="94"/>
      <c r="E98" s="92"/>
      <c r="F98" s="92"/>
      <c r="G98" s="92"/>
      <c r="H98" s="92"/>
      <c r="I98" s="92"/>
      <c r="J98" s="78"/>
      <c r="K98" s="78"/>
      <c r="L98" s="78"/>
      <c r="M98" s="78">
        <f t="shared" si="6"/>
        <v>0</v>
      </c>
      <c r="N98" s="78">
        <f t="shared" ref="N98:Q98" si="63">N99+N109</f>
        <v>11301927</v>
      </c>
      <c r="O98" s="78">
        <f>O99+O109</f>
        <v>4820087.998747196</v>
      </c>
      <c r="P98" s="78">
        <f>P99</f>
        <v>1027282</v>
      </c>
      <c r="Q98" s="78">
        <f t="shared" si="63"/>
        <v>7048664.4200850008</v>
      </c>
      <c r="R98" s="78">
        <f>R99</f>
        <v>3797618</v>
      </c>
      <c r="S98" s="78">
        <f>S110</f>
        <v>2731513.62</v>
      </c>
      <c r="T98" s="78">
        <f>T99+T109+T110</f>
        <v>30727093.038832199</v>
      </c>
      <c r="U98" s="78">
        <f t="shared" ref="U98:V98" si="64">U99+U109+U110</f>
        <v>30727093.038832199</v>
      </c>
      <c r="V98" s="78">
        <f t="shared" si="64"/>
        <v>30727093.038832199</v>
      </c>
      <c r="W98" s="80">
        <v>7048664.4199999999</v>
      </c>
      <c r="X98" s="85">
        <f>W98-Q98</f>
        <v>-8.5000880062580109E-5</v>
      </c>
      <c r="Y98" s="80">
        <f>X98/I109</f>
        <v>-3.8116986575148033E-7</v>
      </c>
    </row>
    <row r="99" spans="1:25" ht="94.9" customHeight="1" x14ac:dyDescent="0.25">
      <c r="A99" s="202" t="s">
        <v>256</v>
      </c>
      <c r="B99" s="84" t="s">
        <v>76</v>
      </c>
      <c r="C99" s="128"/>
      <c r="D99" s="95"/>
      <c r="E99" s="68"/>
      <c r="F99" s="68"/>
      <c r="G99" s="68"/>
      <c r="H99" s="68"/>
      <c r="I99" s="68"/>
      <c r="J99" s="75"/>
      <c r="K99" s="75"/>
      <c r="L99" s="75"/>
      <c r="M99" s="75">
        <f>J99+K99+L99</f>
        <v>0</v>
      </c>
      <c r="N99" s="75">
        <f>SUM(N100:N108)</f>
        <v>11301927</v>
      </c>
      <c r="O99" s="75">
        <f t="shared" ref="O99:Q99" si="65">SUM(O100:O105)</f>
        <v>4820087.998747196</v>
      </c>
      <c r="P99" s="75">
        <f>P107</f>
        <v>1027282</v>
      </c>
      <c r="Q99" s="75">
        <f t="shared" si="65"/>
        <v>4219413.6390850004</v>
      </c>
      <c r="R99" s="75">
        <f>R106</f>
        <v>3797618</v>
      </c>
      <c r="S99" s="75"/>
      <c r="T99" s="75">
        <f>SUM(T100:T108)</f>
        <v>25166328.637832198</v>
      </c>
      <c r="U99" s="75">
        <f t="shared" ref="U99:V99" si="66">SUM(U100:U108)</f>
        <v>25166328.637832198</v>
      </c>
      <c r="V99" s="75">
        <f t="shared" si="66"/>
        <v>25166328.637832198</v>
      </c>
    </row>
    <row r="100" spans="1:25" ht="105" x14ac:dyDescent="0.25">
      <c r="A100" s="83"/>
      <c r="B100" s="97" t="s">
        <v>19</v>
      </c>
      <c r="C100" s="93" t="s">
        <v>0</v>
      </c>
      <c r="D100" s="214" t="s">
        <v>20</v>
      </c>
      <c r="E100" s="87">
        <v>46</v>
      </c>
      <c r="F100" s="87">
        <v>46</v>
      </c>
      <c r="G100" s="87">
        <f t="shared" ref="G100:G105" si="67">(E100*8+F100*4)/12</f>
        <v>46</v>
      </c>
      <c r="H100" s="87">
        <v>46</v>
      </c>
      <c r="I100" s="87">
        <v>46</v>
      </c>
      <c r="J100" s="75">
        <v>43138.04</v>
      </c>
      <c r="K100" s="75">
        <v>21614.746317252</v>
      </c>
      <c r="L100" s="75">
        <f>18972.01-2726.46+207.38+414.8+2544.439457-1602.735426+1111.703364</f>
        <v>18921.137395000002</v>
      </c>
      <c r="M100" s="75">
        <f t="shared" si="6"/>
        <v>83673.923712251999</v>
      </c>
      <c r="N100" s="75">
        <f>G100*J100-0.04+0.67</f>
        <v>1984350.47</v>
      </c>
      <c r="O100" s="75">
        <f>G100*K100-0.43</f>
        <v>994277.90059359197</v>
      </c>
      <c r="P100" s="75"/>
      <c r="Q100" s="75">
        <f>G100*L100</f>
        <v>870372.32017000008</v>
      </c>
      <c r="R100" s="75"/>
      <c r="S100" s="75"/>
      <c r="T100" s="75">
        <f>SUM(N100:Q100)</f>
        <v>3849000.6907635923</v>
      </c>
      <c r="U100" s="75">
        <f>T100</f>
        <v>3849000.6907635923</v>
      </c>
      <c r="V100" s="75">
        <f>U100</f>
        <v>3849000.6907635923</v>
      </c>
    </row>
    <row r="101" spans="1:25" x14ac:dyDescent="0.25">
      <c r="A101" s="88"/>
      <c r="B101" s="97" t="s">
        <v>24</v>
      </c>
      <c r="C101" s="97"/>
      <c r="D101" s="86" t="s">
        <v>20</v>
      </c>
      <c r="E101" s="87">
        <v>0</v>
      </c>
      <c r="F101" s="87">
        <v>0</v>
      </c>
      <c r="G101" s="87">
        <f t="shared" si="67"/>
        <v>0</v>
      </c>
      <c r="H101" s="87">
        <v>0</v>
      </c>
      <c r="I101" s="87">
        <v>0</v>
      </c>
      <c r="J101" s="75">
        <v>34198.17</v>
      </c>
      <c r="K101" s="75">
        <v>21614.746317252</v>
      </c>
      <c r="L101" s="75">
        <f t="shared" ref="L101:L102" si="68">18972.01-2726.46+207.38+414.8+2544.439457-1602.735426+1111.703364</f>
        <v>18921.137395000002</v>
      </c>
      <c r="M101" s="75">
        <f>J101+K101+L101</f>
        <v>74734.053712252004</v>
      </c>
      <c r="N101" s="75">
        <f>G101*J101</f>
        <v>0</v>
      </c>
      <c r="O101" s="75">
        <f t="shared" ref="O101:O109" si="69">G101*K101</f>
        <v>0</v>
      </c>
      <c r="P101" s="75"/>
      <c r="Q101" s="75">
        <f t="shared" ref="Q101:Q105" si="70">G101*L101</f>
        <v>0</v>
      </c>
      <c r="R101" s="75"/>
      <c r="S101" s="75"/>
      <c r="T101" s="75">
        <f t="shared" si="2"/>
        <v>0</v>
      </c>
      <c r="U101" s="75">
        <f t="shared" si="15"/>
        <v>0</v>
      </c>
      <c r="V101" s="75">
        <f t="shared" si="3"/>
        <v>0</v>
      </c>
    </row>
    <row r="102" spans="1:25" ht="120" x14ac:dyDescent="0.25">
      <c r="A102" s="88"/>
      <c r="B102" s="97" t="s">
        <v>24</v>
      </c>
      <c r="C102" s="216" t="s">
        <v>162</v>
      </c>
      <c r="D102" s="214" t="s">
        <v>20</v>
      </c>
      <c r="E102" s="87">
        <v>177</v>
      </c>
      <c r="F102" s="87">
        <v>177</v>
      </c>
      <c r="G102" s="87">
        <f t="shared" si="67"/>
        <v>177</v>
      </c>
      <c r="H102" s="87">
        <v>177</v>
      </c>
      <c r="I102" s="87">
        <v>177</v>
      </c>
      <c r="J102" s="209">
        <v>50023.83</v>
      </c>
      <c r="K102" s="75">
        <v>21614.746317252</v>
      </c>
      <c r="L102" s="75">
        <f t="shared" si="68"/>
        <v>18921.137395000002</v>
      </c>
      <c r="M102" s="75">
        <f t="shared" si="6"/>
        <v>90559.713712252007</v>
      </c>
      <c r="N102" s="75">
        <f t="shared" ref="N102:N105" si="71">G102*J102</f>
        <v>8854217.9100000001</v>
      </c>
      <c r="O102" s="75">
        <f t="shared" si="69"/>
        <v>3825810.0981536042</v>
      </c>
      <c r="P102" s="75"/>
      <c r="Q102" s="75">
        <f t="shared" si="70"/>
        <v>3349041.3189150002</v>
      </c>
      <c r="R102" s="75"/>
      <c r="S102" s="75"/>
      <c r="T102" s="75">
        <f t="shared" si="2"/>
        <v>16029069.327068605</v>
      </c>
      <c r="U102" s="75">
        <f t="shared" si="15"/>
        <v>16029069.327068605</v>
      </c>
      <c r="V102" s="75">
        <f t="shared" si="3"/>
        <v>16029069.327068605</v>
      </c>
    </row>
    <row r="103" spans="1:25" ht="75" x14ac:dyDescent="0.25">
      <c r="A103" s="83"/>
      <c r="B103" s="97" t="s">
        <v>180</v>
      </c>
      <c r="C103" s="93" t="s">
        <v>78</v>
      </c>
      <c r="D103" s="214" t="s">
        <v>20</v>
      </c>
      <c r="E103" s="87"/>
      <c r="F103" s="87"/>
      <c r="G103" s="87">
        <f t="shared" si="67"/>
        <v>0</v>
      </c>
      <c r="H103" s="87"/>
      <c r="I103" s="87"/>
      <c r="J103" s="75">
        <v>2073.06</v>
      </c>
      <c r="K103" s="75"/>
      <c r="L103" s="75"/>
      <c r="M103" s="75">
        <f t="shared" si="6"/>
        <v>2073.06</v>
      </c>
      <c r="N103" s="75">
        <f t="shared" si="71"/>
        <v>0</v>
      </c>
      <c r="O103" s="75">
        <f t="shared" si="69"/>
        <v>0</v>
      </c>
      <c r="P103" s="75"/>
      <c r="Q103" s="75">
        <f t="shared" si="70"/>
        <v>0</v>
      </c>
      <c r="R103" s="75"/>
      <c r="S103" s="75"/>
      <c r="T103" s="75">
        <f t="shared" si="2"/>
        <v>0</v>
      </c>
      <c r="U103" s="75">
        <f t="shared" si="15"/>
        <v>0</v>
      </c>
      <c r="V103" s="75">
        <f t="shared" si="3"/>
        <v>0</v>
      </c>
    </row>
    <row r="104" spans="1:25" x14ac:dyDescent="0.25">
      <c r="A104" s="83"/>
      <c r="B104" s="97" t="s">
        <v>181</v>
      </c>
      <c r="C104" s="93"/>
      <c r="D104" s="214" t="s">
        <v>20</v>
      </c>
      <c r="E104" s="87"/>
      <c r="F104" s="87"/>
      <c r="G104" s="87">
        <f t="shared" si="67"/>
        <v>0</v>
      </c>
      <c r="H104" s="87"/>
      <c r="I104" s="87"/>
      <c r="J104" s="75">
        <v>1554.8</v>
      </c>
      <c r="K104" s="75"/>
      <c r="L104" s="75"/>
      <c r="M104" s="75">
        <f t="shared" si="6"/>
        <v>1554.8</v>
      </c>
      <c r="N104" s="75">
        <f t="shared" si="71"/>
        <v>0</v>
      </c>
      <c r="O104" s="75">
        <f t="shared" si="69"/>
        <v>0</v>
      </c>
      <c r="P104" s="75"/>
      <c r="Q104" s="75">
        <f t="shared" si="70"/>
        <v>0</v>
      </c>
      <c r="R104" s="75"/>
      <c r="S104" s="75"/>
      <c r="T104" s="75">
        <f t="shared" ref="T104:T105" si="72">SUM(N104:Q104)</f>
        <v>0</v>
      </c>
      <c r="U104" s="75">
        <f t="shared" si="15"/>
        <v>0</v>
      </c>
      <c r="V104" s="75">
        <f t="shared" si="3"/>
        <v>0</v>
      </c>
    </row>
    <row r="105" spans="1:25" ht="75" x14ac:dyDescent="0.25">
      <c r="A105" s="83"/>
      <c r="B105" s="97" t="s">
        <v>181</v>
      </c>
      <c r="C105" s="129" t="s">
        <v>182</v>
      </c>
      <c r="D105" s="214" t="s">
        <v>20</v>
      </c>
      <c r="E105" s="87">
        <v>177</v>
      </c>
      <c r="F105" s="87">
        <v>177</v>
      </c>
      <c r="G105" s="87">
        <f t="shared" si="67"/>
        <v>177</v>
      </c>
      <c r="H105" s="87">
        <v>177</v>
      </c>
      <c r="I105" s="87">
        <v>177</v>
      </c>
      <c r="J105" s="75">
        <v>2073.06</v>
      </c>
      <c r="K105" s="75"/>
      <c r="L105" s="75"/>
      <c r="M105" s="75">
        <f t="shared" si="6"/>
        <v>2073.06</v>
      </c>
      <c r="N105" s="75">
        <f t="shared" si="71"/>
        <v>366931.62</v>
      </c>
      <c r="O105" s="75">
        <f t="shared" si="69"/>
        <v>0</v>
      </c>
      <c r="P105" s="75"/>
      <c r="Q105" s="75">
        <f t="shared" si="70"/>
        <v>0</v>
      </c>
      <c r="R105" s="75"/>
      <c r="S105" s="75"/>
      <c r="T105" s="75">
        <f t="shared" si="72"/>
        <v>366931.62</v>
      </c>
      <c r="U105" s="75">
        <f t="shared" si="15"/>
        <v>366931.62</v>
      </c>
      <c r="V105" s="75">
        <f t="shared" si="3"/>
        <v>366931.62</v>
      </c>
    </row>
    <row r="106" spans="1:25" x14ac:dyDescent="0.25">
      <c r="A106" s="83"/>
      <c r="B106" s="89" t="s">
        <v>225</v>
      </c>
      <c r="C106" s="127" t="s">
        <v>219</v>
      </c>
      <c r="D106" s="214"/>
      <c r="E106" s="87"/>
      <c r="F106" s="87"/>
      <c r="G106" s="87">
        <v>23</v>
      </c>
      <c r="H106" s="87">
        <v>23</v>
      </c>
      <c r="I106" s="87">
        <v>23</v>
      </c>
      <c r="J106" s="75"/>
      <c r="K106" s="75"/>
      <c r="L106" s="75"/>
      <c r="M106" s="75"/>
      <c r="N106" s="75"/>
      <c r="O106" s="75"/>
      <c r="P106" s="75"/>
      <c r="Q106" s="75"/>
      <c r="R106" s="75">
        <v>3797618</v>
      </c>
      <c r="S106" s="75"/>
      <c r="T106" s="75">
        <f>R106</f>
        <v>3797618</v>
      </c>
      <c r="U106" s="75">
        <f>R106</f>
        <v>3797618</v>
      </c>
      <c r="V106" s="75">
        <f>R106</f>
        <v>3797618</v>
      </c>
    </row>
    <row r="107" spans="1:25" x14ac:dyDescent="0.25">
      <c r="A107" s="83"/>
      <c r="B107" s="89" t="s">
        <v>225</v>
      </c>
      <c r="C107" s="127" t="s">
        <v>226</v>
      </c>
      <c r="D107" s="214"/>
      <c r="E107" s="87"/>
      <c r="F107" s="87"/>
      <c r="G107" s="87">
        <v>14</v>
      </c>
      <c r="H107" s="87">
        <v>14</v>
      </c>
      <c r="I107" s="87">
        <v>14</v>
      </c>
      <c r="J107" s="75"/>
      <c r="K107" s="75"/>
      <c r="L107" s="75"/>
      <c r="M107" s="75"/>
      <c r="N107" s="75"/>
      <c r="O107" s="75"/>
      <c r="P107" s="75">
        <f>399612+394913+232757</f>
        <v>1027282</v>
      </c>
      <c r="Q107" s="75"/>
      <c r="R107" s="75"/>
      <c r="S107" s="75"/>
      <c r="T107" s="75">
        <f>P107</f>
        <v>1027282</v>
      </c>
      <c r="U107" s="75">
        <f>P107</f>
        <v>1027282</v>
      </c>
      <c r="V107" s="75">
        <f>P107</f>
        <v>1027282</v>
      </c>
    </row>
    <row r="108" spans="1:25" ht="57" x14ac:dyDescent="0.25">
      <c r="A108" s="83"/>
      <c r="B108" s="84" t="s">
        <v>271</v>
      </c>
      <c r="C108" s="127" t="s">
        <v>226</v>
      </c>
      <c r="D108" s="214"/>
      <c r="E108" s="87"/>
      <c r="F108" s="87"/>
      <c r="G108" s="87"/>
      <c r="H108" s="87"/>
      <c r="I108" s="87"/>
      <c r="J108" s="75"/>
      <c r="K108" s="75"/>
      <c r="L108" s="75"/>
      <c r="M108" s="75"/>
      <c r="N108" s="75">
        <v>96427</v>
      </c>
      <c r="O108" s="75"/>
      <c r="P108" s="75"/>
      <c r="Q108" s="75"/>
      <c r="R108" s="75"/>
      <c r="S108" s="75"/>
      <c r="T108" s="75">
        <f>N108</f>
        <v>96427</v>
      </c>
      <c r="U108" s="75">
        <f>T108</f>
        <v>96427</v>
      </c>
      <c r="V108" s="75">
        <f>U108</f>
        <v>96427</v>
      </c>
    </row>
    <row r="109" spans="1:25" ht="90" x14ac:dyDescent="0.25">
      <c r="A109" s="202" t="s">
        <v>257</v>
      </c>
      <c r="B109" s="214" t="s">
        <v>28</v>
      </c>
      <c r="C109" s="127" t="s">
        <v>219</v>
      </c>
      <c r="D109" s="86" t="s">
        <v>20</v>
      </c>
      <c r="E109" s="87">
        <f>E102+E101+E100</f>
        <v>223</v>
      </c>
      <c r="F109" s="87">
        <f>F102+F101+F100</f>
        <v>223</v>
      </c>
      <c r="G109" s="87">
        <f>(E109*8+F109*4)/12</f>
        <v>223</v>
      </c>
      <c r="H109" s="87">
        <f>H102+H101+H100</f>
        <v>223</v>
      </c>
      <c r="I109" s="87">
        <f>I102+I101+I100</f>
        <v>223</v>
      </c>
      <c r="J109" s="75" t="s">
        <v>23</v>
      </c>
      <c r="K109" s="75"/>
      <c r="L109" s="75">
        <v>12405.807000000001</v>
      </c>
      <c r="M109" s="75">
        <f t="shared" si="6"/>
        <v>12405.807000000001</v>
      </c>
      <c r="N109" s="75">
        <f>G109*J109</f>
        <v>0</v>
      </c>
      <c r="O109" s="75">
        <f t="shared" si="69"/>
        <v>0</v>
      </c>
      <c r="P109" s="75"/>
      <c r="Q109" s="75">
        <f>G109*L109+62755.64+0.58-0.4</f>
        <v>2829250.7810000004</v>
      </c>
      <c r="R109" s="75"/>
      <c r="S109" s="75"/>
      <c r="T109" s="75">
        <f t="shared" si="2"/>
        <v>2829250.7810000004</v>
      </c>
      <c r="U109" s="75">
        <f>T109</f>
        <v>2829250.7810000004</v>
      </c>
      <c r="V109" s="75">
        <f>U109</f>
        <v>2829250.7810000004</v>
      </c>
    </row>
    <row r="110" spans="1:25" x14ac:dyDescent="0.25">
      <c r="A110" s="86"/>
      <c r="B110" s="214" t="s">
        <v>28</v>
      </c>
      <c r="C110" s="127" t="s">
        <v>220</v>
      </c>
      <c r="D110" s="86"/>
      <c r="E110" s="87"/>
      <c r="F110" s="87"/>
      <c r="G110" s="87"/>
      <c r="H110" s="87"/>
      <c r="I110" s="87"/>
      <c r="J110" s="75"/>
      <c r="K110" s="75"/>
      <c r="L110" s="75">
        <v>12248.94</v>
      </c>
      <c r="M110" s="75"/>
      <c r="N110" s="75"/>
      <c r="O110" s="75"/>
      <c r="P110" s="75"/>
      <c r="Q110" s="75"/>
      <c r="R110" s="75"/>
      <c r="S110" s="75">
        <f>L110*G109</f>
        <v>2731513.62</v>
      </c>
      <c r="T110" s="75">
        <f>S110</f>
        <v>2731513.62</v>
      </c>
      <c r="U110" s="75">
        <f>S110</f>
        <v>2731513.62</v>
      </c>
      <c r="V110" s="75">
        <f>S110</f>
        <v>2731513.62</v>
      </c>
    </row>
    <row r="111" spans="1:25" x14ac:dyDescent="0.25">
      <c r="A111" s="196" t="s">
        <v>65</v>
      </c>
      <c r="B111" s="94"/>
      <c r="C111" s="94"/>
      <c r="D111" s="94"/>
      <c r="E111" s="92"/>
      <c r="F111" s="92"/>
      <c r="G111" s="92"/>
      <c r="H111" s="92"/>
      <c r="I111" s="92"/>
      <c r="J111" s="78"/>
      <c r="K111" s="78"/>
      <c r="L111" s="78"/>
      <c r="M111" s="78">
        <f t="shared" si="6"/>
        <v>0</v>
      </c>
      <c r="N111" s="78">
        <f>N112+N120</f>
        <v>6688566</v>
      </c>
      <c r="O111" s="78">
        <f>O112+O120</f>
        <v>3026064.0044152802</v>
      </c>
      <c r="P111" s="78">
        <f>P112</f>
        <v>482137</v>
      </c>
      <c r="Q111" s="78">
        <f>Q112+Q120</f>
        <v>4445327.849998001</v>
      </c>
      <c r="R111" s="78">
        <f>R112</f>
        <v>2280801</v>
      </c>
      <c r="S111" s="78">
        <f>S121</f>
        <v>1714851.6</v>
      </c>
      <c r="T111" s="78">
        <f>T112+T120+T121</f>
        <v>18637747.454413284</v>
      </c>
      <c r="U111" s="78">
        <f t="shared" ref="U111:V111" si="73">U112+U120+U121</f>
        <v>18637747.454413284</v>
      </c>
      <c r="V111" s="78">
        <f t="shared" si="73"/>
        <v>18637747.454413284</v>
      </c>
      <c r="W111" s="80">
        <v>4445327.84</v>
      </c>
      <c r="X111" s="85">
        <f>W111-Q111</f>
        <v>-9.9980011582374573E-3</v>
      </c>
      <c r="Y111" s="80">
        <f>X111/I120</f>
        <v>-7.1414293987410416E-5</v>
      </c>
    </row>
    <row r="112" spans="1:25" ht="94.9" customHeight="1" x14ac:dyDescent="0.25">
      <c r="A112" s="202" t="s">
        <v>256</v>
      </c>
      <c r="B112" s="84" t="s">
        <v>76</v>
      </c>
      <c r="C112" s="128"/>
      <c r="D112" s="95"/>
      <c r="E112" s="68"/>
      <c r="F112" s="68"/>
      <c r="G112" s="68"/>
      <c r="H112" s="68"/>
      <c r="I112" s="68"/>
      <c r="J112" s="75"/>
      <c r="K112" s="75"/>
      <c r="L112" s="75"/>
      <c r="M112" s="75">
        <f t="shared" si="6"/>
        <v>0</v>
      </c>
      <c r="N112" s="75">
        <f>SUM(N113:N119)</f>
        <v>6688566</v>
      </c>
      <c r="O112" s="75">
        <f t="shared" ref="O112:Q112" si="74">SUM(O113:O116)</f>
        <v>3026064.0044152802</v>
      </c>
      <c r="P112" s="75">
        <f>P118</f>
        <v>482137</v>
      </c>
      <c r="Q112" s="75">
        <f t="shared" si="74"/>
        <v>2708514.8699980006</v>
      </c>
      <c r="R112" s="75">
        <f>R117</f>
        <v>2280801</v>
      </c>
      <c r="S112" s="75"/>
      <c r="T112" s="75">
        <f>SUM(T113:T119)</f>
        <v>15186082.874413282</v>
      </c>
      <c r="U112" s="75">
        <f t="shared" ref="U112:V112" si="75">SUM(U113:U119)</f>
        <v>15186082.874413282</v>
      </c>
      <c r="V112" s="75">
        <f t="shared" si="75"/>
        <v>15186082.874413282</v>
      </c>
    </row>
    <row r="113" spans="1:25" ht="105" x14ac:dyDescent="0.25">
      <c r="A113" s="83"/>
      <c r="B113" s="97" t="s">
        <v>19</v>
      </c>
      <c r="C113" s="93" t="s">
        <v>0</v>
      </c>
      <c r="D113" s="86" t="s">
        <v>20</v>
      </c>
      <c r="E113" s="87">
        <v>21</v>
      </c>
      <c r="F113" s="87">
        <v>21</v>
      </c>
      <c r="G113" s="87">
        <f t="shared" ref="G113:G120" si="76">(E113*8+F113*4)/12</f>
        <v>21</v>
      </c>
      <c r="H113" s="87">
        <v>21</v>
      </c>
      <c r="I113" s="87">
        <v>21</v>
      </c>
      <c r="J113" s="75">
        <v>43138.04</v>
      </c>
      <c r="K113" s="75">
        <v>21614.746317252</v>
      </c>
      <c r="L113" s="75">
        <f>18972.01+207.38+2510.357143-2510.357072+167.1447147</f>
        <v>19346.534785700002</v>
      </c>
      <c r="M113" s="75">
        <f t="shared" si="6"/>
        <v>84099.321102952003</v>
      </c>
      <c r="N113" s="75">
        <f>G113*J113+0.13+0.3</f>
        <v>905899.27</v>
      </c>
      <c r="O113" s="75">
        <f>G113*K113-0.48</f>
        <v>453909.19266229204</v>
      </c>
      <c r="P113" s="75"/>
      <c r="Q113" s="75">
        <f>G113*L113</f>
        <v>406277.23049970006</v>
      </c>
      <c r="R113" s="75"/>
      <c r="S113" s="75"/>
      <c r="T113" s="75">
        <f t="shared" si="2"/>
        <v>1766085.6931619924</v>
      </c>
      <c r="U113" s="75">
        <f>H113*M113-0.05</f>
        <v>1766085.6931619921</v>
      </c>
      <c r="V113" s="75">
        <f>U113</f>
        <v>1766085.6931619921</v>
      </c>
      <c r="W113" s="85">
        <f>U113-T113</f>
        <v>0</v>
      </c>
    </row>
    <row r="114" spans="1:25" x14ac:dyDescent="0.25">
      <c r="A114" s="88"/>
      <c r="B114" s="97" t="s">
        <v>24</v>
      </c>
      <c r="C114" s="97"/>
      <c r="D114" s="86" t="s">
        <v>20</v>
      </c>
      <c r="E114" s="87">
        <v>44</v>
      </c>
      <c r="F114" s="87">
        <v>44</v>
      </c>
      <c r="G114" s="87">
        <f t="shared" si="76"/>
        <v>44</v>
      </c>
      <c r="H114" s="87">
        <v>44</v>
      </c>
      <c r="I114" s="87">
        <v>44</v>
      </c>
      <c r="J114" s="75">
        <v>34198.17</v>
      </c>
      <c r="K114" s="75">
        <v>21614.746317252</v>
      </c>
      <c r="L114" s="75">
        <f t="shared" ref="L114:L116" si="77">18972.01+207.38+2510.357143-2510.357072+167.1447147</f>
        <v>19346.534785700002</v>
      </c>
      <c r="M114" s="75">
        <f t="shared" si="6"/>
        <v>75159.451102952007</v>
      </c>
      <c r="N114" s="75">
        <f t="shared" ref="N114:N120" si="78">G114*J114</f>
        <v>1504719.48</v>
      </c>
      <c r="O114" s="75">
        <f t="shared" ref="O114:O120" si="79">G114*K114</f>
        <v>951048.83795908804</v>
      </c>
      <c r="P114" s="75"/>
      <c r="Q114" s="75">
        <f t="shared" ref="Q114" si="80">G114*L114</f>
        <v>851247.53057080007</v>
      </c>
      <c r="R114" s="75"/>
      <c r="S114" s="75"/>
      <c r="T114" s="75">
        <f t="shared" si="2"/>
        <v>3307015.8485298879</v>
      </c>
      <c r="U114" s="75">
        <f t="shared" si="15"/>
        <v>3307015.8485298883</v>
      </c>
      <c r="V114" s="75">
        <f t="shared" si="3"/>
        <v>3307015.8485298883</v>
      </c>
    </row>
    <row r="115" spans="1:25" x14ac:dyDescent="0.25">
      <c r="A115" s="88"/>
      <c r="B115" s="97"/>
      <c r="C115" s="97"/>
      <c r="D115" s="86"/>
      <c r="E115" s="87"/>
      <c r="F115" s="87"/>
      <c r="G115" s="87"/>
      <c r="H115" s="87"/>
      <c r="I115" s="87"/>
      <c r="J115" s="75"/>
      <c r="K115" s="75"/>
      <c r="L115" s="75">
        <f t="shared" si="77"/>
        <v>19346.534785700002</v>
      </c>
      <c r="M115" s="75"/>
      <c r="N115" s="75"/>
      <c r="O115" s="75"/>
      <c r="P115" s="75"/>
      <c r="Q115" s="75"/>
      <c r="R115" s="75"/>
      <c r="S115" s="75"/>
      <c r="T115" s="75"/>
      <c r="U115" s="75"/>
      <c r="V115" s="75"/>
    </row>
    <row r="116" spans="1:25" ht="120" x14ac:dyDescent="0.25">
      <c r="A116" s="88"/>
      <c r="B116" s="97" t="s">
        <v>24</v>
      </c>
      <c r="C116" s="216" t="s">
        <v>162</v>
      </c>
      <c r="D116" s="214" t="s">
        <v>20</v>
      </c>
      <c r="E116" s="87">
        <v>75</v>
      </c>
      <c r="F116" s="87">
        <v>75</v>
      </c>
      <c r="G116" s="87">
        <f t="shared" si="76"/>
        <v>75</v>
      </c>
      <c r="H116" s="87">
        <v>75</v>
      </c>
      <c r="I116" s="87">
        <v>75</v>
      </c>
      <c r="J116" s="209">
        <v>50023.83</v>
      </c>
      <c r="K116" s="75">
        <v>21614.746317252</v>
      </c>
      <c r="L116" s="75">
        <f t="shared" si="77"/>
        <v>19346.534785700002</v>
      </c>
      <c r="M116" s="75">
        <f t="shared" si="6"/>
        <v>90985.111102952011</v>
      </c>
      <c r="N116" s="75">
        <f t="shared" si="78"/>
        <v>3751787.25</v>
      </c>
      <c r="O116" s="75">
        <f t="shared" si="79"/>
        <v>1621105.9737939001</v>
      </c>
      <c r="P116" s="75"/>
      <c r="Q116" s="75">
        <f>G116*L116</f>
        <v>1450990.1089275002</v>
      </c>
      <c r="R116" s="75"/>
      <c r="S116" s="75"/>
      <c r="T116" s="75">
        <f t="shared" ref="T116" si="81">SUM(N116:Q116)</f>
        <v>6823883.3327214001</v>
      </c>
      <c r="U116" s="75">
        <f t="shared" si="15"/>
        <v>6823883.332721401</v>
      </c>
      <c r="V116" s="75">
        <f t="shared" si="3"/>
        <v>6823883.332721401</v>
      </c>
    </row>
    <row r="117" spans="1:25" x14ac:dyDescent="0.25">
      <c r="A117" s="88"/>
      <c r="B117" s="89" t="s">
        <v>225</v>
      </c>
      <c r="C117" s="127" t="s">
        <v>219</v>
      </c>
      <c r="D117" s="214"/>
      <c r="E117" s="87"/>
      <c r="F117" s="87"/>
      <c r="G117" s="87">
        <v>13</v>
      </c>
      <c r="H117" s="87">
        <v>13</v>
      </c>
      <c r="I117" s="87">
        <v>13</v>
      </c>
      <c r="J117" s="75"/>
      <c r="K117" s="75"/>
      <c r="L117" s="75"/>
      <c r="M117" s="75"/>
      <c r="N117" s="75"/>
      <c r="O117" s="75"/>
      <c r="P117" s="75"/>
      <c r="Q117" s="75"/>
      <c r="R117" s="75">
        <v>2280801</v>
      </c>
      <c r="S117" s="75"/>
      <c r="T117" s="75">
        <f>R117</f>
        <v>2280801</v>
      </c>
      <c r="U117" s="75">
        <f>R117</f>
        <v>2280801</v>
      </c>
      <c r="V117" s="75">
        <f>R117</f>
        <v>2280801</v>
      </c>
    </row>
    <row r="118" spans="1:25" x14ac:dyDescent="0.25">
      <c r="A118" s="88"/>
      <c r="B118" s="89" t="s">
        <v>225</v>
      </c>
      <c r="C118" s="127" t="s">
        <v>226</v>
      </c>
      <c r="D118" s="214"/>
      <c r="E118" s="87"/>
      <c r="F118" s="87"/>
      <c r="G118" s="87">
        <v>7</v>
      </c>
      <c r="H118" s="87">
        <v>7</v>
      </c>
      <c r="I118" s="87">
        <v>7</v>
      </c>
      <c r="J118" s="75"/>
      <c r="K118" s="75"/>
      <c r="L118" s="75"/>
      <c r="M118" s="75"/>
      <c r="N118" s="75"/>
      <c r="O118" s="75"/>
      <c r="P118" s="75">
        <f>199806+189212+93119</f>
        <v>482137</v>
      </c>
      <c r="Q118" s="75"/>
      <c r="R118" s="75"/>
      <c r="S118" s="75"/>
      <c r="T118" s="75">
        <f>P118</f>
        <v>482137</v>
      </c>
      <c r="U118" s="75">
        <f>P118</f>
        <v>482137</v>
      </c>
      <c r="V118" s="75">
        <f>P118</f>
        <v>482137</v>
      </c>
    </row>
    <row r="119" spans="1:25" ht="57" x14ac:dyDescent="0.25">
      <c r="A119" s="88"/>
      <c r="B119" s="84" t="s">
        <v>271</v>
      </c>
      <c r="C119" s="127" t="s">
        <v>226</v>
      </c>
      <c r="D119" s="214"/>
      <c r="E119" s="87"/>
      <c r="F119" s="87"/>
      <c r="G119" s="87"/>
      <c r="H119" s="87"/>
      <c r="I119" s="87"/>
      <c r="J119" s="75"/>
      <c r="K119" s="75"/>
      <c r="L119" s="75"/>
      <c r="M119" s="75"/>
      <c r="N119" s="75">
        <v>526160</v>
      </c>
      <c r="O119" s="75"/>
      <c r="P119" s="75"/>
      <c r="Q119" s="75"/>
      <c r="R119" s="75"/>
      <c r="S119" s="75"/>
      <c r="T119" s="75">
        <f>N119</f>
        <v>526160</v>
      </c>
      <c r="U119" s="75">
        <f>T119</f>
        <v>526160</v>
      </c>
      <c r="V119" s="75">
        <f>U119</f>
        <v>526160</v>
      </c>
    </row>
    <row r="120" spans="1:25" ht="90" x14ac:dyDescent="0.25">
      <c r="A120" s="202" t="s">
        <v>257</v>
      </c>
      <c r="B120" s="214" t="s">
        <v>28</v>
      </c>
      <c r="C120" s="127" t="s">
        <v>219</v>
      </c>
      <c r="D120" s="86" t="s">
        <v>20</v>
      </c>
      <c r="E120" s="87">
        <f>E116+E114+E113</f>
        <v>140</v>
      </c>
      <c r="F120" s="87">
        <f>F116+F114+F113</f>
        <v>140</v>
      </c>
      <c r="G120" s="87">
        <f t="shared" si="76"/>
        <v>140</v>
      </c>
      <c r="H120" s="87">
        <f>H116+H114+H113</f>
        <v>140</v>
      </c>
      <c r="I120" s="87">
        <f>I116+I114+I113</f>
        <v>140</v>
      </c>
      <c r="J120" s="75" t="s">
        <v>23</v>
      </c>
      <c r="K120" s="75"/>
      <c r="L120" s="75">
        <v>12405.807000000001</v>
      </c>
      <c r="M120" s="75">
        <f t="shared" si="6"/>
        <v>12405.807000000001</v>
      </c>
      <c r="N120" s="75">
        <f t="shared" si="78"/>
        <v>0</v>
      </c>
      <c r="O120" s="75">
        <f t="shared" si="79"/>
        <v>0</v>
      </c>
      <c r="P120" s="75"/>
      <c r="Q120" s="75">
        <f>G120*L120</f>
        <v>1736812.98</v>
      </c>
      <c r="R120" s="75"/>
      <c r="S120" s="75"/>
      <c r="T120" s="75">
        <f t="shared" si="2"/>
        <v>1736812.98</v>
      </c>
      <c r="U120" s="75">
        <f t="shared" si="15"/>
        <v>1736812.98</v>
      </c>
      <c r="V120" s="75">
        <f t="shared" si="3"/>
        <v>1736812.98</v>
      </c>
    </row>
    <row r="121" spans="1:25" x14ac:dyDescent="0.25">
      <c r="A121" s="86"/>
      <c r="B121" s="214" t="s">
        <v>28</v>
      </c>
      <c r="C121" s="127" t="s">
        <v>220</v>
      </c>
      <c r="D121" s="86"/>
      <c r="E121" s="87"/>
      <c r="F121" s="87"/>
      <c r="G121" s="87"/>
      <c r="H121" s="87"/>
      <c r="I121" s="87"/>
      <c r="J121" s="75"/>
      <c r="K121" s="75"/>
      <c r="L121" s="75">
        <v>12248.94</v>
      </c>
      <c r="M121" s="75"/>
      <c r="N121" s="75"/>
      <c r="O121" s="75"/>
      <c r="P121" s="75"/>
      <c r="Q121" s="75"/>
      <c r="R121" s="75"/>
      <c r="S121" s="75">
        <f>L121*G120</f>
        <v>1714851.6</v>
      </c>
      <c r="T121" s="75">
        <f>S121</f>
        <v>1714851.6</v>
      </c>
      <c r="U121" s="75">
        <f>S121</f>
        <v>1714851.6</v>
      </c>
      <c r="V121" s="75">
        <f>S121</f>
        <v>1714851.6</v>
      </c>
    </row>
    <row r="122" spans="1:25" x14ac:dyDescent="0.25">
      <c r="A122" s="196" t="s">
        <v>68</v>
      </c>
      <c r="B122" s="94"/>
      <c r="C122" s="94"/>
      <c r="D122" s="94"/>
      <c r="E122" s="92"/>
      <c r="F122" s="92"/>
      <c r="G122" s="92"/>
      <c r="H122" s="92"/>
      <c r="I122" s="92"/>
      <c r="J122" s="78"/>
      <c r="K122" s="78"/>
      <c r="L122" s="78"/>
      <c r="M122" s="78">
        <f t="shared" si="6"/>
        <v>0</v>
      </c>
      <c r="N122" s="78">
        <f>N123+N131</f>
        <v>6651072</v>
      </c>
      <c r="O122" s="78">
        <f>O123+O131</f>
        <v>3112522.9996842882</v>
      </c>
      <c r="P122" s="78">
        <f>P123</f>
        <v>573372</v>
      </c>
      <c r="Q122" s="78">
        <f t="shared" ref="Q122" si="82">Q123+Q131</f>
        <v>4911945.609952</v>
      </c>
      <c r="R122" s="78">
        <f>R123</f>
        <v>2594417</v>
      </c>
      <c r="S122" s="78">
        <f>S132</f>
        <v>1763847.36</v>
      </c>
      <c r="T122" s="78">
        <f>T123+T131+T132</f>
        <v>19607176.969636288</v>
      </c>
      <c r="U122" s="78">
        <f t="shared" ref="U122:V122" si="83">U123+U131+U132</f>
        <v>19607176.969636288</v>
      </c>
      <c r="V122" s="78">
        <f t="shared" si="83"/>
        <v>19607176.969636288</v>
      </c>
      <c r="W122" s="80">
        <v>4911945.6100000003</v>
      </c>
      <c r="X122" s="85">
        <f>W122-Q122</f>
        <v>4.8000365495681763E-5</v>
      </c>
      <c r="Y122" s="80">
        <f>X122/I131</f>
        <v>3.3333587149779004E-7</v>
      </c>
    </row>
    <row r="123" spans="1:25" ht="94.9" customHeight="1" x14ac:dyDescent="0.25">
      <c r="A123" s="202" t="s">
        <v>256</v>
      </c>
      <c r="B123" s="84" t="s">
        <v>76</v>
      </c>
      <c r="C123" s="128"/>
      <c r="D123" s="95"/>
      <c r="E123" s="68"/>
      <c r="F123" s="68"/>
      <c r="G123" s="68"/>
      <c r="H123" s="68"/>
      <c r="I123" s="68"/>
      <c r="J123" s="75"/>
      <c r="K123" s="75"/>
      <c r="L123" s="75"/>
      <c r="M123" s="75">
        <f t="shared" si="6"/>
        <v>0</v>
      </c>
      <c r="N123" s="75">
        <f>SUM(N124:N130)</f>
        <v>6651072</v>
      </c>
      <c r="O123" s="75">
        <f>SUM(O124:O127)</f>
        <v>3112522.9996842882</v>
      </c>
      <c r="P123" s="75">
        <f>P129</f>
        <v>573372</v>
      </c>
      <c r="Q123" s="75">
        <f t="shared" ref="Q123" si="84">SUM(Q124:Q127)</f>
        <v>3188259.4319519997</v>
      </c>
      <c r="R123" s="75">
        <f>R128</f>
        <v>2594417</v>
      </c>
      <c r="S123" s="75"/>
      <c r="T123" s="75">
        <f>SUM(T124:T130)</f>
        <v>16119643.431636289</v>
      </c>
      <c r="U123" s="75">
        <f t="shared" ref="U123:V123" si="85">SUM(U124:U130)</f>
        <v>16119643.431636289</v>
      </c>
      <c r="V123" s="75">
        <f t="shared" si="85"/>
        <v>16119643.431636289</v>
      </c>
    </row>
    <row r="124" spans="1:25" ht="105" x14ac:dyDescent="0.25">
      <c r="A124" s="83"/>
      <c r="B124" s="97" t="s">
        <v>19</v>
      </c>
      <c r="C124" s="93" t="s">
        <v>0</v>
      </c>
      <c r="D124" s="214" t="s">
        <v>20</v>
      </c>
      <c r="E124" s="87">
        <v>14</v>
      </c>
      <c r="F124" s="87">
        <v>14</v>
      </c>
      <c r="G124" s="87">
        <f t="shared" ref="G124:G131" si="86">(E124*8+F124*4)/12</f>
        <v>14</v>
      </c>
      <c r="H124" s="87">
        <v>14</v>
      </c>
      <c r="I124" s="87">
        <v>14</v>
      </c>
      <c r="J124" s="75">
        <v>43138.04</v>
      </c>
      <c r="K124" s="75">
        <v>21614.746317252</v>
      </c>
      <c r="L124" s="75">
        <f>18972.01+207.38+2961.339458</f>
        <v>22140.729457999998</v>
      </c>
      <c r="M124" s="75">
        <f t="shared" si="6"/>
        <v>86893.515775252003</v>
      </c>
      <c r="N124" s="75">
        <f>G124*J124</f>
        <v>603932.56000000006</v>
      </c>
      <c r="O124" s="75">
        <f>G124*K124</f>
        <v>302606.44844152802</v>
      </c>
      <c r="P124" s="75"/>
      <c r="Q124" s="75">
        <f>G124*L124</f>
        <v>309970.21241199999</v>
      </c>
      <c r="R124" s="75"/>
      <c r="S124" s="75"/>
      <c r="T124" s="75">
        <f t="shared" si="2"/>
        <v>1216509.220853528</v>
      </c>
      <c r="U124" s="75">
        <f t="shared" si="15"/>
        <v>1216509.220853528</v>
      </c>
      <c r="V124" s="75">
        <f t="shared" si="3"/>
        <v>1216509.220853528</v>
      </c>
    </row>
    <row r="125" spans="1:25" x14ac:dyDescent="0.25">
      <c r="A125" s="88"/>
      <c r="B125" s="97" t="s">
        <v>24</v>
      </c>
      <c r="C125" s="97"/>
      <c r="D125" s="86" t="s">
        <v>20</v>
      </c>
      <c r="E125" s="87">
        <v>57</v>
      </c>
      <c r="F125" s="87">
        <v>57</v>
      </c>
      <c r="G125" s="87">
        <f t="shared" si="86"/>
        <v>57</v>
      </c>
      <c r="H125" s="87">
        <v>57</v>
      </c>
      <c r="I125" s="87">
        <v>57</v>
      </c>
      <c r="J125" s="75">
        <v>34198.17</v>
      </c>
      <c r="K125" s="75">
        <v>21614.746317252</v>
      </c>
      <c r="L125" s="75">
        <f t="shared" ref="L125:L127" si="87">18972.01+207.38+2961.339458</f>
        <v>22140.729457999998</v>
      </c>
      <c r="M125" s="75">
        <f t="shared" si="6"/>
        <v>77953.645775251993</v>
      </c>
      <c r="N125" s="75">
        <f t="shared" ref="N125:N131" si="88">G125*J125</f>
        <v>1949295.69</v>
      </c>
      <c r="O125" s="75">
        <f>G125*K125</f>
        <v>1232040.5400833641</v>
      </c>
      <c r="P125" s="75"/>
      <c r="Q125" s="75">
        <f t="shared" ref="Q125" si="89">G125*L125</f>
        <v>1262021.5791059998</v>
      </c>
      <c r="R125" s="75"/>
      <c r="S125" s="75"/>
      <c r="T125" s="75">
        <f t="shared" si="2"/>
        <v>4443357.8091893643</v>
      </c>
      <c r="U125" s="75">
        <f t="shared" si="15"/>
        <v>4443357.8091893634</v>
      </c>
      <c r="V125" s="75">
        <f t="shared" si="3"/>
        <v>4443357.8091893634</v>
      </c>
    </row>
    <row r="126" spans="1:25" x14ac:dyDescent="0.25">
      <c r="A126" s="88"/>
      <c r="B126" s="97"/>
      <c r="C126" s="97"/>
      <c r="D126" s="86"/>
      <c r="E126" s="87"/>
      <c r="F126" s="87"/>
      <c r="G126" s="87"/>
      <c r="H126" s="87"/>
      <c r="I126" s="87"/>
      <c r="J126" s="75"/>
      <c r="K126" s="75"/>
      <c r="L126" s="75">
        <f t="shared" si="87"/>
        <v>22140.729457999998</v>
      </c>
      <c r="M126" s="75"/>
      <c r="N126" s="75"/>
      <c r="O126" s="75"/>
      <c r="P126" s="75"/>
      <c r="Q126" s="75"/>
      <c r="R126" s="75"/>
      <c r="S126" s="75"/>
      <c r="T126" s="75"/>
      <c r="U126" s="75"/>
      <c r="V126" s="75"/>
    </row>
    <row r="127" spans="1:25" ht="120" x14ac:dyDescent="0.25">
      <c r="A127" s="88"/>
      <c r="B127" s="97" t="s">
        <v>24</v>
      </c>
      <c r="C127" s="93" t="s">
        <v>162</v>
      </c>
      <c r="D127" s="214" t="s">
        <v>20</v>
      </c>
      <c r="E127" s="87">
        <v>73</v>
      </c>
      <c r="F127" s="87">
        <v>73</v>
      </c>
      <c r="G127" s="87">
        <f t="shared" si="86"/>
        <v>73</v>
      </c>
      <c r="H127" s="87">
        <v>73</v>
      </c>
      <c r="I127" s="87">
        <v>73</v>
      </c>
      <c r="J127" s="210">
        <v>50023.83</v>
      </c>
      <c r="K127" s="75">
        <v>21614.746317252</v>
      </c>
      <c r="L127" s="75">
        <f t="shared" si="87"/>
        <v>22140.729457999998</v>
      </c>
      <c r="M127" s="75">
        <f t="shared" si="6"/>
        <v>93779.305775252011</v>
      </c>
      <c r="N127" s="75">
        <f>G127*J127-0.17+0.33</f>
        <v>3651739.7500000005</v>
      </c>
      <c r="O127" s="75">
        <f>G127*K127-0.47</f>
        <v>1577876.011159396</v>
      </c>
      <c r="P127" s="75"/>
      <c r="Q127" s="75">
        <f>G127*L127-5.61</f>
        <v>1616267.6404339997</v>
      </c>
      <c r="R127" s="75"/>
      <c r="S127" s="75"/>
      <c r="T127" s="75">
        <f t="shared" si="2"/>
        <v>6845883.4015933964</v>
      </c>
      <c r="U127" s="75">
        <f>T127</f>
        <v>6845883.4015933964</v>
      </c>
      <c r="V127" s="75">
        <f>U127</f>
        <v>6845883.4015933964</v>
      </c>
    </row>
    <row r="128" spans="1:25" x14ac:dyDescent="0.25">
      <c r="A128" s="88"/>
      <c r="B128" s="89" t="s">
        <v>225</v>
      </c>
      <c r="C128" s="127" t="s">
        <v>219</v>
      </c>
      <c r="D128" s="214"/>
      <c r="E128" s="87"/>
      <c r="F128" s="87"/>
      <c r="G128" s="87">
        <v>15</v>
      </c>
      <c r="H128" s="87">
        <v>15</v>
      </c>
      <c r="I128" s="87">
        <v>15</v>
      </c>
      <c r="J128" s="75"/>
      <c r="K128" s="75"/>
      <c r="L128" s="75"/>
      <c r="M128" s="75"/>
      <c r="N128" s="75"/>
      <c r="O128" s="75"/>
      <c r="P128" s="75"/>
      <c r="Q128" s="75"/>
      <c r="R128" s="75">
        <v>2594417</v>
      </c>
      <c r="S128" s="75"/>
      <c r="T128" s="75">
        <f>R128</f>
        <v>2594417</v>
      </c>
      <c r="U128" s="75">
        <f>R128</f>
        <v>2594417</v>
      </c>
      <c r="V128" s="75">
        <f>R128</f>
        <v>2594417</v>
      </c>
    </row>
    <row r="129" spans="1:25" x14ac:dyDescent="0.25">
      <c r="A129" s="88"/>
      <c r="B129" s="89" t="s">
        <v>225</v>
      </c>
      <c r="C129" s="127" t="s">
        <v>226</v>
      </c>
      <c r="D129" s="214"/>
      <c r="E129" s="87"/>
      <c r="F129" s="87"/>
      <c r="G129" s="87">
        <v>8</v>
      </c>
      <c r="H129" s="87">
        <v>8</v>
      </c>
      <c r="I129" s="87">
        <v>8</v>
      </c>
      <c r="J129" s="75"/>
      <c r="K129" s="75"/>
      <c r="L129" s="75"/>
      <c r="M129" s="75"/>
      <c r="N129" s="75"/>
      <c r="O129" s="75"/>
      <c r="P129" s="75">
        <f>228350+244493+100529</f>
        <v>573372</v>
      </c>
      <c r="Q129" s="75"/>
      <c r="R129" s="75"/>
      <c r="S129" s="75"/>
      <c r="T129" s="75">
        <f>P129</f>
        <v>573372</v>
      </c>
      <c r="U129" s="75">
        <f t="shared" ref="U129:V131" si="90">T129</f>
        <v>573372</v>
      </c>
      <c r="V129" s="75">
        <f t="shared" si="90"/>
        <v>573372</v>
      </c>
    </row>
    <row r="130" spans="1:25" ht="57" x14ac:dyDescent="0.25">
      <c r="A130" s="88"/>
      <c r="B130" s="84" t="s">
        <v>271</v>
      </c>
      <c r="C130" s="127" t="s">
        <v>226</v>
      </c>
      <c r="D130" s="214"/>
      <c r="E130" s="87"/>
      <c r="F130" s="87"/>
      <c r="G130" s="87"/>
      <c r="H130" s="87"/>
      <c r="I130" s="87"/>
      <c r="J130" s="75"/>
      <c r="K130" s="75"/>
      <c r="L130" s="75"/>
      <c r="M130" s="75"/>
      <c r="N130" s="75">
        <v>446104</v>
      </c>
      <c r="O130" s="75"/>
      <c r="P130" s="75"/>
      <c r="Q130" s="75"/>
      <c r="R130" s="75"/>
      <c r="S130" s="75"/>
      <c r="T130" s="75">
        <f>N130</f>
        <v>446104</v>
      </c>
      <c r="U130" s="75">
        <f t="shared" si="90"/>
        <v>446104</v>
      </c>
      <c r="V130" s="75">
        <f t="shared" si="90"/>
        <v>446104</v>
      </c>
    </row>
    <row r="131" spans="1:25" ht="81" customHeight="1" x14ac:dyDescent="0.25">
      <c r="A131" s="202" t="s">
        <v>257</v>
      </c>
      <c r="B131" s="214" t="s">
        <v>28</v>
      </c>
      <c r="C131" s="127" t="s">
        <v>219</v>
      </c>
      <c r="D131" s="86" t="s">
        <v>20</v>
      </c>
      <c r="E131" s="87">
        <f>E127+E125+E124</f>
        <v>144</v>
      </c>
      <c r="F131" s="87">
        <f>F127+F125+F124</f>
        <v>144</v>
      </c>
      <c r="G131" s="87">
        <f t="shared" si="86"/>
        <v>144</v>
      </c>
      <c r="H131" s="87">
        <f>H127+H125+H124</f>
        <v>144</v>
      </c>
      <c r="I131" s="87">
        <f>I127+I125+I124</f>
        <v>144</v>
      </c>
      <c r="J131" s="75" t="s">
        <v>23</v>
      </c>
      <c r="K131" s="75"/>
      <c r="L131" s="75">
        <v>12405.807000000001</v>
      </c>
      <c r="M131" s="75">
        <f t="shared" si="6"/>
        <v>12405.807000000001</v>
      </c>
      <c r="N131" s="75">
        <f t="shared" si="88"/>
        <v>0</v>
      </c>
      <c r="O131" s="75">
        <f t="shared" ref="O131" si="91">G131*K131</f>
        <v>0</v>
      </c>
      <c r="P131" s="75"/>
      <c r="Q131" s="75">
        <f>G131*L131-4.79+10.4-62755.64</f>
        <v>1723686.1780000001</v>
      </c>
      <c r="R131" s="75"/>
      <c r="S131" s="75"/>
      <c r="T131" s="75">
        <f t="shared" si="2"/>
        <v>1723686.1780000001</v>
      </c>
      <c r="U131" s="75">
        <f t="shared" si="90"/>
        <v>1723686.1780000001</v>
      </c>
      <c r="V131" s="75">
        <f t="shared" si="90"/>
        <v>1723686.1780000001</v>
      </c>
    </row>
    <row r="132" spans="1:25" ht="27.6" customHeight="1" x14ac:dyDescent="0.25">
      <c r="A132" s="86"/>
      <c r="B132" s="214" t="s">
        <v>28</v>
      </c>
      <c r="C132" s="127" t="s">
        <v>220</v>
      </c>
      <c r="D132" s="86"/>
      <c r="E132" s="87"/>
      <c r="F132" s="87"/>
      <c r="G132" s="87"/>
      <c r="H132" s="87"/>
      <c r="I132" s="87"/>
      <c r="J132" s="75"/>
      <c r="K132" s="75"/>
      <c r="L132" s="75">
        <v>12248.94</v>
      </c>
      <c r="M132" s="75"/>
      <c r="N132" s="75"/>
      <c r="O132" s="75"/>
      <c r="P132" s="75"/>
      <c r="Q132" s="75"/>
      <c r="R132" s="75"/>
      <c r="S132" s="75">
        <f>L132*G131</f>
        <v>1763847.36</v>
      </c>
      <c r="T132" s="75">
        <f>S132</f>
        <v>1763847.36</v>
      </c>
      <c r="U132" s="75">
        <f>S132</f>
        <v>1763847.36</v>
      </c>
      <c r="V132" s="75">
        <f>S132</f>
        <v>1763847.36</v>
      </c>
    </row>
    <row r="133" spans="1:25" s="96" customFormat="1" ht="14.25" x14ac:dyDescent="0.2">
      <c r="A133" s="196" t="s">
        <v>71</v>
      </c>
      <c r="B133" s="94"/>
      <c r="C133" s="94"/>
      <c r="D133" s="94"/>
      <c r="E133" s="92"/>
      <c r="F133" s="92"/>
      <c r="G133" s="92"/>
      <c r="H133" s="92"/>
      <c r="I133" s="92"/>
      <c r="J133" s="78"/>
      <c r="K133" s="78"/>
      <c r="L133" s="78"/>
      <c r="M133" s="78">
        <f t="shared" si="6"/>
        <v>0</v>
      </c>
      <c r="N133" s="78">
        <f>N134+N141</f>
        <v>11997185</v>
      </c>
      <c r="O133" s="78">
        <f>O134+O141</f>
        <v>5295614.9977267403</v>
      </c>
      <c r="P133" s="78">
        <f>P134</f>
        <v>1114699</v>
      </c>
      <c r="Q133" s="78">
        <f t="shared" ref="Q133" si="92">Q134+Q141</f>
        <v>7660915.2299930006</v>
      </c>
      <c r="R133" s="78">
        <f>R134</f>
        <v>4329914</v>
      </c>
      <c r="S133" s="78">
        <f>S142</f>
        <v>2878524.6</v>
      </c>
      <c r="T133" s="78">
        <f>T134+T141+T142</f>
        <v>33276852.827719744</v>
      </c>
      <c r="U133" s="78">
        <f t="shared" ref="U133:V133" si="93">U134+U141+U142</f>
        <v>33276852.827719744</v>
      </c>
      <c r="V133" s="78">
        <f t="shared" si="93"/>
        <v>33276852.827719744</v>
      </c>
      <c r="W133" s="96">
        <v>7660915.2300000004</v>
      </c>
      <c r="X133" s="211">
        <f>W133-Q133</f>
        <v>6.9998204708099365E-6</v>
      </c>
      <c r="Y133" s="96">
        <f>X133/I141</f>
        <v>2.8570695799224231E-8</v>
      </c>
    </row>
    <row r="134" spans="1:25" ht="106.9" customHeight="1" x14ac:dyDescent="0.25">
      <c r="A134" s="202" t="s">
        <v>256</v>
      </c>
      <c r="B134" s="84" t="s">
        <v>76</v>
      </c>
      <c r="C134" s="128"/>
      <c r="D134" s="95"/>
      <c r="E134" s="68"/>
      <c r="F134" s="68"/>
      <c r="G134" s="68"/>
      <c r="H134" s="68"/>
      <c r="I134" s="68"/>
      <c r="J134" s="75"/>
      <c r="K134" s="75"/>
      <c r="L134" s="75"/>
      <c r="M134" s="75">
        <f t="shared" ref="M134:M141" si="94">J134+K134+L134</f>
        <v>0</v>
      </c>
      <c r="N134" s="75">
        <f>SUM(N135:N140)</f>
        <v>11997185</v>
      </c>
      <c r="O134" s="75">
        <f>SUM(O135:O137)</f>
        <v>5295614.9977267403</v>
      </c>
      <c r="P134" s="75">
        <f>P139</f>
        <v>1114699</v>
      </c>
      <c r="Q134" s="75">
        <f t="shared" ref="Q134" si="95">SUM(Q135:Q137)</f>
        <v>4743957.4799930006</v>
      </c>
      <c r="R134" s="75">
        <f>R138</f>
        <v>4329914</v>
      </c>
      <c r="S134" s="75"/>
      <c r="T134" s="75">
        <f>SUM(T135:T140)</f>
        <v>27481370.477719743</v>
      </c>
      <c r="U134" s="75">
        <f t="shared" ref="U134:V134" si="96">SUM(U135:U140)</f>
        <v>27481370.477719743</v>
      </c>
      <c r="V134" s="75">
        <f t="shared" si="96"/>
        <v>27481370.477719743</v>
      </c>
    </row>
    <row r="135" spans="1:25" ht="105" x14ac:dyDescent="0.25">
      <c r="A135" s="83"/>
      <c r="B135" s="97" t="s">
        <v>19</v>
      </c>
      <c r="C135" s="93" t="s">
        <v>0</v>
      </c>
      <c r="D135" s="214" t="s">
        <v>20</v>
      </c>
      <c r="E135" s="87">
        <v>40</v>
      </c>
      <c r="F135" s="87">
        <v>40</v>
      </c>
      <c r="G135" s="87">
        <f t="shared" ref="G135:G141" si="97">(E135*8+F135*4)/12</f>
        <v>40</v>
      </c>
      <c r="H135" s="87">
        <v>40</v>
      </c>
      <c r="I135" s="87">
        <v>40</v>
      </c>
      <c r="J135" s="75">
        <v>43138.04</v>
      </c>
      <c r="K135" s="75">
        <v>21614.746317252</v>
      </c>
      <c r="L135" s="75">
        <f>18972.01+207.38+183.7025714</f>
        <v>19363.0925714</v>
      </c>
      <c r="M135" s="75">
        <f t="shared" si="94"/>
        <v>84115.878888652005</v>
      </c>
      <c r="N135" s="75">
        <f>G135*J135</f>
        <v>1725521.6</v>
      </c>
      <c r="O135" s="75">
        <f>G135*K135</f>
        <v>864589.85269007995</v>
      </c>
      <c r="P135" s="75"/>
      <c r="Q135" s="75">
        <f>G135*L135</f>
        <v>774523.70285600005</v>
      </c>
      <c r="R135" s="75"/>
      <c r="S135" s="75"/>
      <c r="T135" s="75">
        <f t="shared" ref="T135:T141" si="98">SUM(N135:Q135)</f>
        <v>3364635.1555460799</v>
      </c>
      <c r="U135" s="75">
        <f t="shared" ref="U135:U141" si="99">H135*M135</f>
        <v>3364635.1555460803</v>
      </c>
      <c r="V135" s="75">
        <f t="shared" ref="V135:V141" si="100">I135*M135</f>
        <v>3364635.1555460803</v>
      </c>
    </row>
    <row r="136" spans="1:25" x14ac:dyDescent="0.25">
      <c r="A136" s="88"/>
      <c r="B136" s="97" t="s">
        <v>24</v>
      </c>
      <c r="C136" s="97"/>
      <c r="D136" s="86" t="s">
        <v>20</v>
      </c>
      <c r="E136" s="87"/>
      <c r="F136" s="87"/>
      <c r="G136" s="87">
        <f t="shared" si="97"/>
        <v>0</v>
      </c>
      <c r="H136" s="87"/>
      <c r="I136" s="87"/>
      <c r="J136" s="75">
        <v>34198.17</v>
      </c>
      <c r="K136" s="75">
        <v>21614.746317252</v>
      </c>
      <c r="L136" s="75">
        <f t="shared" ref="L136:L137" si="101">18972.01+207.38+183.7025714</f>
        <v>19363.0925714</v>
      </c>
      <c r="M136" s="75">
        <f t="shared" si="94"/>
        <v>75176.008888651995</v>
      </c>
      <c r="N136" s="75">
        <f t="shared" ref="N136:N141" si="102">G136*J136</f>
        <v>0</v>
      </c>
      <c r="O136" s="75">
        <f>G136*K136</f>
        <v>0</v>
      </c>
      <c r="P136" s="75"/>
      <c r="Q136" s="75">
        <f t="shared" ref="Q136" si="103">G136*L136</f>
        <v>0</v>
      </c>
      <c r="R136" s="75"/>
      <c r="S136" s="75"/>
      <c r="T136" s="75">
        <f t="shared" si="98"/>
        <v>0</v>
      </c>
      <c r="U136" s="75">
        <f t="shared" si="99"/>
        <v>0</v>
      </c>
      <c r="V136" s="75">
        <f t="shared" si="100"/>
        <v>0</v>
      </c>
    </row>
    <row r="137" spans="1:25" ht="120" x14ac:dyDescent="0.25">
      <c r="A137" s="88"/>
      <c r="B137" s="97" t="s">
        <v>24</v>
      </c>
      <c r="C137" s="93" t="s">
        <v>162</v>
      </c>
      <c r="D137" s="214" t="s">
        <v>20</v>
      </c>
      <c r="E137" s="87">
        <v>205</v>
      </c>
      <c r="F137" s="87">
        <v>205</v>
      </c>
      <c r="G137" s="87">
        <f t="shared" si="97"/>
        <v>205</v>
      </c>
      <c r="H137" s="87">
        <v>205</v>
      </c>
      <c r="I137" s="87">
        <v>205</v>
      </c>
      <c r="J137" s="209">
        <v>50023.83</v>
      </c>
      <c r="K137" s="75">
        <v>21614.746317252</v>
      </c>
      <c r="L137" s="75">
        <f t="shared" si="101"/>
        <v>19363.0925714</v>
      </c>
      <c r="M137" s="75">
        <f t="shared" si="94"/>
        <v>91001.668888652013</v>
      </c>
      <c r="N137" s="75">
        <f>G137*J137+0.03+0.22</f>
        <v>10254885.4</v>
      </c>
      <c r="O137" s="75">
        <f>G137*K137+2.15</f>
        <v>4431025.1450366601</v>
      </c>
      <c r="P137" s="75"/>
      <c r="Q137" s="75">
        <f>G137*L137-0.2</f>
        <v>3969433.7771370001</v>
      </c>
      <c r="R137" s="75"/>
      <c r="S137" s="75"/>
      <c r="T137" s="75">
        <f t="shared" si="98"/>
        <v>18655344.322173662</v>
      </c>
      <c r="U137" s="75">
        <f>T137</f>
        <v>18655344.322173662</v>
      </c>
      <c r="V137" s="75">
        <f>U137</f>
        <v>18655344.322173662</v>
      </c>
    </row>
    <row r="138" spans="1:25" x14ac:dyDescent="0.25">
      <c r="A138" s="88"/>
      <c r="B138" s="89" t="s">
        <v>225</v>
      </c>
      <c r="C138" s="127" t="s">
        <v>219</v>
      </c>
      <c r="D138" s="214"/>
      <c r="E138" s="87"/>
      <c r="F138" s="87"/>
      <c r="G138" s="87">
        <v>27</v>
      </c>
      <c r="H138" s="87">
        <v>27</v>
      </c>
      <c r="I138" s="87">
        <v>27</v>
      </c>
      <c r="J138" s="75"/>
      <c r="K138" s="75"/>
      <c r="L138" s="75"/>
      <c r="M138" s="75"/>
      <c r="N138" s="75"/>
      <c r="O138" s="75"/>
      <c r="P138" s="75"/>
      <c r="Q138" s="75"/>
      <c r="R138" s="75">
        <v>4329914</v>
      </c>
      <c r="S138" s="75"/>
      <c r="T138" s="75">
        <f>R138</f>
        <v>4329914</v>
      </c>
      <c r="U138" s="75">
        <f>R138</f>
        <v>4329914</v>
      </c>
      <c r="V138" s="75">
        <f>R138</f>
        <v>4329914</v>
      </c>
    </row>
    <row r="139" spans="1:25" x14ac:dyDescent="0.25">
      <c r="A139" s="88"/>
      <c r="B139" s="89" t="s">
        <v>225</v>
      </c>
      <c r="C139" s="127" t="s">
        <v>226</v>
      </c>
      <c r="D139" s="214"/>
      <c r="E139" s="87"/>
      <c r="F139" s="87"/>
      <c r="G139" s="87">
        <v>14</v>
      </c>
      <c r="H139" s="87">
        <v>14</v>
      </c>
      <c r="I139" s="87">
        <v>14</v>
      </c>
      <c r="J139" s="75"/>
      <c r="K139" s="75"/>
      <c r="L139" s="75"/>
      <c r="M139" s="75"/>
      <c r="N139" s="75"/>
      <c r="O139" s="75"/>
      <c r="P139" s="75">
        <f>399612-2+603366+111723</f>
        <v>1114699</v>
      </c>
      <c r="Q139" s="75"/>
      <c r="R139" s="75"/>
      <c r="S139" s="75"/>
      <c r="T139" s="75">
        <f>P139</f>
        <v>1114699</v>
      </c>
      <c r="U139" s="75">
        <f>P139</f>
        <v>1114699</v>
      </c>
      <c r="V139" s="75">
        <f>P139</f>
        <v>1114699</v>
      </c>
    </row>
    <row r="140" spans="1:25" ht="60.6" customHeight="1" x14ac:dyDescent="0.25">
      <c r="A140" s="88"/>
      <c r="B140" s="84" t="s">
        <v>271</v>
      </c>
      <c r="C140" s="127" t="s">
        <v>226</v>
      </c>
      <c r="D140" s="214"/>
      <c r="E140" s="87"/>
      <c r="F140" s="87"/>
      <c r="G140" s="87"/>
      <c r="H140" s="87"/>
      <c r="I140" s="87"/>
      <c r="J140" s="75"/>
      <c r="K140" s="75"/>
      <c r="L140" s="75"/>
      <c r="M140" s="75"/>
      <c r="N140" s="75">
        <v>16778</v>
      </c>
      <c r="O140" s="75"/>
      <c r="P140" s="75"/>
      <c r="Q140" s="75"/>
      <c r="R140" s="75"/>
      <c r="S140" s="75"/>
      <c r="T140" s="75">
        <f>N140</f>
        <v>16778</v>
      </c>
      <c r="U140" s="75">
        <f>T140</f>
        <v>16778</v>
      </c>
      <c r="V140" s="75">
        <f>U140</f>
        <v>16778</v>
      </c>
    </row>
    <row r="141" spans="1:25" ht="90" x14ac:dyDescent="0.25">
      <c r="A141" s="202" t="s">
        <v>257</v>
      </c>
      <c r="B141" s="214" t="s">
        <v>28</v>
      </c>
      <c r="C141" s="127" t="s">
        <v>219</v>
      </c>
      <c r="D141" s="86" t="s">
        <v>20</v>
      </c>
      <c r="E141" s="87">
        <f>E137+E136+E135</f>
        <v>245</v>
      </c>
      <c r="F141" s="87">
        <f>F137+F136+F135</f>
        <v>245</v>
      </c>
      <c r="G141" s="87">
        <f t="shared" si="97"/>
        <v>245</v>
      </c>
      <c r="H141" s="87">
        <f>H137+H136+H135</f>
        <v>245</v>
      </c>
      <c r="I141" s="87">
        <f>I137+I136+I135</f>
        <v>245</v>
      </c>
      <c r="J141" s="75" t="s">
        <v>23</v>
      </c>
      <c r="K141" s="75"/>
      <c r="L141" s="75">
        <f>10350.76+2055.05-499.86</f>
        <v>11905.95</v>
      </c>
      <c r="M141" s="75">
        <f t="shared" si="94"/>
        <v>11905.95</v>
      </c>
      <c r="N141" s="75">
        <f t="shared" si="102"/>
        <v>0</v>
      </c>
      <c r="O141" s="75">
        <f t="shared" ref="O141" si="104">G141*K141</f>
        <v>0</v>
      </c>
      <c r="P141" s="75"/>
      <c r="Q141" s="75">
        <f>G141*L141</f>
        <v>2916957.75</v>
      </c>
      <c r="R141" s="75"/>
      <c r="S141" s="75"/>
      <c r="T141" s="75">
        <f t="shared" si="98"/>
        <v>2916957.75</v>
      </c>
      <c r="U141" s="75">
        <f t="shared" si="99"/>
        <v>2916957.75</v>
      </c>
      <c r="V141" s="75">
        <f t="shared" si="100"/>
        <v>2916957.75</v>
      </c>
    </row>
    <row r="142" spans="1:25" x14ac:dyDescent="0.25">
      <c r="A142" s="86"/>
      <c r="B142" s="214" t="s">
        <v>28</v>
      </c>
      <c r="C142" s="127" t="s">
        <v>220</v>
      </c>
      <c r="D142" s="86"/>
      <c r="E142" s="87"/>
      <c r="F142" s="87"/>
      <c r="G142" s="87"/>
      <c r="H142" s="87"/>
      <c r="I142" s="87"/>
      <c r="J142" s="75"/>
      <c r="K142" s="75"/>
      <c r="L142" s="75">
        <f>12248.94-499.86</f>
        <v>11749.08</v>
      </c>
      <c r="M142" s="75"/>
      <c r="N142" s="75"/>
      <c r="O142" s="75"/>
      <c r="P142" s="75"/>
      <c r="Q142" s="75"/>
      <c r="R142" s="75"/>
      <c r="S142" s="75">
        <f>L142*G141</f>
        <v>2878524.6</v>
      </c>
      <c r="T142" s="75">
        <f>S142</f>
        <v>2878524.6</v>
      </c>
      <c r="U142" s="75">
        <f>S142</f>
        <v>2878524.6</v>
      </c>
      <c r="V142" s="75">
        <f>S142</f>
        <v>2878524.6</v>
      </c>
    </row>
    <row r="143" spans="1:25" x14ac:dyDescent="0.25">
      <c r="A143" s="259" t="s">
        <v>234</v>
      </c>
      <c r="B143" s="260"/>
      <c r="C143" s="260"/>
      <c r="D143" s="260"/>
      <c r="E143" s="260"/>
      <c r="F143" s="260"/>
      <c r="G143" s="260"/>
      <c r="H143" s="260"/>
      <c r="I143" s="260"/>
      <c r="J143" s="260"/>
      <c r="K143" s="260"/>
      <c r="L143" s="260"/>
      <c r="M143" s="261"/>
      <c r="N143" s="187">
        <f t="shared" ref="N143:V143" si="105">N14+N24+N32+N43+N53+N64+N75+N85+N98+N111+N122+N133</f>
        <v>91171900</v>
      </c>
      <c r="O143" s="187">
        <f t="shared" si="105"/>
        <v>37523200.001749478</v>
      </c>
      <c r="P143" s="187">
        <f t="shared" si="105"/>
        <v>7621150</v>
      </c>
      <c r="Q143" s="187">
        <f t="shared" si="105"/>
        <v>58387981.969911203</v>
      </c>
      <c r="R143" s="187">
        <f t="shared" si="105"/>
        <v>32864100</v>
      </c>
      <c r="S143" s="187">
        <f t="shared" si="105"/>
        <v>21141694.140000004</v>
      </c>
      <c r="T143" s="187">
        <f>T14+T24+T32+T43+T53+T64+T75+T85+T98+T111+T122+T133</f>
        <v>248710026.11166069</v>
      </c>
      <c r="U143" s="187">
        <f t="shared" si="105"/>
        <v>248710026.11166069</v>
      </c>
      <c r="V143" s="187">
        <f t="shared" si="105"/>
        <v>248710026.11166069</v>
      </c>
    </row>
    <row r="144" spans="1:25" x14ac:dyDescent="0.25">
      <c r="A144" s="80" t="s">
        <v>266</v>
      </c>
      <c r="C144" s="192"/>
      <c r="D144" s="192"/>
      <c r="E144" s="192"/>
      <c r="F144" s="192"/>
      <c r="G144" s="192"/>
      <c r="H144" s="192"/>
      <c r="I144" s="192"/>
      <c r="J144" s="192"/>
      <c r="K144" s="192"/>
      <c r="L144" s="192"/>
      <c r="M144" s="192"/>
      <c r="N144" s="193"/>
      <c r="O144" s="193"/>
      <c r="P144" s="193"/>
      <c r="Q144" s="193"/>
      <c r="R144" s="193"/>
      <c r="S144" s="192"/>
      <c r="T144" s="192"/>
      <c r="U144" s="192"/>
      <c r="V144" s="192"/>
    </row>
    <row r="145" spans="1:20" x14ac:dyDescent="0.25">
      <c r="A145" s="80" t="s">
        <v>178</v>
      </c>
      <c r="P145" s="85"/>
    </row>
    <row r="146" spans="1:20" x14ac:dyDescent="0.25">
      <c r="T146" s="218"/>
    </row>
    <row r="149" spans="1:20" x14ac:dyDescent="0.25">
      <c r="T149" s="85"/>
    </row>
    <row r="150" spans="1:20" x14ac:dyDescent="0.25">
      <c r="Q150" s="85"/>
    </row>
  </sheetData>
  <mergeCells count="9">
    <mergeCell ref="A143:M143"/>
    <mergeCell ref="C90:C91"/>
    <mergeCell ref="D90:D91"/>
    <mergeCell ref="A7:V7"/>
    <mergeCell ref="J10:M10"/>
    <mergeCell ref="N10:V10"/>
    <mergeCell ref="E11:G11"/>
    <mergeCell ref="N11:T11"/>
    <mergeCell ref="N12:T12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01.01.2016</vt:lpstr>
      <vt:lpstr>ОБЩИЙ</vt:lpstr>
      <vt:lpstr>ШКОЛЫ</vt:lpstr>
      <vt:lpstr>ДОП</vt:lpstr>
      <vt:lpstr>САДЫ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Бецку Александра Викторовна</dc:creator>
  <cp:lastModifiedBy>Отдел</cp:lastModifiedBy>
  <cp:lastPrinted>2019-08-30T09:08:02Z</cp:lastPrinted>
  <dcterms:created xsi:type="dcterms:W3CDTF">2018-11-21T04:22:49Z</dcterms:created>
  <dcterms:modified xsi:type="dcterms:W3CDTF">2019-09-09T05:40:49Z</dcterms:modified>
</cp:coreProperties>
</file>