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" sheetId="6" r:id="rId4"/>
    <sheet name="ДОП ДДТ +ДЭБС" sheetId="8" r:id="rId5"/>
  </sheets>
  <calcPr calcId="145621"/>
</workbook>
</file>

<file path=xl/calcChain.xml><?xml version="1.0" encoding="utf-8"?>
<calcChain xmlns="http://schemas.openxmlformats.org/spreadsheetml/2006/main">
  <c r="V164" i="6" l="1"/>
  <c r="V163" i="6"/>
  <c r="V135" i="6"/>
  <c r="V102" i="6"/>
  <c r="V74" i="6"/>
  <c r="V57" i="6"/>
  <c r="V44" i="6"/>
  <c r="V28" i="6"/>
  <c r="V17" i="6"/>
  <c r="V18" i="6"/>
  <c r="T189" i="6"/>
  <c r="T175" i="6"/>
  <c r="T160" i="6"/>
  <c r="T147" i="6"/>
  <c r="T131" i="6"/>
  <c r="T114" i="6"/>
  <c r="T99" i="6"/>
  <c r="T84" i="6"/>
  <c r="T69" i="6"/>
  <c r="T54" i="6"/>
  <c r="T26" i="6"/>
  <c r="L17" i="6"/>
  <c r="L18" i="6"/>
  <c r="L19" i="6"/>
  <c r="L16" i="6"/>
  <c r="L29" i="6"/>
  <c r="L41" i="6"/>
  <c r="L42" i="6"/>
  <c r="L43" i="6"/>
  <c r="L44" i="6"/>
  <c r="L40" i="6"/>
  <c r="L58" i="6"/>
  <c r="L59" i="6"/>
  <c r="L57" i="6"/>
  <c r="L73" i="6"/>
  <c r="L74" i="6"/>
  <c r="L75" i="6"/>
  <c r="L72" i="6"/>
  <c r="L88" i="6"/>
  <c r="L89" i="6"/>
  <c r="L87" i="6"/>
  <c r="L103" i="6"/>
  <c r="L104" i="6"/>
  <c r="L102" i="6"/>
  <c r="L118" i="6"/>
  <c r="L119" i="6"/>
  <c r="L120" i="6"/>
  <c r="L117" i="6"/>
  <c r="L136" i="6"/>
  <c r="L135" i="6"/>
  <c r="L134" i="6"/>
  <c r="L151" i="6"/>
  <c r="L150" i="6"/>
  <c r="L164" i="6"/>
  <c r="L165" i="6"/>
  <c r="L163" i="6"/>
  <c r="L179" i="6"/>
  <c r="L178" i="6"/>
  <c r="X204" i="4"/>
  <c r="R173" i="4"/>
  <c r="R172" i="4"/>
  <c r="R180" i="4"/>
  <c r="R181" i="4"/>
  <c r="R188" i="4"/>
  <c r="R177" i="4"/>
  <c r="M137" i="4"/>
  <c r="M145" i="4"/>
  <c r="M148" i="4"/>
  <c r="M149" i="4"/>
  <c r="M154" i="4"/>
  <c r="M157" i="4"/>
  <c r="M158" i="4"/>
  <c r="M161" i="4"/>
  <c r="M104" i="4"/>
  <c r="M113" i="4"/>
  <c r="M115" i="4"/>
  <c r="M122" i="4"/>
  <c r="M124" i="4"/>
  <c r="M127" i="4"/>
  <c r="M74" i="4"/>
  <c r="M81" i="4"/>
  <c r="M83" i="4"/>
  <c r="M88" i="4"/>
  <c r="M90" i="4"/>
  <c r="M94" i="4"/>
  <c r="M45" i="4"/>
  <c r="M52" i="4"/>
  <c r="M54" i="4"/>
  <c r="M59" i="4"/>
  <c r="M61" i="4"/>
  <c r="M64" i="4"/>
  <c r="M35" i="4"/>
  <c r="M31" i="4"/>
  <c r="M29" i="4"/>
  <c r="M24" i="4"/>
  <c r="M22" i="4"/>
  <c r="M12" i="4"/>
  <c r="I14" i="8"/>
  <c r="I13" i="8"/>
  <c r="I12" i="8"/>
  <c r="I11" i="8"/>
  <c r="I10" i="8"/>
  <c r="N15" i="8"/>
  <c r="E22" i="8"/>
  <c r="F22" i="8"/>
  <c r="G22" i="8"/>
  <c r="H22" i="8"/>
  <c r="D22" i="8"/>
  <c r="E21" i="8"/>
  <c r="F21" i="8"/>
  <c r="G21" i="8"/>
  <c r="H21" i="8"/>
  <c r="D21" i="8"/>
  <c r="E20" i="8"/>
  <c r="F20" i="8"/>
  <c r="G20" i="8"/>
  <c r="H20" i="8"/>
  <c r="D20" i="8"/>
  <c r="J22" i="8"/>
  <c r="J21" i="8"/>
  <c r="J20" i="8"/>
  <c r="E16" i="8"/>
  <c r="F16" i="8"/>
  <c r="G16" i="8"/>
  <c r="H16" i="8"/>
  <c r="D16" i="8"/>
  <c r="T170" i="4"/>
  <c r="U180" i="6"/>
  <c r="V180" i="6" s="1"/>
  <c r="V178" i="6"/>
  <c r="R180" i="6"/>
  <c r="P181" i="6"/>
  <c r="U181" i="6" s="1"/>
  <c r="V181" i="6" s="1"/>
  <c r="P153" i="6"/>
  <c r="U153" i="6" s="1"/>
  <c r="V153" i="6" s="1"/>
  <c r="P139" i="6"/>
  <c r="U139" i="6" s="1"/>
  <c r="V139" i="6" s="1"/>
  <c r="P106" i="6"/>
  <c r="U106" i="6" s="1"/>
  <c r="V106" i="6" s="1"/>
  <c r="P91" i="6"/>
  <c r="U91" i="6" s="1"/>
  <c r="V91" i="6" s="1"/>
  <c r="P21" i="6"/>
  <c r="U21" i="6" s="1"/>
  <c r="V21" i="6" s="1"/>
  <c r="Q100" i="4"/>
  <c r="V100" i="4" s="1"/>
  <c r="Q70" i="4" l="1"/>
  <c r="V70" i="4" s="1"/>
  <c r="Q151" i="6"/>
  <c r="Q158" i="6"/>
  <c r="R15" i="6"/>
  <c r="R14" i="6" s="1"/>
  <c r="R116" i="6"/>
  <c r="R149" i="6"/>
  <c r="R148" i="6" s="1"/>
  <c r="R177" i="6"/>
  <c r="R176" i="6" s="1"/>
  <c r="R162" i="6"/>
  <c r="R161" i="6" s="1"/>
  <c r="R133" i="6"/>
  <c r="R132" i="6" s="1"/>
  <c r="R115" i="6"/>
  <c r="R101" i="6"/>
  <c r="R100" i="6" s="1"/>
  <c r="R86" i="6"/>
  <c r="R85" i="6" s="1"/>
  <c r="R71" i="6"/>
  <c r="R70" i="6" s="1"/>
  <c r="R56" i="6"/>
  <c r="R55" i="6" s="1"/>
  <c r="R39" i="6"/>
  <c r="R38" i="6" s="1"/>
  <c r="R28" i="6"/>
  <c r="R27" i="6" s="1"/>
  <c r="T144" i="6"/>
  <c r="U144" i="6" s="1"/>
  <c r="V144" i="6" s="1"/>
  <c r="Q34" i="6" l="1"/>
  <c r="Q29" i="6"/>
  <c r="Q28" i="6" s="1"/>
  <c r="N29" i="6"/>
  <c r="Q27" i="6" l="1"/>
  <c r="Q16" i="6"/>
  <c r="Q187" i="6"/>
  <c r="Q179" i="6"/>
  <c r="Q173" i="6"/>
  <c r="Q150" i="6"/>
  <c r="Q119" i="6"/>
  <c r="Q102" i="6"/>
  <c r="Q118" i="6"/>
  <c r="Q117" i="6"/>
  <c r="Q104" i="6"/>
  <c r="N89" i="6"/>
  <c r="N88" i="6"/>
  <c r="N87" i="6"/>
  <c r="Q89" i="6"/>
  <c r="Q41" i="6"/>
  <c r="Q42" i="6"/>
  <c r="Q52" i="6"/>
  <c r="Q116" i="6" l="1"/>
  <c r="S174" i="6"/>
  <c r="S159" i="6"/>
  <c r="S146" i="6"/>
  <c r="S130" i="6"/>
  <c r="S113" i="6"/>
  <c r="S98" i="6"/>
  <c r="S83" i="6"/>
  <c r="S68" i="6"/>
  <c r="S53" i="6"/>
  <c r="S35" i="6"/>
  <c r="K34" i="6" l="1"/>
  <c r="K18" i="6"/>
  <c r="O18" i="6" s="1"/>
  <c r="K179" i="6"/>
  <c r="O179" i="6" s="1"/>
  <c r="K178" i="6"/>
  <c r="O178" i="6" s="1"/>
  <c r="K165" i="6"/>
  <c r="O165" i="6" s="1"/>
  <c r="K164" i="6"/>
  <c r="O164" i="6" s="1"/>
  <c r="K163" i="6"/>
  <c r="O163" i="6" s="1"/>
  <c r="K151" i="6"/>
  <c r="O151" i="6" s="1"/>
  <c r="K150" i="6"/>
  <c r="O150" i="6" s="1"/>
  <c r="K137" i="6"/>
  <c r="K136" i="6"/>
  <c r="O136" i="6" s="1"/>
  <c r="K135" i="6"/>
  <c r="O135" i="6" s="1"/>
  <c r="K134" i="6"/>
  <c r="O134" i="6" s="1"/>
  <c r="O133" i="6" s="1"/>
  <c r="K121" i="6"/>
  <c r="K119" i="6"/>
  <c r="O119" i="6" s="1"/>
  <c r="K118" i="6"/>
  <c r="O118" i="6" s="1"/>
  <c r="K117" i="6"/>
  <c r="O117" i="6" s="1"/>
  <c r="K104" i="6"/>
  <c r="O104" i="6" s="1"/>
  <c r="K103" i="6"/>
  <c r="O103" i="6" s="1"/>
  <c r="K102" i="6"/>
  <c r="O102" i="6" s="1"/>
  <c r="K89" i="6"/>
  <c r="O89" i="6" s="1"/>
  <c r="K88" i="6"/>
  <c r="O88" i="6" s="1"/>
  <c r="K87" i="6"/>
  <c r="O87" i="6" s="1"/>
  <c r="K75" i="6"/>
  <c r="K74" i="6"/>
  <c r="O74" i="6" s="1"/>
  <c r="K73" i="6"/>
  <c r="O73" i="6" s="1"/>
  <c r="K72" i="6"/>
  <c r="O72" i="6" s="1"/>
  <c r="K59" i="6"/>
  <c r="O59" i="6" s="1"/>
  <c r="K58" i="6"/>
  <c r="O58" i="6" s="1"/>
  <c r="K57" i="6"/>
  <c r="O57" i="6" s="1"/>
  <c r="K44" i="6"/>
  <c r="O44" i="6" s="1"/>
  <c r="K43" i="6"/>
  <c r="O43" i="6" s="1"/>
  <c r="K42" i="6"/>
  <c r="K41" i="6"/>
  <c r="K40" i="6"/>
  <c r="O40" i="6" s="1"/>
  <c r="K29" i="6"/>
  <c r="O29" i="6" s="1"/>
  <c r="T29" i="6" s="1"/>
  <c r="K19" i="6"/>
  <c r="O19" i="6" s="1"/>
  <c r="K17" i="6"/>
  <c r="O17" i="6" s="1"/>
  <c r="K16" i="6"/>
  <c r="O16" i="6" s="1"/>
  <c r="P15" i="6"/>
  <c r="N179" i="6"/>
  <c r="N178" i="6"/>
  <c r="N164" i="6"/>
  <c r="N165" i="6"/>
  <c r="N163" i="6"/>
  <c r="N150" i="6"/>
  <c r="N151" i="6"/>
  <c r="N135" i="6"/>
  <c r="N134" i="6"/>
  <c r="N137" i="6"/>
  <c r="N136" i="6"/>
  <c r="N118" i="6"/>
  <c r="N121" i="6"/>
  <c r="N119" i="6"/>
  <c r="N117" i="6"/>
  <c r="N104" i="6"/>
  <c r="N103" i="6"/>
  <c r="N102" i="6"/>
  <c r="N72" i="6"/>
  <c r="N73" i="6"/>
  <c r="N74" i="6"/>
  <c r="N59" i="6"/>
  <c r="N58" i="6"/>
  <c r="N57" i="6"/>
  <c r="N44" i="6"/>
  <c r="N40" i="6"/>
  <c r="N43" i="6"/>
  <c r="N42" i="6"/>
  <c r="N41" i="6"/>
  <c r="O15" i="6" l="1"/>
  <c r="N133" i="6"/>
  <c r="N132" i="6" s="1"/>
  <c r="O28" i="6"/>
  <c r="T117" i="6"/>
  <c r="M117" i="6"/>
  <c r="O149" i="6"/>
  <c r="O177" i="6"/>
  <c r="M42" i="6"/>
  <c r="O42" i="6"/>
  <c r="T42" i="6" s="1"/>
  <c r="O86" i="6"/>
  <c r="O116" i="6"/>
  <c r="O162" i="6"/>
  <c r="M41" i="6"/>
  <c r="O41" i="6"/>
  <c r="T41" i="6" s="1"/>
  <c r="V41" i="6" s="1"/>
  <c r="O39" i="6" l="1"/>
  <c r="V42" i="6"/>
  <c r="N18" i="6"/>
  <c r="N19" i="6"/>
  <c r="N17" i="6"/>
  <c r="N16" i="6"/>
  <c r="N15" i="6" s="1"/>
  <c r="V117" i="6" l="1"/>
  <c r="O163" i="4"/>
  <c r="Q19" i="6"/>
  <c r="Q59" i="6" l="1"/>
  <c r="P56" i="6"/>
  <c r="M60" i="6"/>
  <c r="M61" i="6"/>
  <c r="M62" i="6"/>
  <c r="M55" i="6"/>
  <c r="O27" i="6"/>
  <c r="M32" i="6"/>
  <c r="N197" i="4" l="1"/>
  <c r="N198" i="4"/>
  <c r="N168" i="4"/>
  <c r="N169" i="4"/>
  <c r="N133" i="4"/>
  <c r="N134" i="4"/>
  <c r="N102" i="4"/>
  <c r="N101" i="4"/>
  <c r="S73" i="4" l="1"/>
  <c r="N42" i="4"/>
  <c r="N71" i="4"/>
  <c r="I17" i="8"/>
  <c r="I18" i="8"/>
  <c r="M14" i="8"/>
  <c r="N14" i="8" s="1"/>
  <c r="M13" i="8"/>
  <c r="N13" i="8" s="1"/>
  <c r="M12" i="8"/>
  <c r="N12" i="8" s="1"/>
  <c r="M11" i="8"/>
  <c r="N11" i="8" s="1"/>
  <c r="M10" i="8"/>
  <c r="N10" i="8" s="1"/>
  <c r="J18" i="8"/>
  <c r="N174" i="4" l="1"/>
  <c r="T174" i="4" s="1"/>
  <c r="U174" i="4" s="1"/>
  <c r="R164" i="4"/>
  <c r="R35" i="4"/>
  <c r="O193" i="4" l="1"/>
  <c r="T182" i="6"/>
  <c r="S188" i="6"/>
  <c r="T168" i="6"/>
  <c r="Q165" i="6"/>
  <c r="T154" i="6"/>
  <c r="T140" i="6"/>
  <c r="T121" i="6"/>
  <c r="U121" i="6" s="1"/>
  <c r="V121" i="6" s="1"/>
  <c r="T124" i="6"/>
  <c r="Q129" i="6"/>
  <c r="T107" i="6"/>
  <c r="T92" i="6"/>
  <c r="Q97" i="6"/>
  <c r="T78" i="6"/>
  <c r="Q82" i="6"/>
  <c r="T62" i="6"/>
  <c r="T47" i="6"/>
  <c r="T32" i="6"/>
  <c r="T22" i="6" l="1"/>
  <c r="K15" i="8"/>
  <c r="K22" i="8"/>
  <c r="L22" i="8" s="1"/>
  <c r="H19" i="8"/>
  <c r="G19" i="8"/>
  <c r="F19" i="8"/>
  <c r="E19" i="8"/>
  <c r="D19" i="8"/>
  <c r="K18" i="8"/>
  <c r="L18" i="8" s="1"/>
  <c r="J17" i="8"/>
  <c r="J19" i="8" s="1"/>
  <c r="J14" i="8"/>
  <c r="K14" i="8" s="1"/>
  <c r="L14" i="8" s="1"/>
  <c r="J13" i="8"/>
  <c r="K13" i="8" s="1"/>
  <c r="L13" i="8" s="1"/>
  <c r="J12" i="8"/>
  <c r="K12" i="8" s="1"/>
  <c r="L12" i="8" s="1"/>
  <c r="J11" i="8"/>
  <c r="K11" i="8" s="1"/>
  <c r="L11" i="8" s="1"/>
  <c r="K10" i="8"/>
  <c r="I19" i="8" l="1"/>
  <c r="K16" i="8"/>
  <c r="L15" i="8"/>
  <c r="L10" i="8"/>
  <c r="J10" i="8"/>
  <c r="J16" i="8" s="1"/>
  <c r="N16" i="8" s="1"/>
  <c r="K17" i="8"/>
  <c r="O16" i="8" l="1"/>
  <c r="J23" i="8"/>
  <c r="L16" i="8"/>
  <c r="L17" i="8"/>
  <c r="L19" i="8" s="1"/>
  <c r="K19" i="8"/>
  <c r="K23" i="8" s="1"/>
  <c r="I16" i="8"/>
  <c r="L23" i="8" l="1"/>
  <c r="P172" i="4"/>
  <c r="P180" i="4"/>
  <c r="P188" i="4"/>
  <c r="O172" i="4"/>
  <c r="O188" i="4"/>
  <c r="P181" i="4" l="1"/>
  <c r="O181" i="4"/>
  <c r="O180" i="4"/>
  <c r="P177" i="4"/>
  <c r="P173" i="4"/>
  <c r="O173" i="4"/>
  <c r="N173" i="4" s="1"/>
  <c r="S200" i="4"/>
  <c r="K185" i="4"/>
  <c r="K177" i="4"/>
  <c r="J177" i="4" s="1"/>
  <c r="O176" i="4"/>
  <c r="N176" i="4" s="1"/>
  <c r="T176" i="4" s="1"/>
  <c r="U176" i="4" s="1"/>
  <c r="J176" i="4"/>
  <c r="O177" i="4" l="1"/>
  <c r="N177" i="4" s="1"/>
  <c r="T177" i="4" s="1"/>
  <c r="U177" i="4" s="1"/>
  <c r="P137" i="4"/>
  <c r="O137" i="4"/>
  <c r="S171" i="4"/>
  <c r="E162" i="4"/>
  <c r="F162" i="4"/>
  <c r="E165" i="4"/>
  <c r="F165" i="4"/>
  <c r="H165" i="4"/>
  <c r="I165" i="4"/>
  <c r="L161" i="4"/>
  <c r="K161" i="4"/>
  <c r="K158" i="4"/>
  <c r="L158" i="4"/>
  <c r="P158" i="4" s="1"/>
  <c r="L157" i="4"/>
  <c r="K157" i="4"/>
  <c r="L154" i="4"/>
  <c r="K154" i="4"/>
  <c r="L149" i="4"/>
  <c r="L148" i="4"/>
  <c r="K149" i="4"/>
  <c r="K148" i="4"/>
  <c r="L145" i="4"/>
  <c r="L137" i="4"/>
  <c r="K145" i="4"/>
  <c r="K137" i="4"/>
  <c r="O129" i="4"/>
  <c r="S136" i="4"/>
  <c r="L127" i="4"/>
  <c r="L124" i="4"/>
  <c r="K127" i="4"/>
  <c r="K124" i="4"/>
  <c r="L122" i="4"/>
  <c r="L115" i="4"/>
  <c r="K122" i="4"/>
  <c r="K115" i="4"/>
  <c r="L113" i="4"/>
  <c r="L104" i="4"/>
  <c r="P104" i="4" s="1"/>
  <c r="K113" i="4"/>
  <c r="K104" i="4"/>
  <c r="O104" i="4" s="1"/>
  <c r="O96" i="4"/>
  <c r="O97" i="4" s="1"/>
  <c r="S103" i="4"/>
  <c r="L94" i="4"/>
  <c r="L90" i="4"/>
  <c r="K94" i="4"/>
  <c r="K90" i="4"/>
  <c r="L88" i="4"/>
  <c r="L83" i="4"/>
  <c r="K83" i="4"/>
  <c r="K88" i="4"/>
  <c r="L81" i="4"/>
  <c r="L74" i="4"/>
  <c r="P74" i="4" s="1"/>
  <c r="K81" i="4"/>
  <c r="K74" i="4"/>
  <c r="O74" i="4" s="1"/>
  <c r="P45" i="4"/>
  <c r="O66" i="4"/>
  <c r="K61" i="4"/>
  <c r="K64" i="4"/>
  <c r="L64" i="4"/>
  <c r="L61" i="4"/>
  <c r="L59" i="4"/>
  <c r="L54" i="4"/>
  <c r="K45" i="4"/>
  <c r="O45" i="4" s="1"/>
  <c r="K54" i="4"/>
  <c r="K59" i="4"/>
  <c r="L45" i="4"/>
  <c r="L52" i="4"/>
  <c r="K52" i="4"/>
  <c r="F36" i="4"/>
  <c r="G36" i="4"/>
  <c r="H36" i="4"/>
  <c r="I36" i="4"/>
  <c r="E36" i="4"/>
  <c r="S44" i="4"/>
  <c r="K35" i="4" l="1"/>
  <c r="O35" i="4" s="1"/>
  <c r="K31" i="4"/>
  <c r="L35" i="4"/>
  <c r="P35" i="4" s="1"/>
  <c r="L31" i="4"/>
  <c r="L22" i="4"/>
  <c r="K24" i="4"/>
  <c r="K29" i="4"/>
  <c r="L24" i="4"/>
  <c r="L29" i="4"/>
  <c r="L12" i="4"/>
  <c r="P12" i="4" s="1"/>
  <c r="K12" i="4"/>
  <c r="O12" i="4" s="1"/>
  <c r="K22" i="4"/>
  <c r="M17" i="6" l="1"/>
  <c r="M18" i="6"/>
  <c r="M19" i="6"/>
  <c r="M23" i="6"/>
  <c r="M24" i="6"/>
  <c r="M20" i="6"/>
  <c r="M21" i="6"/>
  <c r="M22" i="6"/>
  <c r="M25" i="6"/>
  <c r="M26" i="6"/>
  <c r="M27" i="6"/>
  <c r="M28" i="6"/>
  <c r="M29" i="6"/>
  <c r="M34" i="6"/>
  <c r="M35" i="6"/>
  <c r="M33" i="6"/>
  <c r="M36" i="6"/>
  <c r="M37" i="6"/>
  <c r="M38" i="6"/>
  <c r="M39" i="6"/>
  <c r="M40" i="6"/>
  <c r="M43" i="6"/>
  <c r="M44" i="6"/>
  <c r="M48" i="6"/>
  <c r="M50" i="6"/>
  <c r="M51" i="6"/>
  <c r="M53" i="6"/>
  <c r="M56" i="6"/>
  <c r="M57" i="6"/>
  <c r="M58" i="6"/>
  <c r="M59" i="6"/>
  <c r="M63" i="6"/>
  <c r="M64" i="6"/>
  <c r="M65" i="6"/>
  <c r="M66" i="6"/>
  <c r="M67" i="6"/>
  <c r="M68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5" i="6"/>
  <c r="M116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U187" i="6" s="1"/>
  <c r="V187" i="6" s="1"/>
  <c r="M188" i="6"/>
  <c r="F67" i="6" l="1"/>
  <c r="G67" i="6"/>
  <c r="H67" i="6"/>
  <c r="I67" i="6"/>
  <c r="F23" i="6"/>
  <c r="G23" i="6"/>
  <c r="H23" i="6"/>
  <c r="I23" i="6"/>
  <c r="Q23" i="6" l="1"/>
  <c r="S24" i="6"/>
  <c r="F112" i="6"/>
  <c r="G112" i="6"/>
  <c r="Q112" i="6" s="1"/>
  <c r="H112" i="6"/>
  <c r="I112" i="6"/>
  <c r="N199" i="4" l="1"/>
  <c r="T199" i="4"/>
  <c r="U199" i="4" s="1"/>
  <c r="T135" i="4"/>
  <c r="U135" i="4" s="1"/>
  <c r="N135" i="4"/>
  <c r="T102" i="4"/>
  <c r="U102" i="4" s="1"/>
  <c r="T72" i="4"/>
  <c r="U72" i="4" s="1"/>
  <c r="N72" i="4"/>
  <c r="Q44" i="4"/>
  <c r="T43" i="4"/>
  <c r="U43" i="4" s="1"/>
  <c r="N43" i="4"/>
  <c r="N170" i="4"/>
  <c r="U170" i="4"/>
  <c r="T184" i="6" l="1"/>
  <c r="U184" i="6" s="1"/>
  <c r="V184" i="6" s="1"/>
  <c r="T183" i="6"/>
  <c r="U183" i="6" s="1"/>
  <c r="V183" i="6" s="1"/>
  <c r="T170" i="6"/>
  <c r="U170" i="6" s="1"/>
  <c r="V170" i="6" s="1"/>
  <c r="T169" i="6"/>
  <c r="U169" i="6" s="1"/>
  <c r="V169" i="6" s="1"/>
  <c r="T155" i="6"/>
  <c r="U155" i="6" s="1"/>
  <c r="V155" i="6" s="1"/>
  <c r="U142" i="6"/>
  <c r="V142" i="6" s="1"/>
  <c r="T141" i="6"/>
  <c r="T126" i="6"/>
  <c r="U126" i="6" s="1"/>
  <c r="V126" i="6" s="1"/>
  <c r="T125" i="6"/>
  <c r="U125" i="6" s="1"/>
  <c r="V125" i="6" s="1"/>
  <c r="T109" i="6"/>
  <c r="U109" i="6" s="1"/>
  <c r="V109" i="6" s="1"/>
  <c r="T108" i="6"/>
  <c r="U108" i="6" s="1"/>
  <c r="V108" i="6" s="1"/>
  <c r="U141" i="6" l="1"/>
  <c r="V141" i="6" s="1"/>
  <c r="T94" i="6"/>
  <c r="U94" i="6" s="1"/>
  <c r="V94" i="6" s="1"/>
  <c r="T93" i="6"/>
  <c r="U93" i="6" s="1"/>
  <c r="V93" i="6" s="1"/>
  <c r="T79" i="6"/>
  <c r="U79" i="6" s="1"/>
  <c r="V79" i="6" s="1"/>
  <c r="T64" i="6"/>
  <c r="U64" i="6" s="1"/>
  <c r="V64" i="6" s="1"/>
  <c r="T63" i="6"/>
  <c r="U63" i="6" s="1"/>
  <c r="V63" i="6" s="1"/>
  <c r="T49" i="6"/>
  <c r="U49" i="6" s="1"/>
  <c r="V49" i="6" s="1"/>
  <c r="T48" i="6"/>
  <c r="U48" i="6" s="1"/>
  <c r="V48" i="6" s="1"/>
  <c r="T33" i="6"/>
  <c r="U33" i="6" s="1"/>
  <c r="V33" i="6" s="1"/>
  <c r="T25" i="6"/>
  <c r="U25" i="6" s="1"/>
  <c r="V25" i="6" s="1"/>
  <c r="P14" i="6" l="1"/>
  <c r="N196" i="4" l="1"/>
  <c r="N100" i="4"/>
  <c r="N99" i="4"/>
  <c r="N70" i="4"/>
  <c r="N69" i="4"/>
  <c r="N40" i="4"/>
  <c r="K186" i="4" l="1"/>
  <c r="N132" i="4" l="1"/>
  <c r="J185" i="4"/>
  <c r="T37" i="6"/>
  <c r="U37" i="6" s="1"/>
  <c r="V37" i="6" s="1"/>
  <c r="T51" i="6"/>
  <c r="U51" i="6" s="1"/>
  <c r="V51" i="6" s="1"/>
  <c r="T66" i="6"/>
  <c r="U66" i="6" s="1"/>
  <c r="V66" i="6" s="1"/>
  <c r="T81" i="6"/>
  <c r="U81" i="6" s="1"/>
  <c r="V81" i="6" s="1"/>
  <c r="T96" i="6"/>
  <c r="U96" i="6" s="1"/>
  <c r="V96" i="6" s="1"/>
  <c r="T111" i="6"/>
  <c r="U111" i="6" s="1"/>
  <c r="V111" i="6" s="1"/>
  <c r="U128" i="6"/>
  <c r="V128" i="6" s="1"/>
  <c r="T128" i="6"/>
  <c r="T157" i="6"/>
  <c r="U157" i="6" s="1"/>
  <c r="V157" i="6" s="1"/>
  <c r="T172" i="6"/>
  <c r="U172" i="6" s="1"/>
  <c r="V172" i="6" s="1"/>
  <c r="T186" i="6"/>
  <c r="U186" i="6" s="1"/>
  <c r="V186" i="6" s="1"/>
  <c r="T39" i="4"/>
  <c r="U39" i="4" s="1"/>
  <c r="T68" i="4"/>
  <c r="U68" i="4" s="1"/>
  <c r="Q73" i="4"/>
  <c r="Q200" i="4"/>
  <c r="Q171" i="4"/>
  <c r="Q136" i="4"/>
  <c r="Q103" i="4"/>
  <c r="T98" i="4"/>
  <c r="U98" i="4" s="1"/>
  <c r="T131" i="4"/>
  <c r="U131" i="4" s="1"/>
  <c r="T166" i="4"/>
  <c r="U166" i="4" s="1"/>
  <c r="T195" i="4"/>
  <c r="U195" i="4" s="1"/>
  <c r="N195" i="4"/>
  <c r="N39" i="4"/>
  <c r="N68" i="4"/>
  <c r="N98" i="4"/>
  <c r="N131" i="4"/>
  <c r="N166" i="4"/>
  <c r="N167" i="4" l="1"/>
  <c r="N164" i="4"/>
  <c r="T164" i="4" s="1"/>
  <c r="U164" i="4" s="1"/>
  <c r="N35" i="4"/>
  <c r="T171" i="6"/>
  <c r="U171" i="6" s="1"/>
  <c r="V171" i="6" s="1"/>
  <c r="T185" i="6"/>
  <c r="U185" i="6" s="1"/>
  <c r="V185" i="6" s="1"/>
  <c r="T156" i="6"/>
  <c r="U156" i="6" s="1"/>
  <c r="V156" i="6" s="1"/>
  <c r="T143" i="6"/>
  <c r="T127" i="6"/>
  <c r="U127" i="6" s="1"/>
  <c r="V127" i="6" s="1"/>
  <c r="T110" i="6"/>
  <c r="U110" i="6" s="1"/>
  <c r="V110" i="6" s="1"/>
  <c r="T95" i="6"/>
  <c r="U95" i="6" s="1"/>
  <c r="V95" i="6" s="1"/>
  <c r="T80" i="6"/>
  <c r="U80" i="6" s="1"/>
  <c r="V80" i="6" s="1"/>
  <c r="T65" i="6"/>
  <c r="U65" i="6" s="1"/>
  <c r="V65" i="6" s="1"/>
  <c r="T50" i="6"/>
  <c r="U50" i="6" s="1"/>
  <c r="V50" i="6" s="1"/>
  <c r="T36" i="6"/>
  <c r="U36" i="6" s="1"/>
  <c r="V36" i="6" s="1"/>
  <c r="X172" i="4"/>
  <c r="X181" i="4"/>
  <c r="U143" i="6" l="1"/>
  <c r="V143" i="6" s="1"/>
  <c r="X164" i="4"/>
  <c r="R165" i="4"/>
  <c r="Y172" i="4" l="1"/>
  <c r="R192" i="4"/>
  <c r="J35" i="4" l="1"/>
  <c r="T35" i="4" l="1"/>
  <c r="U35" i="4" s="1"/>
  <c r="I200" i="4"/>
  <c r="H200" i="4"/>
  <c r="G200" i="4"/>
  <c r="H162" i="4"/>
  <c r="I162" i="4"/>
  <c r="T167" i="6" l="1"/>
  <c r="U167" i="6" s="1"/>
  <c r="V167" i="6" s="1"/>
  <c r="J66" i="4" l="1"/>
  <c r="V123" i="6" l="1"/>
  <c r="U123" i="6"/>
  <c r="V122" i="6"/>
  <c r="U122" i="6"/>
  <c r="T181" i="6" l="1"/>
  <c r="V166" i="6"/>
  <c r="U166" i="6"/>
  <c r="U162" i="6" s="1"/>
  <c r="V152" i="6"/>
  <c r="U152" i="6"/>
  <c r="U149" i="6" s="1"/>
  <c r="V138" i="6"/>
  <c r="U138" i="6"/>
  <c r="T138" i="6"/>
  <c r="V105" i="6"/>
  <c r="U105" i="6"/>
  <c r="V90" i="6"/>
  <c r="U90" i="6"/>
  <c r="U86" i="6" s="1"/>
  <c r="U77" i="6"/>
  <c r="V77" i="6"/>
  <c r="V76" i="6"/>
  <c r="U76" i="6"/>
  <c r="T76" i="6"/>
  <c r="V46" i="6"/>
  <c r="U46" i="6"/>
  <c r="T46" i="6"/>
  <c r="V61" i="6"/>
  <c r="U61" i="6"/>
  <c r="V60" i="6"/>
  <c r="U60" i="6"/>
  <c r="T60" i="6"/>
  <c r="T61" i="6"/>
  <c r="V45" i="6"/>
  <c r="U45" i="6"/>
  <c r="T45" i="6"/>
  <c r="V31" i="6"/>
  <c r="U31" i="6"/>
  <c r="T31" i="6"/>
  <c r="V30" i="6"/>
  <c r="U30" i="6"/>
  <c r="T30" i="6"/>
  <c r="V20" i="6"/>
  <c r="U20" i="6"/>
  <c r="U15" i="6" s="1"/>
  <c r="T21" i="6"/>
  <c r="T20" i="6"/>
  <c r="U39" i="6" l="1"/>
  <c r="U71" i="6"/>
  <c r="T196" i="4"/>
  <c r="U196" i="4" s="1"/>
  <c r="T168" i="4" l="1"/>
  <c r="U168" i="4" s="1"/>
  <c r="T167" i="4"/>
  <c r="U167" i="4" s="1"/>
  <c r="T133" i="4"/>
  <c r="U133" i="4" s="1"/>
  <c r="T132" i="4"/>
  <c r="U132" i="4" s="1"/>
  <c r="U100" i="4"/>
  <c r="T99" i="4"/>
  <c r="U99" i="4" s="1"/>
  <c r="T41" i="4" l="1"/>
  <c r="U41" i="4" s="1"/>
  <c r="T40" i="4"/>
  <c r="U40" i="4" s="1"/>
  <c r="T69" i="4"/>
  <c r="U69" i="4" s="1"/>
  <c r="P162" i="6"/>
  <c r="P177" i="6"/>
  <c r="P176" i="6" s="1"/>
  <c r="P149" i="6"/>
  <c r="P148" i="6" s="1"/>
  <c r="P133" i="6"/>
  <c r="P132" i="6" s="1"/>
  <c r="P116" i="6"/>
  <c r="P115" i="6" s="1"/>
  <c r="P101" i="6"/>
  <c r="P100" i="6" s="1"/>
  <c r="P86" i="6"/>
  <c r="P85" i="6" s="1"/>
  <c r="P71" i="6"/>
  <c r="P70" i="6" s="1"/>
  <c r="P55" i="6"/>
  <c r="P39" i="6"/>
  <c r="P38" i="6" s="1"/>
  <c r="P28" i="6"/>
  <c r="P27" i="6" s="1"/>
  <c r="U70" i="4" l="1"/>
  <c r="Q201" i="4"/>
  <c r="T28" i="6"/>
  <c r="W172" i="4" l="1"/>
  <c r="W173" i="4"/>
  <c r="W180" i="4"/>
  <c r="W181" i="4"/>
  <c r="J74" i="4"/>
  <c r="S201" i="4"/>
  <c r="T180" i="6"/>
  <c r="T166" i="6"/>
  <c r="P161" i="6"/>
  <c r="P190" i="6" s="1"/>
  <c r="T153" i="6"/>
  <c r="T152" i="6"/>
  <c r="T139" i="6"/>
  <c r="T123" i="6"/>
  <c r="T122" i="6"/>
  <c r="T106" i="6"/>
  <c r="T105" i="6"/>
  <c r="T91" i="6"/>
  <c r="T90" i="6"/>
  <c r="T77" i="6"/>
  <c r="S27" i="6"/>
  <c r="F173" i="6"/>
  <c r="E173" i="6"/>
  <c r="Q164" i="6"/>
  <c r="Q163" i="6"/>
  <c r="I145" i="6"/>
  <c r="H145" i="6"/>
  <c r="F145" i="6"/>
  <c r="E145" i="6"/>
  <c r="Q137" i="6"/>
  <c r="Q136" i="6"/>
  <c r="Q135" i="6"/>
  <c r="E112" i="6"/>
  <c r="N112" i="6" s="1"/>
  <c r="N101" i="6" s="1"/>
  <c r="N100" i="6" s="1"/>
  <c r="F82" i="6"/>
  <c r="E82" i="6"/>
  <c r="G75" i="6"/>
  <c r="O75" i="6" s="1"/>
  <c r="O71" i="6" s="1"/>
  <c r="Q74" i="6"/>
  <c r="Q73" i="6"/>
  <c r="Q72" i="6"/>
  <c r="E67" i="6"/>
  <c r="Q67" i="6" s="1"/>
  <c r="Q58" i="6"/>
  <c r="Q57" i="6"/>
  <c r="N34" i="6"/>
  <c r="E23" i="6"/>
  <c r="N23" i="6" s="1"/>
  <c r="N14" i="6" s="1"/>
  <c r="M16" i="6"/>
  <c r="R194" i="4"/>
  <c r="P194" i="4"/>
  <c r="M194" i="4"/>
  <c r="I194" i="4"/>
  <c r="H194" i="4"/>
  <c r="F194" i="4"/>
  <c r="E194" i="4"/>
  <c r="J193" i="4"/>
  <c r="I192" i="4"/>
  <c r="H192" i="4"/>
  <c r="G192" i="4"/>
  <c r="F192" i="4"/>
  <c r="E192" i="4"/>
  <c r="J191" i="4"/>
  <c r="T191" i="4"/>
  <c r="U191" i="4" s="1"/>
  <c r="J190" i="4"/>
  <c r="T190" i="4"/>
  <c r="U190" i="4" s="1"/>
  <c r="P192" i="4"/>
  <c r="U186" i="4"/>
  <c r="T186" i="4"/>
  <c r="J186" i="4"/>
  <c r="O186" i="4"/>
  <c r="N186" i="4" s="1"/>
  <c r="U184" i="4"/>
  <c r="T184" i="4"/>
  <c r="J184" i="4"/>
  <c r="O184" i="4"/>
  <c r="N184" i="4" s="1"/>
  <c r="U183" i="4"/>
  <c r="T183" i="4"/>
  <c r="J183" i="4"/>
  <c r="O183" i="4"/>
  <c r="N183" i="4" s="1"/>
  <c r="N181" i="4"/>
  <c r="T181" i="4" s="1"/>
  <c r="U181" i="4" s="1"/>
  <c r="J178" i="4"/>
  <c r="G178" i="4"/>
  <c r="O178" i="4" s="1"/>
  <c r="N178" i="4" s="1"/>
  <c r="T178" i="4" s="1"/>
  <c r="U178" i="4" s="1"/>
  <c r="J175" i="4"/>
  <c r="O175" i="4"/>
  <c r="N175" i="4" s="1"/>
  <c r="T175" i="4" s="1"/>
  <c r="U175" i="4" s="1"/>
  <c r="P165" i="4"/>
  <c r="M165" i="4"/>
  <c r="J163" i="4"/>
  <c r="J161" i="4"/>
  <c r="T161" i="4" s="1"/>
  <c r="G161" i="4"/>
  <c r="U160" i="4"/>
  <c r="T160" i="4"/>
  <c r="J160" i="4"/>
  <c r="G160" i="4"/>
  <c r="O160" i="4" s="1"/>
  <c r="N160" i="4" s="1"/>
  <c r="J158" i="4"/>
  <c r="J157" i="4"/>
  <c r="T157" i="4" s="1"/>
  <c r="G162" i="4"/>
  <c r="I156" i="4"/>
  <c r="H156" i="4"/>
  <c r="F156" i="4"/>
  <c r="E156" i="4"/>
  <c r="J155" i="4"/>
  <c r="U155" i="4" s="1"/>
  <c r="G155" i="4"/>
  <c r="O155" i="4" s="1"/>
  <c r="N155" i="4" s="1"/>
  <c r="R154" i="4"/>
  <c r="J154" i="4"/>
  <c r="T154" i="4" s="1"/>
  <c r="U153" i="4"/>
  <c r="T153" i="4"/>
  <c r="J153" i="4"/>
  <c r="O153" i="4"/>
  <c r="N153" i="4" s="1"/>
  <c r="U152" i="4"/>
  <c r="T152" i="4"/>
  <c r="J152" i="4"/>
  <c r="O152" i="4"/>
  <c r="N152" i="4" s="1"/>
  <c r="U151" i="4"/>
  <c r="T151" i="4"/>
  <c r="J151" i="4"/>
  <c r="O151" i="4"/>
  <c r="N151" i="4" s="1"/>
  <c r="J149" i="4"/>
  <c r="R149" i="4"/>
  <c r="J148" i="4"/>
  <c r="T148" i="4" s="1"/>
  <c r="P148" i="4"/>
  <c r="I147" i="4"/>
  <c r="H147" i="4"/>
  <c r="H171" i="4" s="1"/>
  <c r="F147" i="4"/>
  <c r="F171" i="4" s="1"/>
  <c r="E147" i="4"/>
  <c r="E171" i="4" s="1"/>
  <c r="J146" i="4"/>
  <c r="U146" i="4" s="1"/>
  <c r="G146" i="4"/>
  <c r="O146" i="4" s="1"/>
  <c r="N146" i="4" s="1"/>
  <c r="J145" i="4"/>
  <c r="T145" i="4" s="1"/>
  <c r="R145" i="4"/>
  <c r="U144" i="4"/>
  <c r="T144" i="4"/>
  <c r="J144" i="4"/>
  <c r="O144" i="4"/>
  <c r="N144" i="4" s="1"/>
  <c r="U143" i="4"/>
  <c r="T143" i="4"/>
  <c r="J143" i="4"/>
  <c r="O143" i="4"/>
  <c r="N143" i="4" s="1"/>
  <c r="U142" i="4"/>
  <c r="T142" i="4"/>
  <c r="J142" i="4"/>
  <c r="O142" i="4"/>
  <c r="N142" i="4" s="1"/>
  <c r="U141" i="4"/>
  <c r="T141" i="4"/>
  <c r="J141" i="4"/>
  <c r="O141" i="4"/>
  <c r="N141" i="4" s="1"/>
  <c r="U140" i="4"/>
  <c r="T140" i="4"/>
  <c r="J140" i="4"/>
  <c r="O140" i="4"/>
  <c r="N140" i="4" s="1"/>
  <c r="U139" i="4"/>
  <c r="T139" i="4"/>
  <c r="J139" i="4"/>
  <c r="O139" i="4"/>
  <c r="N139" i="4" s="1"/>
  <c r="J137" i="4"/>
  <c r="R130" i="4"/>
  <c r="P130" i="4"/>
  <c r="M130" i="4"/>
  <c r="I130" i="4"/>
  <c r="H130" i="4"/>
  <c r="F130" i="4"/>
  <c r="E130" i="4"/>
  <c r="J129" i="4"/>
  <c r="I128" i="4"/>
  <c r="H128" i="4"/>
  <c r="F128" i="4"/>
  <c r="E128" i="4"/>
  <c r="G127" i="4"/>
  <c r="P127" i="4" s="1"/>
  <c r="U126" i="4"/>
  <c r="T126" i="4"/>
  <c r="J126" i="4"/>
  <c r="G126" i="4"/>
  <c r="O126" i="4" s="1"/>
  <c r="N126" i="4" s="1"/>
  <c r="J124" i="4"/>
  <c r="I123" i="4"/>
  <c r="H123" i="4"/>
  <c r="F123" i="4"/>
  <c r="E123" i="4"/>
  <c r="J122" i="4"/>
  <c r="T122" i="4" s="1"/>
  <c r="R122" i="4"/>
  <c r="U121" i="4"/>
  <c r="T121" i="4"/>
  <c r="J121" i="4"/>
  <c r="O121" i="4"/>
  <c r="N121" i="4" s="1"/>
  <c r="U120" i="4"/>
  <c r="T120" i="4"/>
  <c r="J120" i="4"/>
  <c r="O120" i="4"/>
  <c r="N120" i="4" s="1"/>
  <c r="U119" i="4"/>
  <c r="T119" i="4"/>
  <c r="J119" i="4"/>
  <c r="O119" i="4"/>
  <c r="N119" i="4" s="1"/>
  <c r="U118" i="4"/>
  <c r="T118" i="4"/>
  <c r="J118" i="4"/>
  <c r="O118" i="4"/>
  <c r="N118" i="4" s="1"/>
  <c r="U117" i="4"/>
  <c r="T117" i="4"/>
  <c r="J117" i="4"/>
  <c r="O117" i="4"/>
  <c r="N117" i="4" s="1"/>
  <c r="J115" i="4"/>
  <c r="I114" i="4"/>
  <c r="H114" i="4"/>
  <c r="H136" i="4" s="1"/>
  <c r="F114" i="4"/>
  <c r="F136" i="4" s="1"/>
  <c r="E114" i="4"/>
  <c r="E136" i="4" s="1"/>
  <c r="J113" i="4"/>
  <c r="R113" i="4"/>
  <c r="U112" i="4"/>
  <c r="T112" i="4"/>
  <c r="J112" i="4"/>
  <c r="O112" i="4"/>
  <c r="N112" i="4" s="1"/>
  <c r="U111" i="4"/>
  <c r="T111" i="4"/>
  <c r="J111" i="4"/>
  <c r="O111" i="4"/>
  <c r="N111" i="4" s="1"/>
  <c r="U110" i="4"/>
  <c r="T110" i="4"/>
  <c r="J110" i="4"/>
  <c r="O110" i="4"/>
  <c r="N110" i="4" s="1"/>
  <c r="U109" i="4"/>
  <c r="T109" i="4"/>
  <c r="J109" i="4"/>
  <c r="O109" i="4"/>
  <c r="N109" i="4" s="1"/>
  <c r="U108" i="4"/>
  <c r="T108" i="4"/>
  <c r="J108" i="4"/>
  <c r="O108" i="4"/>
  <c r="N108" i="4" s="1"/>
  <c r="U107" i="4"/>
  <c r="T107" i="4"/>
  <c r="J107" i="4"/>
  <c r="O107" i="4"/>
  <c r="N107" i="4" s="1"/>
  <c r="U106" i="4"/>
  <c r="T106" i="4"/>
  <c r="J106" i="4"/>
  <c r="O106" i="4"/>
  <c r="N106" i="4" s="1"/>
  <c r="J104" i="4"/>
  <c r="R97" i="4"/>
  <c r="P97" i="4"/>
  <c r="M97" i="4"/>
  <c r="I97" i="4"/>
  <c r="H97" i="4"/>
  <c r="F97" i="4"/>
  <c r="E97" i="4"/>
  <c r="J96" i="4"/>
  <c r="I95" i="4"/>
  <c r="H95" i="4"/>
  <c r="F95" i="4"/>
  <c r="E95" i="4"/>
  <c r="J94" i="4"/>
  <c r="G94" i="4"/>
  <c r="U93" i="4"/>
  <c r="T93" i="4"/>
  <c r="J93" i="4"/>
  <c r="G93" i="4"/>
  <c r="O93" i="4" s="1"/>
  <c r="N93" i="4" s="1"/>
  <c r="U92" i="4"/>
  <c r="T92" i="4"/>
  <c r="J92" i="4"/>
  <c r="G92" i="4"/>
  <c r="O92" i="4" s="1"/>
  <c r="N92" i="4" s="1"/>
  <c r="J90" i="4"/>
  <c r="I89" i="4"/>
  <c r="H89" i="4"/>
  <c r="F89" i="4"/>
  <c r="E89" i="4"/>
  <c r="J88" i="4"/>
  <c r="T88" i="4" s="1"/>
  <c r="R88" i="4"/>
  <c r="U87" i="4"/>
  <c r="T87" i="4"/>
  <c r="J87" i="4"/>
  <c r="O87" i="4"/>
  <c r="N87" i="4" s="1"/>
  <c r="U86" i="4"/>
  <c r="T86" i="4"/>
  <c r="J86" i="4"/>
  <c r="O86" i="4"/>
  <c r="N86" i="4" s="1"/>
  <c r="U85" i="4"/>
  <c r="T85" i="4"/>
  <c r="J85" i="4"/>
  <c r="O85" i="4"/>
  <c r="N85" i="4" s="1"/>
  <c r="J83" i="4"/>
  <c r="G89" i="4"/>
  <c r="I82" i="4"/>
  <c r="I103" i="4" s="1"/>
  <c r="H82" i="4"/>
  <c r="H103" i="4" s="1"/>
  <c r="F82" i="4"/>
  <c r="F103" i="4" s="1"/>
  <c r="E82" i="4"/>
  <c r="E103" i="4" s="1"/>
  <c r="J81" i="4"/>
  <c r="R81" i="4"/>
  <c r="U80" i="4"/>
  <c r="T80" i="4"/>
  <c r="J80" i="4"/>
  <c r="O80" i="4"/>
  <c r="N80" i="4" s="1"/>
  <c r="U79" i="4"/>
  <c r="T79" i="4"/>
  <c r="J79" i="4"/>
  <c r="O79" i="4"/>
  <c r="N79" i="4" s="1"/>
  <c r="U78" i="4"/>
  <c r="T78" i="4"/>
  <c r="J78" i="4"/>
  <c r="O78" i="4"/>
  <c r="N78" i="4" s="1"/>
  <c r="U77" i="4"/>
  <c r="T77" i="4"/>
  <c r="J77" i="4"/>
  <c r="O77" i="4"/>
  <c r="N77" i="4" s="1"/>
  <c r="U76" i="4"/>
  <c r="T76" i="4"/>
  <c r="J76" i="4"/>
  <c r="O76" i="4"/>
  <c r="N76" i="4" s="1"/>
  <c r="R67" i="4"/>
  <c r="P67" i="4"/>
  <c r="M67" i="4"/>
  <c r="I67" i="4"/>
  <c r="H67" i="4"/>
  <c r="F67" i="4"/>
  <c r="E67" i="4"/>
  <c r="O67" i="4"/>
  <c r="I65" i="4"/>
  <c r="H65" i="4"/>
  <c r="F65" i="4"/>
  <c r="E65" i="4"/>
  <c r="R64" i="4"/>
  <c r="P64" i="4"/>
  <c r="U64" i="4"/>
  <c r="U63" i="4"/>
  <c r="T63" i="4"/>
  <c r="J63" i="4"/>
  <c r="O63" i="4"/>
  <c r="N63" i="4" s="1"/>
  <c r="J61" i="4"/>
  <c r="I60" i="4"/>
  <c r="H60" i="4"/>
  <c r="F60" i="4"/>
  <c r="E60" i="4"/>
  <c r="J59" i="4"/>
  <c r="T59" i="4" s="1"/>
  <c r="G59" i="4"/>
  <c r="R59" i="4" s="1"/>
  <c r="U58" i="4"/>
  <c r="T58" i="4"/>
  <c r="J58" i="4"/>
  <c r="O58" i="4"/>
  <c r="N58" i="4" s="1"/>
  <c r="U57" i="4"/>
  <c r="T57" i="4"/>
  <c r="J57" i="4"/>
  <c r="O57" i="4"/>
  <c r="N57" i="4" s="1"/>
  <c r="U56" i="4"/>
  <c r="T56" i="4"/>
  <c r="J56" i="4"/>
  <c r="O56" i="4"/>
  <c r="N56" i="4" s="1"/>
  <c r="J54" i="4"/>
  <c r="I53" i="4"/>
  <c r="H53" i="4"/>
  <c r="H73" i="4" s="1"/>
  <c r="F53" i="4"/>
  <c r="F73" i="4" s="1"/>
  <c r="E53" i="4"/>
  <c r="E73" i="4" s="1"/>
  <c r="R52" i="4"/>
  <c r="P52" i="4"/>
  <c r="J52" i="4"/>
  <c r="U51" i="4"/>
  <c r="T51" i="4"/>
  <c r="J51" i="4"/>
  <c r="O51" i="4"/>
  <c r="N51" i="4" s="1"/>
  <c r="U50" i="4"/>
  <c r="T50" i="4"/>
  <c r="J50" i="4"/>
  <c r="O50" i="4"/>
  <c r="N50" i="4" s="1"/>
  <c r="U49" i="4"/>
  <c r="T49" i="4"/>
  <c r="J49" i="4"/>
  <c r="O49" i="4"/>
  <c r="N49" i="4" s="1"/>
  <c r="U48" i="4"/>
  <c r="T48" i="4"/>
  <c r="J48" i="4"/>
  <c r="O48" i="4"/>
  <c r="N48" i="4" s="1"/>
  <c r="U47" i="4"/>
  <c r="T47" i="4"/>
  <c r="J47" i="4"/>
  <c r="O47" i="4"/>
  <c r="N47" i="4" s="1"/>
  <c r="J45" i="4"/>
  <c r="R38" i="4"/>
  <c r="P38" i="4"/>
  <c r="M38" i="4"/>
  <c r="I38" i="4"/>
  <c r="H38" i="4"/>
  <c r="F38" i="4"/>
  <c r="E38" i="4"/>
  <c r="J37" i="4"/>
  <c r="O37" i="4" s="1"/>
  <c r="U34" i="4"/>
  <c r="T34" i="4"/>
  <c r="U33" i="4"/>
  <c r="T33" i="4"/>
  <c r="J33" i="4"/>
  <c r="G33" i="4"/>
  <c r="O33" i="4" s="1"/>
  <c r="N33" i="4" s="1"/>
  <c r="J31" i="4"/>
  <c r="P31" i="4"/>
  <c r="P36" i="4" s="1"/>
  <c r="I30" i="4"/>
  <c r="H30" i="4"/>
  <c r="F30" i="4"/>
  <c r="E30" i="4"/>
  <c r="J29" i="4"/>
  <c r="R29" i="4"/>
  <c r="U28" i="4"/>
  <c r="T28" i="4"/>
  <c r="J28" i="4"/>
  <c r="O28" i="4"/>
  <c r="N28" i="4" s="1"/>
  <c r="U27" i="4"/>
  <c r="T27" i="4"/>
  <c r="J27" i="4"/>
  <c r="O27" i="4"/>
  <c r="N27" i="4" s="1"/>
  <c r="U26" i="4"/>
  <c r="T26" i="4"/>
  <c r="J26" i="4"/>
  <c r="O26" i="4"/>
  <c r="N26" i="4" s="1"/>
  <c r="J24" i="4"/>
  <c r="I23" i="4"/>
  <c r="H23" i="4"/>
  <c r="F23" i="4"/>
  <c r="F44" i="4" s="1"/>
  <c r="E23" i="4"/>
  <c r="E44" i="4" s="1"/>
  <c r="J22" i="4"/>
  <c r="T22" i="4" s="1"/>
  <c r="U21" i="4"/>
  <c r="T21" i="4"/>
  <c r="J21" i="4"/>
  <c r="O21" i="4"/>
  <c r="N21" i="4" s="1"/>
  <c r="U20" i="4"/>
  <c r="T20" i="4"/>
  <c r="J20" i="4"/>
  <c r="G20" i="4"/>
  <c r="O20" i="4" s="1"/>
  <c r="N20" i="4" s="1"/>
  <c r="U19" i="4"/>
  <c r="T19" i="4"/>
  <c r="J19" i="4"/>
  <c r="O19" i="4"/>
  <c r="N19" i="4" s="1"/>
  <c r="U18" i="4"/>
  <c r="T18" i="4"/>
  <c r="J18" i="4"/>
  <c r="O18" i="4"/>
  <c r="N18" i="4" s="1"/>
  <c r="U17" i="4"/>
  <c r="T17" i="4"/>
  <c r="J17" i="4"/>
  <c r="O17" i="4"/>
  <c r="N17" i="4" s="1"/>
  <c r="U16" i="4"/>
  <c r="T16" i="4"/>
  <c r="J16" i="4"/>
  <c r="O16" i="4"/>
  <c r="N16" i="4" s="1"/>
  <c r="U15" i="4"/>
  <c r="T15" i="4"/>
  <c r="J15" i="4"/>
  <c r="O15" i="4"/>
  <c r="N15" i="4" s="1"/>
  <c r="U14" i="4"/>
  <c r="T14" i="4"/>
  <c r="J14" i="4"/>
  <c r="G14" i="4"/>
  <c r="O14" i="4" s="1"/>
  <c r="N14" i="4" s="1"/>
  <c r="J12" i="4"/>
  <c r="Q22" i="3"/>
  <c r="Q75" i="6" l="1"/>
  <c r="T75" i="6" s="1"/>
  <c r="V75" i="6" s="1"/>
  <c r="N75" i="6"/>
  <c r="Q71" i="6"/>
  <c r="N28" i="6"/>
  <c r="N27" i="6" s="1"/>
  <c r="T34" i="6"/>
  <c r="G165" i="4"/>
  <c r="G38" i="4"/>
  <c r="H44" i="4"/>
  <c r="X27" i="6"/>
  <c r="Y27" i="6" s="1"/>
  <c r="I44" i="4"/>
  <c r="I171" i="4"/>
  <c r="I73" i="4"/>
  <c r="I136" i="4"/>
  <c r="R22" i="4"/>
  <c r="R23" i="4" s="1"/>
  <c r="O22" i="4"/>
  <c r="R31" i="4"/>
  <c r="R36" i="4" s="1"/>
  <c r="R61" i="4"/>
  <c r="R65" i="4" s="1"/>
  <c r="P61" i="4"/>
  <c r="G114" i="4"/>
  <c r="G128" i="4"/>
  <c r="R124" i="4"/>
  <c r="P124" i="4"/>
  <c r="G147" i="4"/>
  <c r="G23" i="4"/>
  <c r="R12" i="4"/>
  <c r="R45" i="4"/>
  <c r="G67" i="4"/>
  <c r="R90" i="4"/>
  <c r="R95" i="4" s="1"/>
  <c r="P90" i="4"/>
  <c r="G97" i="4"/>
  <c r="G130" i="4"/>
  <c r="R158" i="4"/>
  <c r="N163" i="4"/>
  <c r="T163" i="4" s="1"/>
  <c r="P185" i="4"/>
  <c r="P187" i="4" s="1"/>
  <c r="G194" i="4"/>
  <c r="R190" i="6"/>
  <c r="O38" i="6"/>
  <c r="Q103" i="6"/>
  <c r="Q101" i="6" s="1"/>
  <c r="Q134" i="6"/>
  <c r="Q133" i="6" s="1"/>
  <c r="Q149" i="6"/>
  <c r="Q148" i="6" s="1"/>
  <c r="Q56" i="6"/>
  <c r="Q87" i="6"/>
  <c r="Q86" i="6" s="1"/>
  <c r="Q88" i="6"/>
  <c r="Q178" i="6"/>
  <c r="V35" i="6"/>
  <c r="T35" i="6"/>
  <c r="U35" i="6"/>
  <c r="Q17" i="6"/>
  <c r="Q18" i="6"/>
  <c r="Q162" i="6"/>
  <c r="G145" i="6"/>
  <c r="G82" i="4"/>
  <c r="R74" i="4"/>
  <c r="N74" i="4" s="1"/>
  <c r="T74" i="4" s="1"/>
  <c r="U74" i="4" s="1"/>
  <c r="O52" i="4"/>
  <c r="N52" i="4" s="1"/>
  <c r="P88" i="4"/>
  <c r="P95" i="4"/>
  <c r="T146" i="4"/>
  <c r="O179" i="4"/>
  <c r="R179" i="4"/>
  <c r="R53" i="4"/>
  <c r="J64" i="4"/>
  <c r="T64" i="4"/>
  <c r="O154" i="4"/>
  <c r="N180" i="4"/>
  <c r="T180" i="4" s="1"/>
  <c r="U180" i="4" s="1"/>
  <c r="R187" i="4"/>
  <c r="R200" i="4" s="1"/>
  <c r="T88" i="6"/>
  <c r="W28" i="6"/>
  <c r="O173" i="6"/>
  <c r="N173" i="6"/>
  <c r="N162" i="6" s="1"/>
  <c r="N161" i="6" s="1"/>
  <c r="Q40" i="6"/>
  <c r="Q43" i="6"/>
  <c r="Q44" i="6"/>
  <c r="N52" i="6"/>
  <c r="N39" i="6" s="1"/>
  <c r="N38" i="6" s="1"/>
  <c r="T58" i="6"/>
  <c r="V58" i="6" s="1"/>
  <c r="N67" i="6"/>
  <c r="N56" i="6" s="1"/>
  <c r="N55" i="6" s="1"/>
  <c r="V88" i="6"/>
  <c r="T89" i="6"/>
  <c r="V89" i="6" s="1"/>
  <c r="N120" i="6"/>
  <c r="T135" i="6"/>
  <c r="T136" i="6"/>
  <c r="V136" i="6" s="1"/>
  <c r="T137" i="6"/>
  <c r="U137" i="6" s="1"/>
  <c r="T151" i="6"/>
  <c r="T164" i="6"/>
  <c r="G30" i="4"/>
  <c r="P29" i="4"/>
  <c r="G60" i="4"/>
  <c r="P59" i="4"/>
  <c r="P65" i="4"/>
  <c r="G65" i="4"/>
  <c r="G95" i="4"/>
  <c r="G123" i="4"/>
  <c r="P122" i="4"/>
  <c r="O127" i="4"/>
  <c r="P145" i="4"/>
  <c r="P147" i="4" s="1"/>
  <c r="G156" i="4"/>
  <c r="P154" i="4"/>
  <c r="T155" i="4"/>
  <c r="P157" i="4"/>
  <c r="P179" i="4"/>
  <c r="T173" i="4"/>
  <c r="O190" i="4"/>
  <c r="N190" i="4" s="1"/>
  <c r="O165" i="4"/>
  <c r="O191" i="4"/>
  <c r="N191" i="4" s="1"/>
  <c r="U22" i="4"/>
  <c r="U24" i="4"/>
  <c r="T24" i="4"/>
  <c r="G53" i="4"/>
  <c r="P53" i="4"/>
  <c r="U52" i="4"/>
  <c r="T52" i="4"/>
  <c r="U81" i="4"/>
  <c r="T81" i="4"/>
  <c r="U83" i="4"/>
  <c r="T83" i="4"/>
  <c r="T89" i="4" s="1"/>
  <c r="P22" i="4"/>
  <c r="P23" i="4" s="1"/>
  <c r="P24" i="4"/>
  <c r="O29" i="4"/>
  <c r="O31" i="4"/>
  <c r="O36" i="4" s="1"/>
  <c r="P128" i="4"/>
  <c r="U54" i="4"/>
  <c r="T54" i="4"/>
  <c r="T60" i="4" s="1"/>
  <c r="T94" i="4"/>
  <c r="U94" i="4"/>
  <c r="U113" i="4"/>
  <c r="T113" i="4"/>
  <c r="U115" i="4"/>
  <c r="T115" i="4"/>
  <c r="T123" i="4" s="1"/>
  <c r="U149" i="4"/>
  <c r="T149" i="4"/>
  <c r="O24" i="4"/>
  <c r="R24" i="4"/>
  <c r="R30" i="4" s="1"/>
  <c r="P54" i="4"/>
  <c r="O59" i="4"/>
  <c r="N59" i="4" s="1"/>
  <c r="U59" i="4"/>
  <c r="O61" i="4"/>
  <c r="O64" i="4"/>
  <c r="N64" i="4" s="1"/>
  <c r="R82" i="4"/>
  <c r="P81" i="4"/>
  <c r="P82" i="4" s="1"/>
  <c r="P83" i="4"/>
  <c r="P89" i="4" s="1"/>
  <c r="O88" i="4"/>
  <c r="U88" i="4"/>
  <c r="O90" i="4"/>
  <c r="O94" i="4"/>
  <c r="N96" i="4"/>
  <c r="R104" i="4"/>
  <c r="R114" i="4" s="1"/>
  <c r="P113" i="4"/>
  <c r="P115" i="4"/>
  <c r="O122" i="4"/>
  <c r="U122" i="4"/>
  <c r="O124" i="4"/>
  <c r="R128" i="4"/>
  <c r="J127" i="4"/>
  <c r="O145" i="4"/>
  <c r="U145" i="4"/>
  <c r="O148" i="4"/>
  <c r="R148" i="4"/>
  <c r="R156" i="4" s="1"/>
  <c r="U148" i="4"/>
  <c r="P149" i="4"/>
  <c r="U154" i="4"/>
  <c r="O157" i="4"/>
  <c r="R157" i="4"/>
  <c r="U157" i="4"/>
  <c r="U161" i="4"/>
  <c r="N172" i="4"/>
  <c r="N188" i="4"/>
  <c r="O54" i="4"/>
  <c r="R54" i="4"/>
  <c r="R60" i="4" s="1"/>
  <c r="O81" i="4"/>
  <c r="O83" i="4"/>
  <c r="R83" i="4"/>
  <c r="R89" i="4" s="1"/>
  <c r="O113" i="4"/>
  <c r="N113" i="4" s="1"/>
  <c r="O115" i="4"/>
  <c r="R115" i="4"/>
  <c r="R123" i="4" s="1"/>
  <c r="R137" i="4"/>
  <c r="R147" i="4" s="1"/>
  <c r="O149" i="4"/>
  <c r="O158" i="4"/>
  <c r="O185" i="4"/>
  <c r="U241" i="3"/>
  <c r="T241" i="3"/>
  <c r="P156" i="4" l="1"/>
  <c r="P123" i="4"/>
  <c r="V137" i="6"/>
  <c r="U133" i="6"/>
  <c r="N179" i="4"/>
  <c r="T103" i="6"/>
  <c r="V103" i="6" s="1"/>
  <c r="U173" i="4"/>
  <c r="R73" i="4"/>
  <c r="R44" i="4"/>
  <c r="T120" i="6"/>
  <c r="U120" i="6" s="1"/>
  <c r="V120" i="6" s="1"/>
  <c r="Q145" i="6"/>
  <c r="T145" i="6" s="1"/>
  <c r="U145" i="6" s="1"/>
  <c r="V145" i="6" s="1"/>
  <c r="Q15" i="6"/>
  <c r="T27" i="6"/>
  <c r="N165" i="4"/>
  <c r="T165" i="4" s="1"/>
  <c r="U163" i="4"/>
  <c r="U165" i="4" s="1"/>
  <c r="V151" i="6"/>
  <c r="T172" i="4"/>
  <c r="U172" i="4" s="1"/>
  <c r="U179" i="4" s="1"/>
  <c r="V172" i="4"/>
  <c r="N158" i="4"/>
  <c r="T158" i="4" s="1"/>
  <c r="U158" i="4" s="1"/>
  <c r="U162" i="4" s="1"/>
  <c r="P200" i="4"/>
  <c r="X163" i="4"/>
  <c r="R136" i="4"/>
  <c r="R103" i="4"/>
  <c r="W103" i="4" s="1"/>
  <c r="X103" i="4" s="1"/>
  <c r="P103" i="4"/>
  <c r="W36" i="4"/>
  <c r="N187" i="6"/>
  <c r="N177" i="6" s="1"/>
  <c r="N176" i="6" s="1"/>
  <c r="V174" i="6"/>
  <c r="O145" i="6"/>
  <c r="O187" i="6"/>
  <c r="T104" i="6"/>
  <c r="T146" i="6"/>
  <c r="Q161" i="6"/>
  <c r="X161" i="6" s="1"/>
  <c r="Y161" i="6" s="1"/>
  <c r="W23" i="4"/>
  <c r="T134" i="6"/>
  <c r="T74" i="6"/>
  <c r="N129" i="6"/>
  <c r="N116" i="6" s="1"/>
  <c r="N115" i="6" s="1"/>
  <c r="O129" i="6"/>
  <c r="O56" i="6"/>
  <c r="T59" i="6"/>
  <c r="V59" i="6" s="1"/>
  <c r="V56" i="6" s="1"/>
  <c r="T150" i="6"/>
  <c r="T149" i="6" s="1"/>
  <c r="Q55" i="6"/>
  <c r="Q115" i="6"/>
  <c r="X115" i="6" s="1"/>
  <c r="Y115" i="6" s="1"/>
  <c r="Q70" i="6"/>
  <c r="X70" i="6" s="1"/>
  <c r="Y70" i="6" s="1"/>
  <c r="O115" i="6"/>
  <c r="O85" i="6"/>
  <c r="O101" i="6"/>
  <c r="Q177" i="6"/>
  <c r="T165" i="6"/>
  <c r="T73" i="6"/>
  <c r="V73" i="6" s="1"/>
  <c r="X148" i="6"/>
  <c r="N149" i="4"/>
  <c r="R162" i="4"/>
  <c r="R171" i="4" s="1"/>
  <c r="N122" i="4"/>
  <c r="N88" i="4"/>
  <c r="P30" i="4"/>
  <c r="P44" i="4" s="1"/>
  <c r="G73" i="4"/>
  <c r="N154" i="4"/>
  <c r="G44" i="4"/>
  <c r="G171" i="4"/>
  <c r="Y164" i="4" s="1"/>
  <c r="Z164" i="4" s="1"/>
  <c r="Z165" i="4" s="1"/>
  <c r="G103" i="4"/>
  <c r="N12" i="4"/>
  <c r="T12" i="4" s="1"/>
  <c r="G136" i="4"/>
  <c r="T87" i="6"/>
  <c r="T86" i="6" s="1"/>
  <c r="T53" i="6"/>
  <c r="V98" i="6"/>
  <c r="U34" i="6"/>
  <c r="V34" i="6" s="1"/>
  <c r="N97" i="4"/>
  <c r="T97" i="4" s="1"/>
  <c r="U97" i="4" s="1"/>
  <c r="T96" i="4"/>
  <c r="U96" i="4" s="1"/>
  <c r="T19" i="6"/>
  <c r="V19" i="6" s="1"/>
  <c r="T17" i="6"/>
  <c r="T179" i="6"/>
  <c r="V179" i="6" s="1"/>
  <c r="V177" i="6" s="1"/>
  <c r="N158" i="6"/>
  <c r="N149" i="6" s="1"/>
  <c r="N148" i="6" s="1"/>
  <c r="O158" i="6"/>
  <c r="N82" i="6"/>
  <c r="N71" i="6" s="1"/>
  <c r="N70" i="6" s="1"/>
  <c r="O82" i="6"/>
  <c r="V188" i="6"/>
  <c r="U188" i="6"/>
  <c r="T188" i="6"/>
  <c r="S176" i="6"/>
  <c r="U174" i="6"/>
  <c r="T174" i="6"/>
  <c r="U146" i="6"/>
  <c r="U130" i="6"/>
  <c r="V130" i="6"/>
  <c r="S115" i="6"/>
  <c r="T130" i="6"/>
  <c r="U159" i="6"/>
  <c r="T119" i="6"/>
  <c r="V119" i="6" s="1"/>
  <c r="N97" i="6"/>
  <c r="T72" i="6"/>
  <c r="T71" i="6" s="1"/>
  <c r="V83" i="6"/>
  <c r="U83" i="6"/>
  <c r="T83" i="6"/>
  <c r="S70" i="6"/>
  <c r="N192" i="4"/>
  <c r="U188" i="4"/>
  <c r="U192" i="4" s="1"/>
  <c r="T188" i="4"/>
  <c r="T192" i="4" s="1"/>
  <c r="T18" i="6"/>
  <c r="T16" i="6"/>
  <c r="P162" i="4"/>
  <c r="P171" i="4" s="1"/>
  <c r="N145" i="4"/>
  <c r="P114" i="4"/>
  <c r="P136" i="4" s="1"/>
  <c r="P60" i="4"/>
  <c r="P73" i="4" s="1"/>
  <c r="N29" i="4"/>
  <c r="T29" i="4" s="1"/>
  <c r="U29" i="4" s="1"/>
  <c r="U30" i="4" s="1"/>
  <c r="N66" i="4"/>
  <c r="T156" i="4"/>
  <c r="O192" i="4"/>
  <c r="T44" i="6"/>
  <c r="T43" i="6"/>
  <c r="V43" i="6" s="1"/>
  <c r="T173" i="6"/>
  <c r="U173" i="6" s="1"/>
  <c r="V173" i="6" s="1"/>
  <c r="O161" i="6"/>
  <c r="O112" i="6"/>
  <c r="T178" i="6"/>
  <c r="T177" i="6" s="1"/>
  <c r="T163" i="6"/>
  <c r="T162" i="6" s="1"/>
  <c r="T118" i="6"/>
  <c r="O14" i="6"/>
  <c r="V29" i="6"/>
  <c r="Q39" i="6"/>
  <c r="T102" i="6"/>
  <c r="O67" i="6"/>
  <c r="T57" i="6"/>
  <c r="T56" i="6" s="1"/>
  <c r="T40" i="6"/>
  <c r="T39" i="6" s="1"/>
  <c r="N185" i="4"/>
  <c r="T185" i="4" s="1"/>
  <c r="U185" i="4" s="1"/>
  <c r="N81" i="4"/>
  <c r="N82" i="4" s="1"/>
  <c r="T82" i="4" s="1"/>
  <c r="O123" i="4"/>
  <c r="N115" i="4"/>
  <c r="O162" i="4"/>
  <c r="N157" i="4"/>
  <c r="N104" i="4"/>
  <c r="O114" i="4"/>
  <c r="O82" i="4"/>
  <c r="O89" i="4"/>
  <c r="N83" i="4"/>
  <c r="N193" i="4"/>
  <c r="O194" i="4"/>
  <c r="O156" i="4"/>
  <c r="N148" i="4"/>
  <c r="N129" i="4"/>
  <c r="O130" i="4"/>
  <c r="N124" i="4"/>
  <c r="O128" i="4"/>
  <c r="O95" i="4"/>
  <c r="N90" i="4"/>
  <c r="O65" i="4"/>
  <c r="N61" i="4"/>
  <c r="O38" i="4"/>
  <c r="N37" i="4"/>
  <c r="N31" i="4"/>
  <c r="N36" i="4" s="1"/>
  <c r="O23" i="4"/>
  <c r="O187" i="4"/>
  <c r="U156" i="4"/>
  <c r="W136" i="4"/>
  <c r="X136" i="4" s="1"/>
  <c r="N22" i="4"/>
  <c r="U123" i="4"/>
  <c r="U60" i="4"/>
  <c r="O147" i="4"/>
  <c r="N137" i="4"/>
  <c r="O60" i="4"/>
  <c r="N54" i="4"/>
  <c r="N60" i="4" s="1"/>
  <c r="U127" i="4"/>
  <c r="T127" i="4"/>
  <c r="O30" i="4"/>
  <c r="N24" i="4"/>
  <c r="O53" i="4"/>
  <c r="O73" i="4" s="1"/>
  <c r="N45" i="4"/>
  <c r="U89" i="4"/>
  <c r="N22" i="3"/>
  <c r="N194" i="4" l="1"/>
  <c r="T194" i="4" s="1"/>
  <c r="U194" i="4" s="1"/>
  <c r="T193" i="4"/>
  <c r="U193" i="4" s="1"/>
  <c r="N89" i="4"/>
  <c r="T101" i="6"/>
  <c r="T116" i="6"/>
  <c r="T15" i="6"/>
  <c r="T97" i="6"/>
  <c r="U97" i="6" s="1"/>
  <c r="V97" i="6" s="1"/>
  <c r="N86" i="6"/>
  <c r="N85" i="6" s="1"/>
  <c r="T132" i="6"/>
  <c r="T133" i="6"/>
  <c r="V176" i="6"/>
  <c r="T179" i="4"/>
  <c r="N162" i="4"/>
  <c r="O55" i="6"/>
  <c r="Q132" i="6"/>
  <c r="V27" i="6"/>
  <c r="V40" i="6"/>
  <c r="V39" i="6" s="1"/>
  <c r="T67" i="6"/>
  <c r="U67" i="6" s="1"/>
  <c r="V67" i="6" s="1"/>
  <c r="X132" i="6"/>
  <c r="Y132" i="6" s="1"/>
  <c r="T187" i="6"/>
  <c r="U27" i="6"/>
  <c r="O100" i="6"/>
  <c r="T24" i="6"/>
  <c r="S14" i="6"/>
  <c r="X55" i="6"/>
  <c r="Y55" i="6" s="1"/>
  <c r="N123" i="4"/>
  <c r="V159" i="6"/>
  <c r="S148" i="6"/>
  <c r="S161" i="6"/>
  <c r="S132" i="6"/>
  <c r="V146" i="6"/>
  <c r="O200" i="4"/>
  <c r="T162" i="4"/>
  <c r="O171" i="4"/>
  <c r="N171" i="4" s="1"/>
  <c r="O136" i="4"/>
  <c r="N136" i="4" s="1"/>
  <c r="O103" i="4"/>
  <c r="N73" i="4"/>
  <c r="O44" i="4"/>
  <c r="N44" i="4" s="1"/>
  <c r="O176" i="6"/>
  <c r="O132" i="6"/>
  <c r="T129" i="6"/>
  <c r="U129" i="6" s="1"/>
  <c r="V129" i="6" s="1"/>
  <c r="T161" i="6"/>
  <c r="V53" i="6"/>
  <c r="U132" i="6"/>
  <c r="U98" i="6"/>
  <c r="U53" i="6"/>
  <c r="U24" i="6"/>
  <c r="V24" i="6"/>
  <c r="Q14" i="6"/>
  <c r="S85" i="6"/>
  <c r="T159" i="6"/>
  <c r="S38" i="6"/>
  <c r="T98" i="6"/>
  <c r="U56" i="6"/>
  <c r="Q100" i="6"/>
  <c r="X100" i="6" s="1"/>
  <c r="Y100" i="6" s="1"/>
  <c r="Q176" i="6"/>
  <c r="X176" i="6" s="1"/>
  <c r="Y176" i="6" s="1"/>
  <c r="Q85" i="6"/>
  <c r="X85" i="6" s="1"/>
  <c r="Y85" i="6" s="1"/>
  <c r="N156" i="4"/>
  <c r="U177" i="6"/>
  <c r="U176" i="6" s="1"/>
  <c r="U82" i="4"/>
  <c r="U116" i="6"/>
  <c r="Y148" i="6"/>
  <c r="P201" i="4"/>
  <c r="W200" i="4"/>
  <c r="X200" i="4" s="1"/>
  <c r="U12" i="4"/>
  <c r="U23" i="4" s="1"/>
  <c r="T23" i="4"/>
  <c r="T82" i="6"/>
  <c r="U82" i="6" s="1"/>
  <c r="V82" i="6" s="1"/>
  <c r="W44" i="4"/>
  <c r="X44" i="4" s="1"/>
  <c r="N147" i="4"/>
  <c r="T137" i="4"/>
  <c r="N130" i="4"/>
  <c r="T130" i="4" s="1"/>
  <c r="U130" i="4" s="1"/>
  <c r="T129" i="4"/>
  <c r="U129" i="4" s="1"/>
  <c r="N114" i="4"/>
  <c r="T104" i="4"/>
  <c r="U104" i="4" s="1"/>
  <c r="N67" i="4"/>
  <c r="T67" i="4" s="1"/>
  <c r="U67" i="4" s="1"/>
  <c r="T66" i="4"/>
  <c r="U66" i="4" s="1"/>
  <c r="N53" i="4"/>
  <c r="T45" i="4"/>
  <c r="V165" i="6"/>
  <c r="V162" i="6" s="1"/>
  <c r="U161" i="6"/>
  <c r="N95" i="4"/>
  <c r="T90" i="4"/>
  <c r="N65" i="4"/>
  <c r="T61" i="4"/>
  <c r="T31" i="4"/>
  <c r="T36" i="4" s="1"/>
  <c r="N23" i="4"/>
  <c r="N38" i="4"/>
  <c r="T37" i="4"/>
  <c r="O70" i="6"/>
  <c r="O148" i="6"/>
  <c r="T158" i="6"/>
  <c r="U158" i="6" s="1"/>
  <c r="V158" i="6" s="1"/>
  <c r="U68" i="6"/>
  <c r="V68" i="6"/>
  <c r="V55" i="6" s="1"/>
  <c r="T68" i="6"/>
  <c r="S55" i="6"/>
  <c r="U113" i="6"/>
  <c r="V113" i="6"/>
  <c r="T113" i="6"/>
  <c r="S100" i="6"/>
  <c r="T23" i="6"/>
  <c r="U23" i="6" s="1"/>
  <c r="V23" i="6" s="1"/>
  <c r="T30" i="4"/>
  <c r="N30" i="4"/>
  <c r="N128" i="4"/>
  <c r="T124" i="4"/>
  <c r="U124" i="4" s="1"/>
  <c r="U128" i="4" s="1"/>
  <c r="T112" i="6"/>
  <c r="N187" i="4"/>
  <c r="N103" i="4"/>
  <c r="U255" i="3"/>
  <c r="T255" i="3"/>
  <c r="T259" i="3" s="1"/>
  <c r="Q255" i="3"/>
  <c r="Q259" i="3" s="1"/>
  <c r="U248" i="3"/>
  <c r="T248" i="3"/>
  <c r="Q248" i="3"/>
  <c r="U247" i="3"/>
  <c r="T247" i="3"/>
  <c r="Q247" i="3"/>
  <c r="W133" i="6" l="1"/>
  <c r="T148" i="6"/>
  <c r="W104" i="6"/>
  <c r="U101" i="6"/>
  <c r="W162" i="6"/>
  <c r="W15" i="6"/>
  <c r="N190" i="6"/>
  <c r="O190" i="6"/>
  <c r="T176" i="6"/>
  <c r="T115" i="6"/>
  <c r="S190" i="6"/>
  <c r="V150" i="6"/>
  <c r="U148" i="6"/>
  <c r="V104" i="6"/>
  <c r="V101" i="6" s="1"/>
  <c r="T85" i="6"/>
  <c r="T55" i="6"/>
  <c r="V134" i="6"/>
  <c r="X14" i="6"/>
  <c r="Y14" i="6" s="1"/>
  <c r="U55" i="6"/>
  <c r="T14" i="6"/>
  <c r="U14" i="6"/>
  <c r="V16" i="6"/>
  <c r="V162" i="4"/>
  <c r="W162" i="4" s="1"/>
  <c r="R201" i="4"/>
  <c r="W171" i="4"/>
  <c r="X171" i="4" s="1"/>
  <c r="T114" i="4"/>
  <c r="V131" i="4"/>
  <c r="V161" i="6"/>
  <c r="V87" i="6"/>
  <c r="V86" i="6" s="1"/>
  <c r="U85" i="6"/>
  <c r="V118" i="6"/>
  <c r="V116" i="6" s="1"/>
  <c r="U115" i="6"/>
  <c r="T70" i="6"/>
  <c r="T100" i="6"/>
  <c r="U112" i="6"/>
  <c r="V112" i="6" s="1"/>
  <c r="U137" i="4"/>
  <c r="U147" i="4" s="1"/>
  <c r="U171" i="4" s="1"/>
  <c r="T147" i="4"/>
  <c r="T171" i="4" s="1"/>
  <c r="U45" i="4"/>
  <c r="U53" i="4" s="1"/>
  <c r="T53" i="4"/>
  <c r="V72" i="6"/>
  <c r="V71" i="6" s="1"/>
  <c r="U70" i="6"/>
  <c r="U90" i="4"/>
  <c r="U95" i="4" s="1"/>
  <c r="U103" i="4" s="1"/>
  <c r="T95" i="4"/>
  <c r="T103" i="4" s="1"/>
  <c r="U61" i="4"/>
  <c r="U65" i="4" s="1"/>
  <c r="U73" i="4" s="1"/>
  <c r="T65" i="4"/>
  <c r="U31" i="4"/>
  <c r="U36" i="4" s="1"/>
  <c r="U37" i="4"/>
  <c r="U38" i="4" s="1"/>
  <c r="T38" i="4"/>
  <c r="T44" i="4" s="1"/>
  <c r="O201" i="4"/>
  <c r="N200" i="4"/>
  <c r="N201" i="4" s="1"/>
  <c r="T187" i="4"/>
  <c r="T200" i="4" s="1"/>
  <c r="T128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V14" i="6" l="1"/>
  <c r="V15" i="6"/>
  <c r="V148" i="6"/>
  <c r="V149" i="6"/>
  <c r="V132" i="6"/>
  <c r="V133" i="6"/>
  <c r="W116" i="6"/>
  <c r="W56" i="6"/>
  <c r="W71" i="6"/>
  <c r="T73" i="4"/>
  <c r="W73" i="4"/>
  <c r="X73" i="4" s="1"/>
  <c r="W86" i="6"/>
  <c r="W150" i="6"/>
  <c r="W177" i="6"/>
  <c r="V100" i="6"/>
  <c r="T136" i="4"/>
  <c r="U44" i="4"/>
  <c r="V85" i="6"/>
  <c r="V115" i="6"/>
  <c r="U114" i="4"/>
  <c r="U136" i="4" s="1"/>
  <c r="V130" i="4"/>
  <c r="V70" i="6"/>
  <c r="U100" i="6"/>
  <c r="W101" i="6" s="1"/>
  <c r="U187" i="4"/>
  <c r="U200" i="4" s="1"/>
  <c r="Q14" i="3"/>
  <c r="N14" i="3"/>
  <c r="G257" i="3"/>
  <c r="U257" i="3" s="1"/>
  <c r="J268" i="3"/>
  <c r="J267" i="3"/>
  <c r="T201" i="4" l="1"/>
  <c r="U201" i="4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K173" i="3"/>
  <c r="G171" i="3"/>
  <c r="O171" i="3" s="1"/>
  <c r="G172" i="3"/>
  <c r="O172" i="3" s="1"/>
  <c r="G173" i="3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G123" i="3"/>
  <c r="O123" i="3" s="1"/>
  <c r="G124" i="3"/>
  <c r="O124" i="3" s="1"/>
  <c r="G122" i="3"/>
  <c r="O122" i="3" s="1"/>
  <c r="G120" i="3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120" i="3" l="1"/>
  <c r="O125" i="3"/>
  <c r="O135" i="3"/>
  <c r="O144" i="3"/>
  <c r="O159" i="3"/>
  <c r="O173" i="3"/>
  <c r="O175" i="3"/>
  <c r="O195" i="3"/>
  <c r="O252" i="3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46" i="3" l="1"/>
  <c r="S47" i="3"/>
  <c r="S48" i="3" s="1"/>
  <c r="Q95" i="3"/>
  <c r="S96" i="3"/>
  <c r="S97" i="3" s="1"/>
  <c r="Q88" i="3"/>
  <c r="S89" i="3"/>
  <c r="S90" i="3" s="1"/>
  <c r="Q61" i="3"/>
  <c r="S62" i="3"/>
  <c r="S63" i="3" s="1"/>
  <c r="S103" i="3"/>
  <c r="Q102" i="3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Q91" i="3" l="1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04" i="3" l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M52" i="6"/>
  <c r="Q38" i="6"/>
  <c r="Q190" i="6" s="1"/>
  <c r="T52" i="6"/>
  <c r="T38" i="6" s="1"/>
  <c r="T190" i="6" l="1"/>
  <c r="X38" i="6"/>
  <c r="Y38" i="6" s="1"/>
  <c r="U52" i="6"/>
  <c r="V52" i="6" l="1"/>
  <c r="V38" i="6" s="1"/>
  <c r="V190" i="6" s="1"/>
  <c r="U38" i="6"/>
  <c r="U190" i="6" s="1"/>
  <c r="W190" i="6" s="1"/>
  <c r="W39" i="6" l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7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2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5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6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5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7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<sst xmlns="http://schemas.openxmlformats.org/spreadsheetml/2006/main" count="3666" uniqueCount="323">
  <si>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</si>
  <si>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</si>
  <si>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</si>
  <si>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</si>
  <si>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</si>
  <si>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</si>
  <si>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</si>
  <si>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</si>
  <si>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</si>
  <si>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</si>
  <si>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</si>
  <si>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</si>
  <si>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</si>
  <si>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</si>
  <si>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</si>
  <si>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</si>
  <si>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</si>
  <si>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</si>
  <si>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</si>
  <si>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</si>
  <si>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</si>
  <si>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</si>
  <si>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</si>
  <si>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</si>
  <si>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</si>
  <si>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</si>
  <si>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</si>
  <si>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</si>
  <si>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</si>
  <si>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</si>
  <si>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</si>
  <si>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</si>
  <si>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</si>
  <si>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</si>
  <si>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</si>
  <si>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</si>
  <si>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</si>
  <si>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</si>
  <si>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</si>
  <si>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</si>
  <si>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</si>
  <si>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</si>
  <si>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</si>
  <si>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</si>
  <si>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</si>
  <si>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</si>
  <si>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</si>
  <si>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</si>
  <si>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</si>
  <si>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</si>
  <si>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</si>
  <si>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</si>
  <si>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</si>
  <si>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</si>
  <si>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</si>
  <si>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</si>
  <si>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</si>
  <si>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</si>
  <si>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</si>
  <si>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</si>
  <si>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</si>
  <si>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</si>
  <si>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</si>
  <si>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</si>
  <si>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</si>
  <si>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</si>
  <si>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</si>
  <si>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</si>
  <si>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</si>
  <si>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</si>
  <si>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</si>
  <si>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</si>
  <si>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</si>
  <si>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</si>
  <si>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</si>
  <si>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</si>
  <si>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</si>
  <si>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</si>
  <si>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</si>
  <si>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</si>
  <si>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</si>
  <si>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</si>
  <si>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</si>
  <si>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</si>
  <si>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</si>
  <si>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</si>
  <si>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</si>
  <si>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</si>
  <si>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</si>
  <si>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</si>
  <si>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</si>
  <si>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</si>
  <si>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</si>
  <si>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</si>
  <si>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</si>
  <si>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</si>
  <si>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</si>
  <si>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</si>
  <si>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</si>
  <si>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</si>
  <si>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</si>
  <si>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</si>
  <si>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</si>
  <si>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</si>
  <si>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</si>
  <si>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</si>
  <si>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</si>
  <si>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</si>
  <si>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</si>
  <si>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</si>
  <si>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</si>
  <si>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</si>
  <si>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</si>
  <si>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</si>
  <si>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</si>
  <si>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</si>
  <si>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</si>
  <si>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</si>
  <si>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</si>
  <si>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</si>
  <si>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</si>
  <si>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</si>
  <si>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</si>
  <si>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</si>
  <si>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</si>
  <si>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</si>
  <si>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</si>
  <si>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</si>
  <si>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</si>
  <si>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</si>
  <si>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</si>
  <si>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</si>
  <si>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</si>
  <si>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</si>
  <si>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</si>
  <si>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</si>
  <si>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</si>
  <si>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</si>
  <si>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</si>
  <si>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</si>
  <si>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</si>
  <si>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</si>
  <si>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</si>
  <si>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</si>
  <si>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</si>
  <si>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</si>
  <si>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</si>
  <si>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</si>
  <si>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</si>
  <si>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</si>
  <si>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</si>
  <si>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</si>
  <si>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</si>
  <si>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</si>
  <si>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</si>
  <si>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</si>
  <si>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</si>
  <si>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</si>
  <si>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</si>
  <si>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</si>
  <si>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</si>
  <si>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</si>
  <si>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</si>
  <si>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</si>
  <si>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</si>
  <si>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</si>
  <si>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</si>
  <si>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</si>
  <si>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</si>
  <si>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</si>
  <si>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</si>
  <si>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</si>
  <si>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</si>
  <si>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</si>
  <si>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</si>
  <si>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</si>
  <si>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</si>
  <si>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</si>
  <si>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</si>
  <si>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</si>
  <si>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</si>
  <si>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</si>
  <si>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</si>
  <si>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</si>
  <si>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</si>
  <si>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</si>
  <si>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</si>
  <si>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</si>
  <si>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</si>
  <si>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</si>
  <si>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</si>
  <si>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</si>
  <si>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</si>
  <si>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</si>
  <si>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</si>
  <si>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</si>
  <si>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</si>
  <si>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</si>
  <si>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</si>
  <si>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</si>
  <si>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</si>
  <si>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</si>
  <si>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</si>
  <si>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</si>
  <si>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</si>
  <si>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</si>
  <si>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</si>
  <si>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</si>
  <si>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</si>
  <si>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</si>
  <si>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</si>
  <si>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</si>
  <si>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</si>
  <si>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</si>
  <si>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</si>
  <si>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</si>
  <si>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</si>
  <si>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</si>
  <si>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</si>
  <si>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</si>
  <si>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</si>
  <si>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</si>
  <si>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</si>
  <si>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</si>
  <si>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</si>
  <si>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</si>
  <si>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</si>
  <si>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</si>
  <si>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</si>
  <si>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</si>
  <si>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</si>
  <si>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</si>
  <si>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</si>
  <si>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</si>
  <si>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</si>
  <si>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</si>
  <si>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</si>
  <si>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</si>
  <si>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</si>
  <si>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</si>
  <si>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</si>
  <si>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</si>
  <si>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</si>
  <si>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</si>
  <si>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</si>
  <si>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</si>
  <si>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</si>
  <si>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</si>
  <si>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</si>
  <si>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</si>
  <si>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</si>
  <si>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</si>
  <si>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</si>
  <si>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</si>
  <si>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</si>
  <si>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</si>
  <si>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841148,96 на 1 класс+ 23463,21 на 1 человека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</si>
  <si>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</si>
  <si>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</si>
  <si>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</si>
  <si>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АУП 4,3%</t>
  </si>
  <si>
    <t>668575,57- на 1 класс+22820,48 на 1 человека</t>
  </si>
  <si>
    <t>628912,16- на 1 класс+22820,48 на 1 человека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</si>
  <si>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</si>
  <si>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</si>
  <si>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</si>
  <si>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</si>
  <si>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</si>
  <si>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</si>
  <si>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</si>
  <si>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</si>
  <si>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</si>
  <si>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</si>
  <si>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</si>
  <si>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</si>
  <si>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</si>
  <si>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</si>
  <si>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</si>
  <si>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</si>
  <si>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</si>
  <si>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</si>
  <si>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</si>
  <si>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</si>
  <si>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</si>
  <si>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</si>
  <si>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</si>
  <si>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</si>
  <si>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</si>
  <si>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</si>
  <si>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</si>
  <si>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</si>
  <si>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</si>
  <si>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</si>
  <si>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</si>
  <si>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</si>
  <si>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</si>
  <si>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</si>
  <si>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668575,57- на 1 класс+ 1329,32- на 1 человека</t>
  </si>
  <si>
    <t>4001,99*2,411294- на 1 человека</t>
  </si>
  <si>
    <t>628912,16- на 1 класс+ 1329,32 на 1 человека</t>
  </si>
  <si>
    <t>1\17</t>
  </si>
  <si>
    <t>4\85</t>
  </si>
  <si>
    <t>3\72</t>
  </si>
  <si>
    <t>3\44</t>
  </si>
  <si>
    <t>787313,28- на 1 класс+1622,42 на 1 человека</t>
  </si>
  <si>
    <t>877875,1- на 1 класс+ 23116,,46 на 1 человека</t>
  </si>
  <si>
    <t>877875,1- на 1 класс+ 1622,42 на 1 человека</t>
  </si>
  <si>
    <t>787313,28- на 1 класс+ 23116,,46 на 1 человека</t>
  </si>
  <si>
    <t>4001,99*2,411294 на 1 человека</t>
  </si>
  <si>
    <t>841148,96 на 1 класс+1965,79 на 1 человека</t>
  </si>
  <si>
    <t>Приложение № 1</t>
  </si>
  <si>
    <t>Доплата до МРОТ разница</t>
  </si>
  <si>
    <t>2022год</t>
  </si>
  <si>
    <t>Краевая доплата пед.работ.</t>
  </si>
  <si>
    <t>к Приказу от 09.01.2020 г. № 1</t>
  </si>
  <si>
    <t>к Приказу от 09.01.2020 г. №  1</t>
  </si>
  <si>
    <t>t1/речь</t>
  </si>
  <si>
    <t>t1/зрение</t>
  </si>
  <si>
    <t>для ГАЛИ</t>
  </si>
  <si>
    <t>к Приказу от 08.04.2020 г. № 56</t>
  </si>
  <si>
    <t>11451,74- на 1 человека</t>
  </si>
  <si>
    <t>доп. субвенция на достижение целевого показателя за 1 квартал</t>
  </si>
  <si>
    <t>к Приказу от 08.04.2020 г. №56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</si>
</sst>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00000"/>
    <numFmt numFmtId="166" formatCode="#,##0.000000000"/>
    <numFmt numFmtId="167" formatCode="#,##0.0000000000"/>
    <numFmt numFmtId="168" formatCode="0.000000000000"/>
    <numFmt numFmtId="169" formatCode="#,##0.000000000000"/>
  </numFmts>
  <fonts count="22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46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left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/>
    <xf numFmtId="4" fontId="7" fillId="3" borderId="4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0" fontId="1" fillId="3" borderId="0" xfId="0" applyFont="1" applyFill="1"/>
    <xf numFmtId="4" fontId="4" fillId="3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16" fillId="3" borderId="4" xfId="0" applyNumberFormat="1" applyFont="1" applyFill="1" applyBorder="1" applyAlignment="1">
      <alignment horizontal="left"/>
    </xf>
    <xf numFmtId="0" fontId="1" fillId="3" borderId="3" xfId="0" applyFont="1" applyFill="1" applyBorder="1" applyAlignment="1">
      <alignment vertical="top"/>
    </xf>
    <xf numFmtId="4" fontId="9" fillId="3" borderId="4" xfId="0" applyNumberFormat="1" applyFont="1" applyFill="1" applyBorder="1" applyAlignment="1">
      <alignment horizontal="right" wrapText="1"/>
    </xf>
    <xf numFmtId="4" fontId="1" fillId="3" borderId="0" xfId="0" applyNumberFormat="1" applyFont="1" applyFill="1"/>
    <xf numFmtId="4" fontId="7" fillId="5" borderId="4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5" borderId="0" xfId="0" applyFont="1" applyFill="1"/>
    <xf numFmtId="4" fontId="1" fillId="3" borderId="3" xfId="0" applyNumberFormat="1" applyFont="1" applyFill="1" applyBorder="1"/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 wrapText="1"/>
    </xf>
    <xf numFmtId="4" fontId="2" fillId="3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/>
    <xf numFmtId="0" fontId="1" fillId="3" borderId="3" xfId="0" applyFont="1" applyFill="1" applyBorder="1"/>
    <xf numFmtId="2" fontId="1" fillId="3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3" fontId="1" fillId="8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1" fillId="8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3" fontId="1" fillId="9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horizontal="center"/>
    </xf>
    <xf numFmtId="4" fontId="1" fillId="7" borderId="3" xfId="0" applyNumberFormat="1" applyFont="1" applyFill="1" applyBorder="1"/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0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center" vertical="center"/>
    </xf>
    <xf numFmtId="3" fontId="1" fillId="7" borderId="4" xfId="0" applyNumberFormat="1" applyFont="1" applyFill="1" applyBorder="1" applyAlignment="1">
      <alignment horizontal="center"/>
    </xf>
    <xf numFmtId="4" fontId="8" fillId="7" borderId="4" xfId="0" applyNumberFormat="1" applyFont="1" applyFill="1" applyBorder="1" applyAlignment="1">
      <alignment horizontal="right"/>
    </xf>
    <xf numFmtId="167" fontId="1" fillId="0" borderId="3" xfId="0" applyNumberFormat="1" applyFont="1" applyFill="1" applyBorder="1"/>
    <xf numFmtId="168" fontId="1" fillId="0" borderId="3" xfId="0" applyNumberFormat="1" applyFont="1" applyFill="1" applyBorder="1"/>
    <xf numFmtId="169" fontId="1" fillId="0" borderId="3" xfId="0" applyNumberFormat="1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/>
    <xf numFmtId="3" fontId="21" fillId="3" borderId="3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298" t="s">
        <v>1</v>
      </c>
      <c r="B3" s="298"/>
      <c r="C3" s="299"/>
      <c r="D3" s="298"/>
      <c r="E3" s="298"/>
      <c r="F3" s="298"/>
      <c r="G3" s="298"/>
      <c r="H3" s="298"/>
      <c r="I3" s="299"/>
      <c r="J3" s="298"/>
      <c r="K3" s="298"/>
      <c r="L3" s="298"/>
      <c r="M3" s="298"/>
      <c r="N3" s="299"/>
      <c r="O3" s="298"/>
      <c r="P3" s="298"/>
      <c r="Q3" s="298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92" t="s">
        <v>5</v>
      </c>
      <c r="F6" s="292"/>
      <c r="G6" s="292"/>
      <c r="H6" s="293" t="s">
        <v>6</v>
      </c>
      <c r="I6" s="293"/>
      <c r="J6" s="293"/>
      <c r="K6" s="293"/>
      <c r="L6" s="293" t="s">
        <v>7</v>
      </c>
      <c r="M6" s="293"/>
      <c r="N6" s="293"/>
      <c r="O6" s="293"/>
      <c r="P6" s="293"/>
      <c r="Q6" s="293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297" t="s">
        <v>8</v>
      </c>
      <c r="M7" s="297"/>
      <c r="N7" s="297"/>
      <c r="O7" s="297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301" t="s">
        <v>154</v>
      </c>
      <c r="B96" s="301"/>
      <c r="C96" s="301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300" t="s">
        <v>3</v>
      </c>
      <c r="B97" s="300" t="s">
        <v>86</v>
      </c>
      <c r="C97" s="7" t="s">
        <v>87</v>
      </c>
      <c r="D97" s="300" t="s">
        <v>4</v>
      </c>
      <c r="E97" s="300" t="s">
        <v>5</v>
      </c>
      <c r="F97" s="300"/>
      <c r="G97" s="300"/>
      <c r="H97" s="300" t="s">
        <v>6</v>
      </c>
      <c r="I97" s="300"/>
      <c r="J97" s="300"/>
      <c r="K97" s="300"/>
      <c r="L97" s="300" t="s">
        <v>7</v>
      </c>
      <c r="M97" s="300"/>
      <c r="N97" s="300"/>
      <c r="O97" s="300"/>
      <c r="P97" s="300"/>
      <c r="Q97" s="300"/>
    </row>
    <row r="98" spans="1:17" ht="120" x14ac:dyDescent="0.2">
      <c r="A98" s="300"/>
      <c r="B98" s="300"/>
      <c r="C98" s="7"/>
      <c r="D98" s="300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296" t="s">
        <v>98</v>
      </c>
      <c r="B100" s="29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296"/>
      <c r="B101" s="29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296"/>
      <c r="B102" s="29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296"/>
      <c r="B103" s="29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296"/>
      <c r="B104" s="29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296"/>
      <c r="B105" s="29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296"/>
      <c r="B106" s="29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296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296"/>
      <c r="B108" s="29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296"/>
      <c r="B109" s="29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296"/>
      <c r="B110" s="29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296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296"/>
      <c r="B112" s="29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296"/>
      <c r="B113" s="29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296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296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296" t="s">
        <v>113</v>
      </c>
      <c r="B116" s="29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296"/>
      <c r="B117" s="29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296"/>
      <c r="B118" s="29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296"/>
      <c r="B119" s="29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296"/>
      <c r="B120" s="29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296"/>
      <c r="B121" s="29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296"/>
      <c r="B122" s="29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296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296"/>
      <c r="B124" s="29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296"/>
      <c r="B125" s="29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296"/>
      <c r="B126" s="29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296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296"/>
      <c r="B128" s="29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296"/>
      <c r="B129" s="29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296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296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296" t="s">
        <v>114</v>
      </c>
      <c r="B132" s="29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296"/>
      <c r="B133" s="29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296"/>
      <c r="B134" s="29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296"/>
      <c r="B135" s="29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296"/>
      <c r="B136" s="29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296"/>
      <c r="B137" s="29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296"/>
      <c r="B138" s="29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296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296"/>
      <c r="B140" s="29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296"/>
      <c r="B141" s="29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296"/>
      <c r="B142" s="29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296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296"/>
      <c r="B144" s="29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296"/>
      <c r="B145" s="29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296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296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296" t="s">
        <v>115</v>
      </c>
      <c r="B148" s="29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296"/>
      <c r="B149" s="29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296"/>
      <c r="B150" s="29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296"/>
      <c r="B151" s="29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296"/>
      <c r="B152" s="29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296"/>
      <c r="B153" s="29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296"/>
      <c r="B154" s="29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296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296"/>
      <c r="B156" s="29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296"/>
      <c r="B157" s="29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296"/>
      <c r="B158" s="29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296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296"/>
      <c r="B160" s="29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296"/>
      <c r="B161" s="29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296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296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296" t="s">
        <v>116</v>
      </c>
      <c r="B164" s="29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296"/>
      <c r="B165" s="29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296"/>
      <c r="B166" s="29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296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296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296"/>
      <c r="B169" s="29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296"/>
      <c r="B170" s="29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296"/>
      <c r="B171" s="29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296"/>
      <c r="B172" s="29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296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296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296"/>
      <c r="B175" s="29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296"/>
      <c r="B176" s="29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296"/>
      <c r="B177" s="29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296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296"/>
      <c r="B179" s="29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296"/>
      <c r="B180" s="29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296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296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296" t="s">
        <v>119</v>
      </c>
      <c r="B183" s="29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296"/>
      <c r="B184" s="29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296"/>
      <c r="B185" s="29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296"/>
      <c r="B186" s="29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296"/>
      <c r="B187" s="29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296"/>
      <c r="B188" s="29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296"/>
      <c r="B189" s="29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296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296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296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296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296"/>
      <c r="B194" s="29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296"/>
      <c r="B195" s="29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296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296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90" t="s">
        <v>5</v>
      </c>
      <c r="E199" s="290"/>
      <c r="F199" s="290"/>
      <c r="G199" s="291" t="s">
        <v>6</v>
      </c>
      <c r="H199" s="291" t="s">
        <v>7</v>
      </c>
      <c r="I199" s="291"/>
      <c r="J199" s="291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91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88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89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303" t="s">
        <v>207</v>
      </c>
      <c r="B5" s="303"/>
      <c r="C5" s="304"/>
      <c r="D5" s="303"/>
      <c r="E5" s="303"/>
      <c r="F5" s="304"/>
      <c r="G5" s="304"/>
      <c r="H5" s="303"/>
      <c r="I5" s="303"/>
      <c r="J5" s="303"/>
      <c r="K5" s="304"/>
      <c r="L5" s="303"/>
      <c r="M5" s="303"/>
      <c r="N5" s="303"/>
      <c r="O5" s="303"/>
      <c r="P5" s="304"/>
      <c r="Q5" s="304"/>
      <c r="R5" s="304"/>
      <c r="S5" s="304"/>
      <c r="T5" s="303"/>
      <c r="U5" s="303"/>
      <c r="V5" s="303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05" t="s">
        <v>6</v>
      </c>
      <c r="K8" s="306"/>
      <c r="L8" s="306"/>
      <c r="M8" s="307"/>
      <c r="N8" s="308" t="s">
        <v>7</v>
      </c>
      <c r="O8" s="308"/>
      <c r="P8" s="308"/>
      <c r="Q8" s="308"/>
      <c r="R8" s="308"/>
      <c r="S8" s="308"/>
      <c r="T8" s="308"/>
      <c r="U8" s="308"/>
      <c r="V8" s="308"/>
    </row>
    <row r="9" spans="1:24" x14ac:dyDescent="0.25">
      <c r="A9" s="109"/>
      <c r="B9" s="109"/>
      <c r="C9" s="109"/>
      <c r="D9" s="109"/>
      <c r="E9" s="311"/>
      <c r="F9" s="312"/>
      <c r="G9" s="313"/>
      <c r="H9" s="108"/>
      <c r="I9" s="108"/>
      <c r="J9" s="142"/>
      <c r="K9" s="142"/>
      <c r="L9" s="142"/>
      <c r="M9" s="142"/>
      <c r="N9" s="305"/>
      <c r="O9" s="316"/>
      <c r="P9" s="316"/>
      <c r="Q9" s="316"/>
      <c r="R9" s="316"/>
      <c r="S9" s="316"/>
      <c r="T9" s="317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09" t="s">
        <v>176</v>
      </c>
      <c r="O10" s="309"/>
      <c r="P10" s="309"/>
      <c r="Q10" s="309"/>
      <c r="R10" s="309"/>
      <c r="S10" s="309"/>
      <c r="T10" s="309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20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318" t="s">
        <v>78</v>
      </c>
      <c r="D68" s="320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319"/>
      <c r="D69" s="321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310" t="s">
        <v>154</v>
      </c>
      <c r="B104" s="310"/>
      <c r="C104" s="310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314" t="s">
        <v>3</v>
      </c>
      <c r="B105" s="314" t="s">
        <v>86</v>
      </c>
      <c r="C105" s="114" t="s">
        <v>87</v>
      </c>
      <c r="D105" s="314" t="s">
        <v>4</v>
      </c>
      <c r="E105" s="315" t="s">
        <v>5</v>
      </c>
      <c r="F105" s="315"/>
      <c r="G105" s="315"/>
      <c r="H105" s="315"/>
      <c r="I105" s="315"/>
      <c r="J105" s="302" t="s">
        <v>6</v>
      </c>
      <c r="K105" s="302"/>
      <c r="L105" s="302"/>
      <c r="M105" s="302"/>
      <c r="N105" s="302" t="s">
        <v>7</v>
      </c>
      <c r="O105" s="302"/>
      <c r="P105" s="302"/>
      <c r="Q105" s="302"/>
      <c r="R105" s="302"/>
      <c r="S105" s="302"/>
      <c r="T105" s="302"/>
      <c r="U105" s="302"/>
      <c r="V105" s="302"/>
    </row>
    <row r="106" spans="1:22" ht="120" x14ac:dyDescent="0.25">
      <c r="A106" s="314"/>
      <c r="B106" s="314"/>
      <c r="C106" s="114"/>
      <c r="D106" s="314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322" t="s">
        <v>98</v>
      </c>
      <c r="B108" s="324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322"/>
      <c r="B109" s="325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322"/>
      <c r="B110" s="325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322"/>
      <c r="B111" s="325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322"/>
      <c r="B112" s="325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322"/>
      <c r="B113" s="325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322"/>
      <c r="B114" s="325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322"/>
      <c r="B115" s="325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322"/>
      <c r="B116" s="325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322"/>
      <c r="B117" s="325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322"/>
      <c r="B118" s="325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322"/>
      <c r="B119" s="326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322"/>
      <c r="B120" s="323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322"/>
      <c r="B121" s="323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322"/>
      <c r="B122" s="323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322"/>
      <c r="B123" s="323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322"/>
      <c r="B124" s="323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322"/>
      <c r="B125" s="323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322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322"/>
      <c r="B127" s="323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322"/>
      <c r="B128" s="323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322"/>
      <c r="B129" s="323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322"/>
      <c r="B130" s="323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322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322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322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322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322" t="s">
        <v>113</v>
      </c>
      <c r="B135" s="323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322"/>
      <c r="B136" s="323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322"/>
      <c r="B137" s="323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322"/>
      <c r="B138" s="323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322"/>
      <c r="B139" s="323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322"/>
      <c r="B140" s="323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322"/>
      <c r="B141" s="323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322"/>
      <c r="B142" s="323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322"/>
      <c r="B143" s="323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322"/>
      <c r="B144" s="323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322"/>
      <c r="B145" s="323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322"/>
      <c r="B146" s="323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322"/>
      <c r="B147" s="323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322"/>
      <c r="B148" s="323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322"/>
      <c r="B149" s="323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322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322"/>
      <c r="B151" s="323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322"/>
      <c r="B152" s="323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322"/>
      <c r="B153" s="323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322"/>
      <c r="B154" s="323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322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322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322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322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322" t="s">
        <v>114</v>
      </c>
      <c r="B159" s="323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322"/>
      <c r="B160" s="323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322"/>
      <c r="B161" s="323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322"/>
      <c r="B162" s="323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322"/>
      <c r="B163" s="323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322"/>
      <c r="B164" s="323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322"/>
      <c r="B165" s="323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322"/>
      <c r="B166" s="323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322"/>
      <c r="B167" s="323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322"/>
      <c r="B168" s="323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322"/>
      <c r="B169" s="323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322"/>
      <c r="B170" s="323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322"/>
      <c r="B171" s="323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322"/>
      <c r="B172" s="323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322"/>
      <c r="B173" s="323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322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322"/>
      <c r="B175" s="323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322"/>
      <c r="B176" s="323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322"/>
      <c r="B177" s="323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322"/>
      <c r="B178" s="323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322"/>
      <c r="B179" s="323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322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322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322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322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322" t="s">
        <v>115</v>
      </c>
      <c r="B184" s="323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322"/>
      <c r="B185" s="323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322"/>
      <c r="B186" s="323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322"/>
      <c r="B187" s="323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322"/>
      <c r="B188" s="323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322"/>
      <c r="B189" s="323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322"/>
      <c r="B190" s="323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322"/>
      <c r="B191" s="323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322"/>
      <c r="B192" s="323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322"/>
      <c r="B193" s="323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322"/>
      <c r="B194" s="323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322"/>
      <c r="B195" s="323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322"/>
      <c r="B196" s="323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322"/>
      <c r="B197" s="323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322"/>
      <c r="B198" s="323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322"/>
      <c r="B199" s="323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322"/>
      <c r="B200" s="323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322"/>
      <c r="B201" s="323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322"/>
      <c r="B202" s="323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322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322"/>
      <c r="B204" s="323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322"/>
      <c r="B205" s="323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322"/>
      <c r="B206" s="323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322"/>
      <c r="B207" s="323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322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322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322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322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322" t="s">
        <v>116</v>
      </c>
      <c r="B212" s="324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322"/>
      <c r="B213" s="325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322"/>
      <c r="B214" s="325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322"/>
      <c r="B215" s="325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322"/>
      <c r="B216" s="325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322"/>
      <c r="B217" s="325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322"/>
      <c r="B218" s="325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322"/>
      <c r="B219" s="325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322"/>
      <c r="B220" s="325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322"/>
      <c r="B221" s="325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322"/>
      <c r="B222" s="326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322"/>
      <c r="B223" s="324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322"/>
      <c r="B224" s="325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322"/>
      <c r="B225" s="325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322"/>
      <c r="B226" s="325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322"/>
      <c r="B227" s="325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322"/>
      <c r="B228" s="325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322"/>
      <c r="B229" s="325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322"/>
      <c r="B230" s="325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322"/>
      <c r="B231" s="326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322"/>
      <c r="B232" s="324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322"/>
      <c r="B233" s="325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322"/>
      <c r="B234" s="325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322"/>
      <c r="B235" s="325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322"/>
      <c r="B236" s="325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322"/>
      <c r="B237" s="326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322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322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322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322" t="s">
        <v>119</v>
      </c>
      <c r="B241" s="323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322"/>
      <c r="B242" s="323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322"/>
      <c r="B243" s="323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322"/>
      <c r="B244" s="323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322"/>
      <c r="B245" s="323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322"/>
      <c r="B246" s="323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322"/>
      <c r="B247" s="323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322"/>
      <c r="B248" s="323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322"/>
      <c r="B249" s="323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322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322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322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322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322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322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322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322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322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322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322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322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322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327" t="s">
        <v>5</v>
      </c>
      <c r="E264" s="327"/>
      <c r="F264" s="327"/>
      <c r="G264" s="327"/>
      <c r="H264" s="327"/>
      <c r="I264" s="308" t="s">
        <v>6</v>
      </c>
      <c r="J264" s="308" t="s">
        <v>7</v>
      </c>
      <c r="K264" s="308"/>
      <c r="L264" s="308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08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9"/>
  <sheetViews>
    <sheetView tabSelected="1" topLeftCell="D1" zoomScale="60" zoomScaleNormal="60" workbookViewId="0">
      <selection activeCell="V1" sqref="V1:Y1048576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203" customWidth="1"/>
    <col min="14" max="14" width="16.7109375" style="203" customWidth="1"/>
    <col min="15" max="15" width="22.140625" style="203" customWidth="1"/>
    <col min="16" max="16" width="14.7109375" style="203" customWidth="1"/>
    <col min="17" max="17" width="21.85546875" style="203" customWidth="1"/>
    <col min="18" max="18" width="18.140625" style="203" customWidth="1"/>
    <col min="19" max="19" width="18.5703125" style="203" customWidth="1"/>
    <col min="20" max="20" width="18.7109375" style="203" customWidth="1"/>
    <col min="21" max="21" width="19" style="203" customWidth="1"/>
    <col min="22" max="22" width="15.28515625" style="80" hidden="1" customWidth="1"/>
    <col min="23" max="23" width="13.5703125" style="80" hidden="1" customWidth="1"/>
    <col min="24" max="24" width="22" style="80" hidden="1" customWidth="1"/>
    <col min="25" max="25" width="18" style="80" hidden="1" customWidth="1"/>
    <col min="26" max="26" width="18.42578125" style="80" customWidth="1"/>
    <col min="27" max="16384" width="9.140625" style="80"/>
  </cols>
  <sheetData>
    <row r="1" spans="1:21" x14ac:dyDescent="0.25">
      <c r="T1" s="208" t="s">
        <v>310</v>
      </c>
    </row>
    <row r="2" spans="1:21" x14ac:dyDescent="0.25">
      <c r="T2" s="208" t="s">
        <v>319</v>
      </c>
    </row>
    <row r="3" spans="1:21" x14ac:dyDescent="0.25">
      <c r="R3" s="208"/>
      <c r="S3" s="208"/>
      <c r="T3" s="208" t="s">
        <v>175</v>
      </c>
    </row>
    <row r="4" spans="1:21" x14ac:dyDescent="0.25">
      <c r="R4" s="208"/>
      <c r="S4" s="208"/>
      <c r="T4" s="208" t="s">
        <v>315</v>
      </c>
    </row>
    <row r="5" spans="1:21" hidden="1" x14ac:dyDescent="0.25">
      <c r="R5" s="208" t="s">
        <v>175</v>
      </c>
      <c r="S5" s="208"/>
    </row>
    <row r="6" spans="1:21" hidden="1" x14ac:dyDescent="0.25">
      <c r="R6" s="208" t="s">
        <v>189</v>
      </c>
      <c r="S6" s="208"/>
    </row>
    <row r="7" spans="1:21" x14ac:dyDescent="0.25">
      <c r="A7" s="303" t="s">
        <v>266</v>
      </c>
      <c r="B7" s="303"/>
      <c r="C7" s="304"/>
      <c r="D7" s="303"/>
      <c r="E7" s="303"/>
      <c r="F7" s="304"/>
      <c r="G7" s="304"/>
      <c r="H7" s="303"/>
      <c r="I7" s="303"/>
      <c r="J7" s="303"/>
      <c r="K7" s="304"/>
      <c r="L7" s="303"/>
      <c r="M7" s="303"/>
      <c r="N7" s="303"/>
      <c r="O7" s="303"/>
      <c r="P7" s="304"/>
      <c r="Q7" s="304"/>
      <c r="R7" s="303"/>
      <c r="S7" s="304"/>
      <c r="T7" s="303"/>
      <c r="U7" s="303"/>
    </row>
    <row r="8" spans="1:21" x14ac:dyDescent="0.25">
      <c r="A8" s="310" t="s">
        <v>154</v>
      </c>
      <c r="B8" s="310"/>
      <c r="C8" s="310"/>
      <c r="D8" s="86"/>
      <c r="E8" s="87"/>
      <c r="F8" s="87"/>
      <c r="G8" s="87"/>
      <c r="H8" s="87"/>
      <c r="I8" s="87"/>
      <c r="J8" s="75"/>
      <c r="K8" s="75"/>
      <c r="L8" s="75"/>
      <c r="M8" s="46"/>
      <c r="N8" s="46"/>
      <c r="O8" s="46"/>
      <c r="P8" s="46"/>
      <c r="Q8" s="46"/>
      <c r="R8" s="46"/>
      <c r="S8" s="46"/>
      <c r="T8" s="46"/>
      <c r="U8" s="46"/>
    </row>
    <row r="9" spans="1:21" ht="30" x14ac:dyDescent="0.25">
      <c r="A9" s="314" t="s">
        <v>3</v>
      </c>
      <c r="B9" s="314" t="s">
        <v>86</v>
      </c>
      <c r="C9" s="189" t="s">
        <v>87</v>
      </c>
      <c r="D9" s="314" t="s">
        <v>4</v>
      </c>
      <c r="E9" s="315" t="s">
        <v>5</v>
      </c>
      <c r="F9" s="315"/>
      <c r="G9" s="315"/>
      <c r="H9" s="315"/>
      <c r="I9" s="315"/>
      <c r="J9" s="302" t="s">
        <v>6</v>
      </c>
      <c r="K9" s="302"/>
      <c r="L9" s="302"/>
      <c r="M9" s="302"/>
      <c r="N9" s="331" t="s">
        <v>7</v>
      </c>
      <c r="O9" s="331"/>
      <c r="P9" s="331"/>
      <c r="Q9" s="331"/>
      <c r="R9" s="331"/>
      <c r="S9" s="331"/>
      <c r="T9" s="331"/>
      <c r="U9" s="331"/>
    </row>
    <row r="10" spans="1:21" ht="120" x14ac:dyDescent="0.25">
      <c r="A10" s="314"/>
      <c r="B10" s="314"/>
      <c r="C10" s="189"/>
      <c r="D10" s="314"/>
      <c r="E10" s="190" t="s">
        <v>176</v>
      </c>
      <c r="F10" s="190" t="s">
        <v>208</v>
      </c>
      <c r="G10" s="219" t="s">
        <v>268</v>
      </c>
      <c r="H10" s="219" t="s">
        <v>205</v>
      </c>
      <c r="I10" s="219" t="s">
        <v>267</v>
      </c>
      <c r="J10" s="186" t="s">
        <v>88</v>
      </c>
      <c r="K10" s="186" t="s">
        <v>89</v>
      </c>
      <c r="L10" s="186" t="s">
        <v>90</v>
      </c>
      <c r="M10" s="204" t="s">
        <v>91</v>
      </c>
      <c r="N10" s="204" t="s">
        <v>269</v>
      </c>
      <c r="O10" s="204" t="s">
        <v>93</v>
      </c>
      <c r="P10" s="284" t="s">
        <v>94</v>
      </c>
      <c r="Q10" s="284" t="s">
        <v>222</v>
      </c>
      <c r="R10" s="284" t="s">
        <v>95</v>
      </c>
      <c r="S10" s="284" t="s">
        <v>223</v>
      </c>
      <c r="T10" s="284" t="s">
        <v>210</v>
      </c>
      <c r="U10" s="284" t="s">
        <v>270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86" t="s">
        <v>17</v>
      </c>
      <c r="K11" s="186" t="s">
        <v>17</v>
      </c>
      <c r="L11" s="186" t="s">
        <v>17</v>
      </c>
      <c r="M11" s="204" t="s">
        <v>17</v>
      </c>
      <c r="N11" s="204" t="s">
        <v>17</v>
      </c>
      <c r="O11" s="204" t="s">
        <v>17</v>
      </c>
      <c r="P11" s="284" t="s">
        <v>17</v>
      </c>
      <c r="Q11" s="284"/>
      <c r="R11" s="284" t="s">
        <v>17</v>
      </c>
      <c r="S11" s="284"/>
      <c r="T11" s="284" t="s">
        <v>17</v>
      </c>
      <c r="U11" s="284" t="s">
        <v>17</v>
      </c>
    </row>
    <row r="12" spans="1:21" ht="90" x14ac:dyDescent="0.25">
      <c r="A12" s="322" t="s">
        <v>98</v>
      </c>
      <c r="B12" s="324" t="s">
        <v>237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38336.883425679996</v>
      </c>
      <c r="K12" s="107">
        <f>19579.7+1329.32</f>
        <v>20909.02</v>
      </c>
      <c r="L12" s="70">
        <f>4001.99*2.411294</f>
        <v>9649.9744750599984</v>
      </c>
      <c r="M12" s="201">
        <f>7790.73-12.84104938</f>
        <v>7777.8889506199994</v>
      </c>
      <c r="N12" s="202">
        <f>SUM(O12:R12)</f>
        <v>10964342.829744481</v>
      </c>
      <c r="O12" s="202">
        <f>G12*K12-0.28</f>
        <v>5979979.4399999995</v>
      </c>
      <c r="P12" s="202">
        <f>G12*L12-5.55</f>
        <v>2759887.1498671598</v>
      </c>
      <c r="Q12" s="202"/>
      <c r="R12" s="46">
        <f>G12*M12</f>
        <v>2224476.2398773199</v>
      </c>
      <c r="S12" s="46"/>
      <c r="T12" s="46">
        <f>N12</f>
        <v>10964342.829744481</v>
      </c>
      <c r="U12" s="46">
        <f>T12</f>
        <v>10964342.829744481</v>
      </c>
    </row>
    <row r="13" spans="1:21" ht="90" x14ac:dyDescent="0.25">
      <c r="A13" s="322"/>
      <c r="B13" s="325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205" t="s">
        <v>104</v>
      </c>
      <c r="N13" s="204"/>
      <c r="O13" s="202"/>
      <c r="P13" s="205" t="s">
        <v>104</v>
      </c>
      <c r="Q13" s="205"/>
      <c r="R13" s="205" t="s">
        <v>104</v>
      </c>
      <c r="S13" s="205"/>
      <c r="T13" s="250"/>
      <c r="U13" s="250"/>
    </row>
    <row r="14" spans="1:21" x14ac:dyDescent="0.25">
      <c r="A14" s="322"/>
      <c r="B14" s="325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205" t="s">
        <v>104</v>
      </c>
      <c r="N14" s="204">
        <f>O14</f>
        <v>0</v>
      </c>
      <c r="O14" s="202">
        <f>G14*K14</f>
        <v>0</v>
      </c>
      <c r="P14" s="205" t="s">
        <v>104</v>
      </c>
      <c r="Q14" s="205"/>
      <c r="R14" s="205" t="s">
        <v>104</v>
      </c>
      <c r="S14" s="205"/>
      <c r="T14" s="250">
        <f>H14*K14</f>
        <v>0</v>
      </c>
      <c r="U14" s="250">
        <f>I14*K14</f>
        <v>0</v>
      </c>
    </row>
    <row r="15" spans="1:21" x14ac:dyDescent="0.25">
      <c r="A15" s="322"/>
      <c r="B15" s="325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205" t="s">
        <v>104</v>
      </c>
      <c r="N15" s="204">
        <f>O15</f>
        <v>624263.94000000006</v>
      </c>
      <c r="O15" s="202">
        <f t="shared" ref="O15:O21" si="0">G15*K15</f>
        <v>624263.94000000006</v>
      </c>
      <c r="P15" s="205" t="s">
        <v>104</v>
      </c>
      <c r="Q15" s="205"/>
      <c r="R15" s="205" t="s">
        <v>104</v>
      </c>
      <c r="S15" s="205"/>
      <c r="T15" s="250">
        <f>H15*K15</f>
        <v>624263.94000000006</v>
      </c>
      <c r="U15" s="250">
        <f>I15*K15</f>
        <v>624263.94000000006</v>
      </c>
    </row>
    <row r="16" spans="1:21" x14ac:dyDescent="0.25">
      <c r="A16" s="322"/>
      <c r="B16" s="325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205" t="s">
        <v>104</v>
      </c>
      <c r="N16" s="204">
        <f t="shared" ref="N16:N21" si="2">O16</f>
        <v>184936.5</v>
      </c>
      <c r="O16" s="202">
        <f t="shared" si="0"/>
        <v>184936.5</v>
      </c>
      <c r="P16" s="205" t="s">
        <v>104</v>
      </c>
      <c r="Q16" s="205"/>
      <c r="R16" s="205" t="s">
        <v>104</v>
      </c>
      <c r="S16" s="205"/>
      <c r="T16" s="250">
        <f t="shared" ref="T16:T21" si="3">H16*K16</f>
        <v>184936.5</v>
      </c>
      <c r="U16" s="250">
        <f t="shared" ref="U16:U21" si="4">I16*K16</f>
        <v>184936.5</v>
      </c>
    </row>
    <row r="17" spans="1:24" x14ac:dyDescent="0.25">
      <c r="A17" s="322"/>
      <c r="B17" s="325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205" t="s">
        <v>104</v>
      </c>
      <c r="N17" s="204">
        <f t="shared" si="2"/>
        <v>1459949.04</v>
      </c>
      <c r="O17" s="202">
        <f t="shared" si="0"/>
        <v>1459949.04</v>
      </c>
      <c r="P17" s="205" t="s">
        <v>104</v>
      </c>
      <c r="Q17" s="205"/>
      <c r="R17" s="205" t="s">
        <v>104</v>
      </c>
      <c r="S17" s="205"/>
      <c r="T17" s="250">
        <f t="shared" si="3"/>
        <v>1459949.04</v>
      </c>
      <c r="U17" s="250">
        <f t="shared" si="4"/>
        <v>1459949.04</v>
      </c>
    </row>
    <row r="18" spans="1:24" x14ac:dyDescent="0.25">
      <c r="A18" s="322"/>
      <c r="B18" s="325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205" t="s">
        <v>104</v>
      </c>
      <c r="N18" s="204">
        <f t="shared" si="2"/>
        <v>349781.66</v>
      </c>
      <c r="O18" s="202">
        <f t="shared" si="0"/>
        <v>349781.66</v>
      </c>
      <c r="P18" s="205" t="s">
        <v>104</v>
      </c>
      <c r="Q18" s="205"/>
      <c r="R18" s="205" t="s">
        <v>104</v>
      </c>
      <c r="S18" s="205"/>
      <c r="T18" s="250">
        <f t="shared" si="3"/>
        <v>349781.66</v>
      </c>
      <c r="U18" s="250">
        <f t="shared" si="4"/>
        <v>349781.66</v>
      </c>
    </row>
    <row r="19" spans="1:24" x14ac:dyDescent="0.25">
      <c r="A19" s="322"/>
      <c r="B19" s="325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205"/>
      <c r="N19" s="204">
        <f t="shared" si="2"/>
        <v>0</v>
      </c>
      <c r="O19" s="202">
        <f t="shared" si="0"/>
        <v>0</v>
      </c>
      <c r="P19" s="205" t="s">
        <v>104</v>
      </c>
      <c r="Q19" s="205"/>
      <c r="R19" s="205" t="s">
        <v>104</v>
      </c>
      <c r="S19" s="205"/>
      <c r="T19" s="250">
        <f t="shared" si="3"/>
        <v>0</v>
      </c>
      <c r="U19" s="250">
        <f t="shared" si="4"/>
        <v>0</v>
      </c>
    </row>
    <row r="20" spans="1:24" x14ac:dyDescent="0.25">
      <c r="A20" s="322"/>
      <c r="B20" s="325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205" t="s">
        <v>104</v>
      </c>
      <c r="N20" s="204">
        <f t="shared" si="2"/>
        <v>99648.29</v>
      </c>
      <c r="O20" s="202">
        <f t="shared" si="0"/>
        <v>99648.29</v>
      </c>
      <c r="P20" s="205" t="s">
        <v>104</v>
      </c>
      <c r="Q20" s="205"/>
      <c r="R20" s="205" t="s">
        <v>104</v>
      </c>
      <c r="S20" s="205"/>
      <c r="T20" s="250">
        <f t="shared" si="3"/>
        <v>99648.29</v>
      </c>
      <c r="U20" s="250">
        <f t="shared" si="4"/>
        <v>99648.29</v>
      </c>
    </row>
    <row r="21" spans="1:24" x14ac:dyDescent="0.25">
      <c r="A21" s="322"/>
      <c r="B21" s="325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205" t="s">
        <v>104</v>
      </c>
      <c r="N21" s="204">
        <f t="shared" si="2"/>
        <v>23553.439999999999</v>
      </c>
      <c r="O21" s="202">
        <f t="shared" si="0"/>
        <v>23553.439999999999</v>
      </c>
      <c r="P21" s="205" t="s">
        <v>104</v>
      </c>
      <c r="Q21" s="205"/>
      <c r="R21" s="205" t="s">
        <v>104</v>
      </c>
      <c r="S21" s="205"/>
      <c r="T21" s="250">
        <f t="shared" si="3"/>
        <v>23553.439999999999</v>
      </c>
      <c r="U21" s="250">
        <f t="shared" si="4"/>
        <v>23553.439999999999</v>
      </c>
    </row>
    <row r="22" spans="1:24" ht="120" x14ac:dyDescent="0.25">
      <c r="A22" s="322"/>
      <c r="B22" s="325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140170.10342567999</v>
      </c>
      <c r="K22" s="75">
        <f>121412.92+1329.32</f>
        <v>122742.24</v>
      </c>
      <c r="L22" s="72">
        <f>4001.99*2.411294</f>
        <v>9649.9744750599984</v>
      </c>
      <c r="M22" s="201">
        <f>7790.73-12.84104938</f>
        <v>7777.8889506199994</v>
      </c>
      <c r="N22" s="202">
        <f>SUM(O22:R22)</f>
        <v>420510.31027704</v>
      </c>
      <c r="O22" s="202">
        <f>G22*K22</f>
        <v>368226.72000000003</v>
      </c>
      <c r="P22" s="202">
        <f>G22*L22</f>
        <v>28949.923425179994</v>
      </c>
      <c r="Q22" s="202"/>
      <c r="R22" s="46">
        <f>G22*M22</f>
        <v>23333.666851859998</v>
      </c>
      <c r="S22" s="46"/>
      <c r="T22" s="250">
        <f>H22*J22</f>
        <v>420510.31027704</v>
      </c>
      <c r="U22" s="250">
        <f t="shared" ref="U22:U127" si="6">I22*J22</f>
        <v>420510.31027704</v>
      </c>
    </row>
    <row r="23" spans="1:24" x14ac:dyDescent="0.25">
      <c r="A23" s="322"/>
      <c r="B23" s="326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7">H12+H22</f>
        <v>289</v>
      </c>
      <c r="I23" s="59">
        <f t="shared" si="7"/>
        <v>289</v>
      </c>
      <c r="J23" s="71" t="s">
        <v>104</v>
      </c>
      <c r="K23" s="71" t="s">
        <v>104</v>
      </c>
      <c r="L23" s="71" t="s">
        <v>104</v>
      </c>
      <c r="M23" s="202" t="s">
        <v>104</v>
      </c>
      <c r="N23" s="202">
        <f>SUM(N12:N22)</f>
        <v>14126986.010021519</v>
      </c>
      <c r="O23" s="202">
        <f t="shared" ref="O23:R23" si="8">SUM(O12:O22)</f>
        <v>9090339.0299999993</v>
      </c>
      <c r="P23" s="202">
        <f t="shared" si="8"/>
        <v>2788837.0732923397</v>
      </c>
      <c r="Q23" s="202"/>
      <c r="R23" s="202">
        <f t="shared" si="8"/>
        <v>2247809.9067291799</v>
      </c>
      <c r="S23" s="202"/>
      <c r="T23" s="46">
        <f>SUM(T12:T22)</f>
        <v>14126986.010021519</v>
      </c>
      <c r="U23" s="46">
        <f>SUM(U12:U22)</f>
        <v>14126986.010021519</v>
      </c>
      <c r="W23" s="85">
        <f>R23+R30+R36+R42</f>
        <v>5040072.0400017593</v>
      </c>
    </row>
    <row r="24" spans="1:24" ht="90" x14ac:dyDescent="0.25">
      <c r="A24" s="322"/>
      <c r="B24" s="323" t="s">
        <v>238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53396.333425680001</v>
      </c>
      <c r="K24" s="107">
        <f>34346.05+1622.42</f>
        <v>35968.47</v>
      </c>
      <c r="L24" s="70">
        <f>4001.99*2.411294</f>
        <v>9649.9744750599984</v>
      </c>
      <c r="M24" s="201">
        <f>7790.73-12.84104938</f>
        <v>7777.8889506199994</v>
      </c>
      <c r="N24" s="202">
        <f>SUM(O24:R24)</f>
        <v>12921912.68901456</v>
      </c>
      <c r="O24" s="202">
        <f>G24*K24</f>
        <v>8704369.7400000002</v>
      </c>
      <c r="P24" s="200">
        <f>G24*L24</f>
        <v>2335293.8229645197</v>
      </c>
      <c r="Q24" s="200"/>
      <c r="R24" s="46">
        <f>G24*M24</f>
        <v>1882249.1260500399</v>
      </c>
      <c r="S24" s="46"/>
      <c r="T24" s="46">
        <f t="shared" ref="T24:T127" si="9">H24*J24</f>
        <v>12921912.68901456</v>
      </c>
      <c r="U24" s="46">
        <f t="shared" si="6"/>
        <v>12921912.68901456</v>
      </c>
      <c r="X24" s="85"/>
    </row>
    <row r="25" spans="1:24" ht="111.75" customHeight="1" x14ac:dyDescent="0.25">
      <c r="A25" s="322"/>
      <c r="B25" s="323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123" t="s">
        <v>104</v>
      </c>
      <c r="N25" s="202"/>
      <c r="O25" s="202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 x14ac:dyDescent="0.25">
      <c r="A26" s="322"/>
      <c r="B26" s="323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123" t="s">
        <v>104</v>
      </c>
      <c r="N26" s="202">
        <f>O26</f>
        <v>277404.75</v>
      </c>
      <c r="O26" s="202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 x14ac:dyDescent="0.25">
      <c r="A27" s="322"/>
      <c r="B27" s="323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10">K27</f>
        <v>266106.15000000002</v>
      </c>
      <c r="K27" s="75">
        <v>266106.15000000002</v>
      </c>
      <c r="L27" s="59" t="s">
        <v>104</v>
      </c>
      <c r="M27" s="123" t="s">
        <v>104</v>
      </c>
      <c r="N27" s="202">
        <f t="shared" ref="N27:N28" si="11">O27</f>
        <v>532212.30000000005</v>
      </c>
      <c r="O27" s="202">
        <f t="shared" ref="O27:O28" si="12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3">H27*K27</f>
        <v>532212.30000000005</v>
      </c>
      <c r="U27" s="46">
        <f t="shared" ref="U27:U28" si="14">I27*K27</f>
        <v>532212.30000000005</v>
      </c>
    </row>
    <row r="28" spans="1:24" ht="21" customHeight="1" x14ac:dyDescent="0.25">
      <c r="A28" s="322"/>
      <c r="B28" s="323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10"/>
        <v>23553.439999999999</v>
      </c>
      <c r="K28" s="75">
        <v>23553.439999999999</v>
      </c>
      <c r="L28" s="59" t="s">
        <v>104</v>
      </c>
      <c r="M28" s="123" t="s">
        <v>104</v>
      </c>
      <c r="N28" s="202">
        <f t="shared" si="11"/>
        <v>23553.439999999999</v>
      </c>
      <c r="O28" s="202">
        <f t="shared" si="12"/>
        <v>23553.439999999999</v>
      </c>
      <c r="P28" s="123" t="s">
        <v>104</v>
      </c>
      <c r="Q28" s="123"/>
      <c r="R28" s="123" t="s">
        <v>104</v>
      </c>
      <c r="S28" s="123"/>
      <c r="T28" s="46">
        <f t="shared" si="13"/>
        <v>23553.439999999999</v>
      </c>
      <c r="U28" s="46">
        <f t="shared" si="14"/>
        <v>23553.439999999999</v>
      </c>
    </row>
    <row r="29" spans="1:24" ht="120" x14ac:dyDescent="0.25">
      <c r="A29" s="322"/>
      <c r="B29" s="323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153030.05000000002</v>
      </c>
      <c r="K29" s="73">
        <f>151407.63+1622.42</f>
        <v>153030.05000000002</v>
      </c>
      <c r="L29" s="70">
        <f>4001.99*2.411294</f>
        <v>9649.9744750599984</v>
      </c>
      <c r="M29" s="201">
        <f>7790.73-12.84104938</f>
        <v>7777.8889506199994</v>
      </c>
      <c r="N29" s="202">
        <f>SUM(O29:R29)</f>
        <v>340915.82685136003</v>
      </c>
      <c r="O29" s="202">
        <f>G29*K29</f>
        <v>306060.10000000003</v>
      </c>
      <c r="P29" s="200">
        <f>G29*L29</f>
        <v>19299.948950119997</v>
      </c>
      <c r="Q29" s="200"/>
      <c r="R29" s="46">
        <f>G29*M29</f>
        <v>15555.777901239999</v>
      </c>
      <c r="S29" s="46"/>
      <c r="T29" s="46">
        <f>N29</f>
        <v>340915.82685136003</v>
      </c>
      <c r="U29" s="46">
        <f>T29</f>
        <v>340915.82685136003</v>
      </c>
    </row>
    <row r="30" spans="1:24" x14ac:dyDescent="0.25">
      <c r="A30" s="322"/>
      <c r="B30" s="191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5">H24+H29</f>
        <v>244</v>
      </c>
      <c r="I30" s="60">
        <f t="shared" si="15"/>
        <v>244</v>
      </c>
      <c r="J30" s="59" t="s">
        <v>104</v>
      </c>
      <c r="K30" s="59" t="s">
        <v>104</v>
      </c>
      <c r="L30" s="59" t="s">
        <v>104</v>
      </c>
      <c r="M30" s="123" t="s">
        <v>104</v>
      </c>
      <c r="N30" s="206">
        <f>SUM(N24:N29)</f>
        <v>14095999.00586592</v>
      </c>
      <c r="O30" s="206">
        <f t="shared" ref="O30:U30" si="16">SUM(O24:O29)</f>
        <v>9843600.3300000001</v>
      </c>
      <c r="P30" s="206">
        <f t="shared" si="16"/>
        <v>2354593.7719146395</v>
      </c>
      <c r="Q30" s="206"/>
      <c r="R30" s="206">
        <f t="shared" si="16"/>
        <v>1897804.9039512798</v>
      </c>
      <c r="S30" s="206"/>
      <c r="T30" s="206">
        <f t="shared" si="16"/>
        <v>14095999.00586592</v>
      </c>
      <c r="U30" s="206">
        <f t="shared" si="16"/>
        <v>14095999.00586592</v>
      </c>
    </row>
    <row r="31" spans="1:24" ht="82.9" customHeight="1" x14ac:dyDescent="0.25">
      <c r="A31" s="322"/>
      <c r="B31" s="324" t="s">
        <v>239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60498.773425680003</v>
      </c>
      <c r="K31" s="107">
        <f>41105.12+1965.79</f>
        <v>43070.91</v>
      </c>
      <c r="L31" s="70">
        <f>4001.99*2.411294</f>
        <v>9649.9744750599984</v>
      </c>
      <c r="M31" s="201">
        <f>7790.73-12.84104938</f>
        <v>7777.8889506199994</v>
      </c>
      <c r="N31" s="200">
        <f>SUM(O31:R31)</f>
        <v>2782943.6475812802</v>
      </c>
      <c r="O31" s="200">
        <f>G31*K31</f>
        <v>1981261.86</v>
      </c>
      <c r="P31" s="200">
        <f>G31*L31+0.09</f>
        <v>443898.91585275996</v>
      </c>
      <c r="Q31" s="200"/>
      <c r="R31" s="46">
        <f>G31*M31-0.02</f>
        <v>357782.87172851997</v>
      </c>
      <c r="S31" s="46"/>
      <c r="T31" s="46">
        <f>N31</f>
        <v>2782943.6475812802</v>
      </c>
      <c r="U31" s="46">
        <f>T31</f>
        <v>2782943.6475812802</v>
      </c>
    </row>
    <row r="32" spans="1:24" ht="120" x14ac:dyDescent="0.25">
      <c r="A32" s="322"/>
      <c r="B32" s="325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123" t="s">
        <v>104</v>
      </c>
      <c r="N32" s="202"/>
      <c r="O32" s="202"/>
      <c r="P32" s="123" t="s">
        <v>104</v>
      </c>
      <c r="Q32" s="123"/>
      <c r="R32" s="123" t="s">
        <v>104</v>
      </c>
      <c r="S32" s="123"/>
      <c r="T32" s="46"/>
      <c r="U32" s="46"/>
    </row>
    <row r="33" spans="1:24" x14ac:dyDescent="0.25">
      <c r="A33" s="322"/>
      <c r="B33" s="325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7">K33</f>
        <v>23553.439999999999</v>
      </c>
      <c r="K33" s="75">
        <v>23553.439999999999</v>
      </c>
      <c r="L33" s="59" t="s">
        <v>104</v>
      </c>
      <c r="M33" s="123" t="s">
        <v>104</v>
      </c>
      <c r="N33" s="202">
        <f t="shared" ref="N33" si="18">O33</f>
        <v>0</v>
      </c>
      <c r="O33" s="202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9">H33*K33</f>
        <v>0</v>
      </c>
      <c r="U33" s="46">
        <f t="shared" ref="U33" si="20">I33*K33</f>
        <v>0</v>
      </c>
    </row>
    <row r="34" spans="1:24" ht="120" x14ac:dyDescent="0.25">
      <c r="A34" s="322"/>
      <c r="B34" s="325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200"/>
      <c r="N34" s="200"/>
      <c r="O34" s="200"/>
      <c r="P34" s="200"/>
      <c r="Q34" s="200"/>
      <c r="R34" s="200"/>
      <c r="S34" s="200"/>
      <c r="T34" s="46">
        <f t="shared" si="9"/>
        <v>0</v>
      </c>
      <c r="U34" s="46">
        <f t="shared" si="6"/>
        <v>0</v>
      </c>
    </row>
    <row r="35" spans="1:24" ht="92.45" customHeight="1" x14ac:dyDescent="0.25">
      <c r="A35" s="322"/>
      <c r="B35" s="326"/>
      <c r="C35" s="166" t="s">
        <v>255</v>
      </c>
      <c r="D35" s="167" t="s">
        <v>101</v>
      </c>
      <c r="E35" s="168">
        <v>69</v>
      </c>
      <c r="F35" s="168">
        <v>69</v>
      </c>
      <c r="G35" s="168">
        <v>69</v>
      </c>
      <c r="H35" s="168">
        <v>69</v>
      </c>
      <c r="I35" s="168">
        <v>69</v>
      </c>
      <c r="J35" s="171">
        <f>K35+L35</f>
        <v>43939.594475060003</v>
      </c>
      <c r="K35" s="171">
        <f>32323.83+1965.79</f>
        <v>34289.620000000003</v>
      </c>
      <c r="L35" s="163">
        <f>4001.99*2.411294</f>
        <v>9649.9744750599984</v>
      </c>
      <c r="M35" s="201">
        <f>7790.73-12.84104938</f>
        <v>7777.8889506199994</v>
      </c>
      <c r="N35" s="200">
        <f>SUM(O35:R35)</f>
        <v>3568506.3763719201</v>
      </c>
      <c r="O35" s="200">
        <f>G35*K35</f>
        <v>2365983.7800000003</v>
      </c>
      <c r="P35" s="200">
        <f>G35*L35</f>
        <v>665848.23877913994</v>
      </c>
      <c r="Q35" s="123" t="s">
        <v>104</v>
      </c>
      <c r="R35" s="202">
        <f>M35*G35+0.02</f>
        <v>536674.35759278003</v>
      </c>
      <c r="S35" s="123" t="s">
        <v>104</v>
      </c>
      <c r="T35" s="46">
        <f>N35</f>
        <v>3568506.3763719201</v>
      </c>
      <c r="U35" s="46">
        <f>T35</f>
        <v>3568506.3763719201</v>
      </c>
    </row>
    <row r="36" spans="1:24" x14ac:dyDescent="0.25">
      <c r="A36" s="322"/>
      <c r="B36" s="191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200" t="s">
        <v>104</v>
      </c>
      <c r="N36" s="206">
        <f>SUM(N31:N35)</f>
        <v>6351450.0239532003</v>
      </c>
      <c r="O36" s="206">
        <f>SUM(O31:O35)</f>
        <v>4347245.6400000006</v>
      </c>
      <c r="P36" s="206">
        <f>SUM(P31:P35)</f>
        <v>1109747.1546318999</v>
      </c>
      <c r="Q36" s="206"/>
      <c r="R36" s="206">
        <f>SUM(R31:R35)</f>
        <v>894457.22932130005</v>
      </c>
      <c r="S36" s="206"/>
      <c r="T36" s="206">
        <f>SUM(T31:T35)</f>
        <v>6351450.0239532003</v>
      </c>
      <c r="U36" s="206">
        <f>SUM(U31:U35)</f>
        <v>6351450.0239532003</v>
      </c>
      <c r="W36" s="80">
        <f>R44/576</f>
        <v>8750.1250694474984</v>
      </c>
    </row>
    <row r="37" spans="1:24" ht="100.9" customHeight="1" x14ac:dyDescent="0.25">
      <c r="A37" s="322"/>
      <c r="B37" s="137" t="s">
        <v>240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200" t="s">
        <v>104</v>
      </c>
      <c r="N37" s="200">
        <f>SUM(O37:R37)</f>
        <v>2265106</v>
      </c>
      <c r="O37" s="200">
        <f>J37*G37+0.85</f>
        <v>2265106</v>
      </c>
      <c r="P37" s="200" t="s">
        <v>104</v>
      </c>
      <c r="Q37" s="200"/>
      <c r="R37" s="200" t="s">
        <v>104</v>
      </c>
      <c r="S37" s="200"/>
      <c r="T37" s="46">
        <f>N37</f>
        <v>2265106</v>
      </c>
      <c r="U37" s="46">
        <f>T37</f>
        <v>2265106</v>
      </c>
    </row>
    <row r="38" spans="1:24" x14ac:dyDescent="0.25">
      <c r="A38" s="322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206">
        <f t="shared" ref="M38:U38" si="22">SUM(M37:M37)</f>
        <v>0</v>
      </c>
      <c r="N38" s="206">
        <f t="shared" si="22"/>
        <v>2265106</v>
      </c>
      <c r="O38" s="206">
        <f t="shared" si="22"/>
        <v>2265106</v>
      </c>
      <c r="P38" s="206">
        <f t="shared" si="22"/>
        <v>0</v>
      </c>
      <c r="Q38" s="206"/>
      <c r="R38" s="206">
        <f t="shared" si="22"/>
        <v>0</v>
      </c>
      <c r="S38" s="206"/>
      <c r="T38" s="206">
        <f t="shared" si="22"/>
        <v>2265106</v>
      </c>
      <c r="U38" s="206">
        <f t="shared" si="22"/>
        <v>2265106</v>
      </c>
    </row>
    <row r="39" spans="1:24" ht="27" customHeight="1" x14ac:dyDescent="0.25">
      <c r="A39" s="322"/>
      <c r="B39" s="255" t="s">
        <v>296</v>
      </c>
      <c r="C39" s="183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206"/>
      <c r="N39" s="206">
        <f>P39</f>
        <v>118131</v>
      </c>
      <c r="O39" s="206"/>
      <c r="P39" s="206">
        <v>118131</v>
      </c>
      <c r="Q39" s="206"/>
      <c r="R39" s="206"/>
      <c r="S39" s="206"/>
      <c r="T39" s="206">
        <f>P39</f>
        <v>118131</v>
      </c>
      <c r="U39" s="206">
        <f>T39</f>
        <v>118131</v>
      </c>
    </row>
    <row r="40" spans="1:24" x14ac:dyDescent="0.25">
      <c r="A40" s="322"/>
      <c r="B40" s="89" t="s">
        <v>225</v>
      </c>
      <c r="C40" s="183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206"/>
      <c r="N40" s="206">
        <f>S40</f>
        <v>3308494</v>
      </c>
      <c r="O40" s="206"/>
      <c r="P40" s="206"/>
      <c r="Q40" s="206"/>
      <c r="R40" s="206"/>
      <c r="S40" s="206">
        <v>3308494</v>
      </c>
      <c r="T40" s="206">
        <f>S40</f>
        <v>3308494</v>
      </c>
      <c r="U40" s="206">
        <f>T40</f>
        <v>3308494</v>
      </c>
    </row>
    <row r="41" spans="1:24" x14ac:dyDescent="0.25">
      <c r="A41" s="322"/>
      <c r="B41" s="89" t="s">
        <v>225</v>
      </c>
      <c r="C41" s="183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206"/>
      <c r="N41" s="206"/>
      <c r="O41" s="206"/>
      <c r="P41" s="206"/>
      <c r="Q41" s="206"/>
      <c r="R41" s="206"/>
      <c r="S41" s="206"/>
      <c r="T41" s="206">
        <f>Q41</f>
        <v>0</v>
      </c>
      <c r="U41" s="206">
        <f>T41</f>
        <v>0</v>
      </c>
    </row>
    <row r="42" spans="1:24" x14ac:dyDescent="0.25">
      <c r="A42" s="322"/>
      <c r="B42" s="89" t="s">
        <v>295</v>
      </c>
      <c r="C42" s="183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206"/>
      <c r="N42" s="206">
        <f>S42</f>
        <v>275902</v>
      </c>
      <c r="O42" s="206"/>
      <c r="P42" s="206"/>
      <c r="Q42" s="206"/>
      <c r="R42" s="206"/>
      <c r="S42" s="206">
        <v>275902</v>
      </c>
      <c r="T42" s="206"/>
      <c r="U42" s="206"/>
    </row>
    <row r="43" spans="1:24" x14ac:dyDescent="0.25">
      <c r="A43" s="322"/>
      <c r="B43" s="89" t="s">
        <v>263</v>
      </c>
      <c r="C43" s="183" t="s">
        <v>226</v>
      </c>
      <c r="D43" s="64"/>
      <c r="E43" s="60"/>
      <c r="F43" s="60"/>
      <c r="G43" s="59"/>
      <c r="H43" s="60"/>
      <c r="I43" s="60"/>
      <c r="J43" s="73"/>
      <c r="K43" s="73"/>
      <c r="L43" s="73"/>
      <c r="M43" s="206"/>
      <c r="N43" s="206">
        <f>O43</f>
        <v>272890</v>
      </c>
      <c r="O43" s="206">
        <v>272890</v>
      </c>
      <c r="P43" s="206"/>
      <c r="Q43" s="206"/>
      <c r="R43" s="206"/>
      <c r="S43" s="206"/>
      <c r="T43" s="206">
        <f>O43</f>
        <v>272890</v>
      </c>
      <c r="U43" s="206">
        <f>T43</f>
        <v>272890</v>
      </c>
    </row>
    <row r="44" spans="1:24" x14ac:dyDescent="0.25">
      <c r="A44" s="322"/>
      <c r="B44" s="101" t="s">
        <v>112</v>
      </c>
      <c r="C44" s="101"/>
      <c r="D44" s="69"/>
      <c r="E44" s="102">
        <f t="shared" ref="E44:F44" si="23">E23+E30+E36</f>
        <v>648</v>
      </c>
      <c r="F44" s="102">
        <f t="shared" si="23"/>
        <v>648</v>
      </c>
      <c r="G44" s="102">
        <f>G23+G30+G36</f>
        <v>648</v>
      </c>
      <c r="H44" s="102">
        <f>H23+H30+H36</f>
        <v>648</v>
      </c>
      <c r="I44" s="102">
        <f>I23+I30+I36</f>
        <v>648</v>
      </c>
      <c r="J44" s="104"/>
      <c r="K44" s="104"/>
      <c r="L44" s="103"/>
      <c r="M44" s="138"/>
      <c r="N44" s="138">
        <f>SUM(O44:S44)</f>
        <v>40814958.039840639</v>
      </c>
      <c r="O44" s="138">
        <f>O23+O30+O36+O38+O43</f>
        <v>25819181</v>
      </c>
      <c r="P44" s="138">
        <f>P23+P30+P36+P38+P39+P40+P41</f>
        <v>6371308.9998388793</v>
      </c>
      <c r="Q44" s="138">
        <f t="shared" ref="Q44" si="24">Q23+Q30+Q36+Q38+Q39+Q40+Q41</f>
        <v>0</v>
      </c>
      <c r="R44" s="138">
        <f>R23+R30+R36+R38+R39+R40+R41+R42</f>
        <v>5040072.0400017593</v>
      </c>
      <c r="S44" s="138">
        <f>S23+S30+S36+S38+S39+S40+S41+S42</f>
        <v>3584396</v>
      </c>
      <c r="T44" s="138">
        <f>T23+T30+T36+T38+T39+T40+T41+T42+T43</f>
        <v>40539056.039840639</v>
      </c>
      <c r="U44" s="138">
        <f>U23+U30+U36+U38+U39+U40+U41+U42+U43</f>
        <v>40539056.039840639</v>
      </c>
      <c r="V44" s="80">
        <v>5040072.04</v>
      </c>
      <c r="W44" s="85">
        <f>V44-R44</f>
        <v>-1.7592683434486389E-6</v>
      </c>
      <c r="X44" s="80">
        <f>W44/I44</f>
        <v>-2.7149202830997514E-9</v>
      </c>
    </row>
    <row r="45" spans="1:24" ht="90" x14ac:dyDescent="0.25">
      <c r="A45" s="322" t="s">
        <v>113</v>
      </c>
      <c r="B45" s="323" t="s">
        <v>237</v>
      </c>
      <c r="C45" s="61" t="s">
        <v>100</v>
      </c>
      <c r="D45" s="62" t="s">
        <v>101</v>
      </c>
      <c r="E45" s="59">
        <v>261</v>
      </c>
      <c r="F45" s="59">
        <v>261</v>
      </c>
      <c r="G45" s="59">
        <v>261</v>
      </c>
      <c r="H45" s="59">
        <v>261</v>
      </c>
      <c r="I45" s="59">
        <v>261</v>
      </c>
      <c r="J45" s="107">
        <f>SUM(K45:M45)</f>
        <v>38336.968793239997</v>
      </c>
      <c r="K45" s="107">
        <f>19579.7+1329.32</f>
        <v>20909.02</v>
      </c>
      <c r="L45" s="107">
        <f>4001.99*2.411294</f>
        <v>9649.9744750599984</v>
      </c>
      <c r="M45" s="201">
        <f>7790.73-12.75568182</f>
        <v>7777.9743181799995</v>
      </c>
      <c r="N45" s="202">
        <f>SUM(O45:R45)</f>
        <v>10181743.015035639</v>
      </c>
      <c r="O45" s="202">
        <f>G45*K45-0.13+175794</f>
        <v>5633048.0899999999</v>
      </c>
      <c r="P45" s="202">
        <f>G45*L45+0.29</f>
        <v>2518643.6279906598</v>
      </c>
      <c r="Q45" s="202"/>
      <c r="R45" s="46">
        <f>G45*M45</f>
        <v>2030051.2970449799</v>
      </c>
      <c r="S45" s="46"/>
      <c r="T45" s="46">
        <f>N45</f>
        <v>10181743.015035639</v>
      </c>
      <c r="U45" s="46">
        <f>T45</f>
        <v>10181743.015035639</v>
      </c>
    </row>
    <row r="46" spans="1:24" ht="135" x14ac:dyDescent="0.25">
      <c r="A46" s="322"/>
      <c r="B46" s="323"/>
      <c r="C46" s="63" t="s">
        <v>163</v>
      </c>
      <c r="D46" s="64" t="s">
        <v>101</v>
      </c>
      <c r="E46" s="59" t="s">
        <v>104</v>
      </c>
      <c r="F46" s="59" t="s">
        <v>104</v>
      </c>
      <c r="G46" s="59" t="s">
        <v>104</v>
      </c>
      <c r="H46" s="59" t="s">
        <v>104</v>
      </c>
      <c r="I46" s="59" t="s">
        <v>104</v>
      </c>
      <c r="J46" s="59" t="s">
        <v>104</v>
      </c>
      <c r="K46" s="59" t="s">
        <v>104</v>
      </c>
      <c r="L46" s="59" t="s">
        <v>104</v>
      </c>
      <c r="M46" s="123" t="s">
        <v>104</v>
      </c>
      <c r="N46" s="202"/>
      <c r="O46" s="202"/>
      <c r="P46" s="123" t="s">
        <v>104</v>
      </c>
      <c r="Q46" s="123"/>
      <c r="R46" s="123" t="s">
        <v>104</v>
      </c>
      <c r="S46" s="123"/>
      <c r="T46" s="46"/>
      <c r="U46" s="46"/>
    </row>
    <row r="47" spans="1:24" x14ac:dyDescent="0.25">
      <c r="A47" s="322"/>
      <c r="B47" s="323"/>
      <c r="C47" s="63" t="s">
        <v>169</v>
      </c>
      <c r="D47" s="64" t="s">
        <v>101</v>
      </c>
      <c r="E47" s="59">
        <v>5</v>
      </c>
      <c r="F47" s="59">
        <v>5</v>
      </c>
      <c r="G47" s="59">
        <v>5</v>
      </c>
      <c r="H47" s="59">
        <v>5</v>
      </c>
      <c r="I47" s="59">
        <v>5</v>
      </c>
      <c r="J47" s="75">
        <f t="shared" ref="J47:J51" si="25">K47</f>
        <v>69362.66</v>
      </c>
      <c r="K47" s="71">
        <v>69362.66</v>
      </c>
      <c r="L47" s="59"/>
      <c r="M47" s="123"/>
      <c r="N47" s="202">
        <f t="shared" ref="N47:N51" si="26">O47</f>
        <v>346813.30000000005</v>
      </c>
      <c r="O47" s="202">
        <f t="shared" ref="O47:O52" si="27">G47*K47</f>
        <v>346813.30000000005</v>
      </c>
      <c r="P47" s="123" t="s">
        <v>104</v>
      </c>
      <c r="Q47" s="123"/>
      <c r="R47" s="123" t="s">
        <v>104</v>
      </c>
      <c r="S47" s="123"/>
      <c r="T47" s="46">
        <f t="shared" ref="T47:T51" si="28">H47*K47</f>
        <v>346813.30000000005</v>
      </c>
      <c r="U47" s="46">
        <f t="shared" ref="U47:U51" si="29">I47*K47</f>
        <v>346813.30000000005</v>
      </c>
    </row>
    <row r="48" spans="1:24" x14ac:dyDescent="0.25">
      <c r="A48" s="322"/>
      <c r="B48" s="323"/>
      <c r="C48" s="63" t="s">
        <v>166</v>
      </c>
      <c r="D48" s="64" t="s">
        <v>101</v>
      </c>
      <c r="E48" s="59">
        <v>17</v>
      </c>
      <c r="F48" s="59">
        <v>17</v>
      </c>
      <c r="G48" s="59">
        <v>17</v>
      </c>
      <c r="H48" s="59">
        <v>17</v>
      </c>
      <c r="I48" s="59">
        <v>17</v>
      </c>
      <c r="J48" s="75">
        <f t="shared" si="25"/>
        <v>66361.320000000007</v>
      </c>
      <c r="K48" s="75">
        <v>66361.320000000007</v>
      </c>
      <c r="L48" s="59" t="s">
        <v>104</v>
      </c>
      <c r="M48" s="123" t="s">
        <v>104</v>
      </c>
      <c r="N48" s="202">
        <f>O48</f>
        <v>1128142.4400000002</v>
      </c>
      <c r="O48" s="202">
        <f t="shared" si="27"/>
        <v>1128142.4400000002</v>
      </c>
      <c r="P48" s="123" t="s">
        <v>104</v>
      </c>
      <c r="Q48" s="123"/>
      <c r="R48" s="123" t="s">
        <v>104</v>
      </c>
      <c r="S48" s="123"/>
      <c r="T48" s="46">
        <f t="shared" si="28"/>
        <v>1128142.4400000002</v>
      </c>
      <c r="U48" s="46">
        <f t="shared" si="29"/>
        <v>1128142.4400000002</v>
      </c>
    </row>
    <row r="49" spans="1:21" x14ac:dyDescent="0.25">
      <c r="A49" s="322"/>
      <c r="B49" s="323"/>
      <c r="C49" s="63" t="s">
        <v>167</v>
      </c>
      <c r="D49" s="64" t="s">
        <v>101</v>
      </c>
      <c r="E49" s="59">
        <v>3</v>
      </c>
      <c r="F49" s="59">
        <v>3</v>
      </c>
      <c r="G49" s="59">
        <v>3</v>
      </c>
      <c r="H49" s="59">
        <v>3</v>
      </c>
      <c r="I49" s="59">
        <v>3</v>
      </c>
      <c r="J49" s="75">
        <f t="shared" si="25"/>
        <v>174890.83</v>
      </c>
      <c r="K49" s="75">
        <v>174890.83</v>
      </c>
      <c r="L49" s="59" t="s">
        <v>104</v>
      </c>
      <c r="M49" s="123" t="s">
        <v>104</v>
      </c>
      <c r="N49" s="202">
        <f t="shared" si="26"/>
        <v>524672.49</v>
      </c>
      <c r="O49" s="202">
        <f t="shared" si="27"/>
        <v>524672.49</v>
      </c>
      <c r="P49" s="123" t="s">
        <v>104</v>
      </c>
      <c r="Q49" s="123"/>
      <c r="R49" s="123" t="s">
        <v>104</v>
      </c>
      <c r="S49" s="123"/>
      <c r="T49" s="46">
        <f t="shared" si="28"/>
        <v>524672.49</v>
      </c>
      <c r="U49" s="46">
        <f t="shared" si="29"/>
        <v>524672.49</v>
      </c>
    </row>
    <row r="50" spans="1:21" x14ac:dyDescent="0.25">
      <c r="A50" s="322"/>
      <c r="B50" s="323"/>
      <c r="C50" s="63" t="s">
        <v>170</v>
      </c>
      <c r="D50" s="64" t="s">
        <v>101</v>
      </c>
      <c r="E50" s="59">
        <v>5</v>
      </c>
      <c r="F50" s="59">
        <v>5</v>
      </c>
      <c r="G50" s="59">
        <v>5</v>
      </c>
      <c r="H50" s="59">
        <v>5</v>
      </c>
      <c r="I50" s="59">
        <v>5</v>
      </c>
      <c r="J50" s="75">
        <f t="shared" si="25"/>
        <v>99648.29</v>
      </c>
      <c r="K50" s="75">
        <v>99648.29</v>
      </c>
      <c r="L50" s="59"/>
      <c r="M50" s="123"/>
      <c r="N50" s="202">
        <f t="shared" si="26"/>
        <v>498241.44999999995</v>
      </c>
      <c r="O50" s="202">
        <f t="shared" si="27"/>
        <v>498241.44999999995</v>
      </c>
      <c r="P50" s="123" t="s">
        <v>104</v>
      </c>
      <c r="Q50" s="123"/>
      <c r="R50" s="123" t="s">
        <v>104</v>
      </c>
      <c r="S50" s="123"/>
      <c r="T50" s="46">
        <f t="shared" si="28"/>
        <v>498241.44999999995</v>
      </c>
      <c r="U50" s="46">
        <f t="shared" si="29"/>
        <v>498241.44999999995</v>
      </c>
    </row>
    <row r="51" spans="1:21" x14ac:dyDescent="0.25">
      <c r="A51" s="322"/>
      <c r="B51" s="323"/>
      <c r="C51" s="63" t="s">
        <v>168</v>
      </c>
      <c r="D51" s="64" t="s">
        <v>101</v>
      </c>
      <c r="E51" s="59"/>
      <c r="F51" s="59"/>
      <c r="G51" s="59"/>
      <c r="H51" s="59"/>
      <c r="I51" s="59"/>
      <c r="J51" s="75">
        <f t="shared" si="25"/>
        <v>23553.439999999999</v>
      </c>
      <c r="K51" s="75">
        <v>23553.439999999999</v>
      </c>
      <c r="L51" s="59" t="s">
        <v>104</v>
      </c>
      <c r="M51" s="123" t="s">
        <v>104</v>
      </c>
      <c r="N51" s="202">
        <f t="shared" si="26"/>
        <v>0</v>
      </c>
      <c r="O51" s="202">
        <f t="shared" si="27"/>
        <v>0</v>
      </c>
      <c r="P51" s="123" t="s">
        <v>104</v>
      </c>
      <c r="Q51" s="123"/>
      <c r="R51" s="123" t="s">
        <v>104</v>
      </c>
      <c r="S51" s="123"/>
      <c r="T51" s="46">
        <f t="shared" si="28"/>
        <v>0</v>
      </c>
      <c r="U51" s="46">
        <f t="shared" si="29"/>
        <v>0</v>
      </c>
    </row>
    <row r="52" spans="1:21" ht="120" x14ac:dyDescent="0.25">
      <c r="A52" s="322"/>
      <c r="B52" s="323"/>
      <c r="C52" s="61" t="s">
        <v>105</v>
      </c>
      <c r="D52" s="64" t="s">
        <v>101</v>
      </c>
      <c r="E52" s="59">
        <v>2</v>
      </c>
      <c r="F52" s="59">
        <v>2</v>
      </c>
      <c r="G52" s="59">
        <v>2</v>
      </c>
      <c r="H52" s="59">
        <v>2</v>
      </c>
      <c r="I52" s="59">
        <v>2</v>
      </c>
      <c r="J52" s="75">
        <f>SUM(K52:M52)</f>
        <v>140170.18879324</v>
      </c>
      <c r="K52" s="75">
        <f>121412.92+1329.32</f>
        <v>122742.24</v>
      </c>
      <c r="L52" s="75">
        <f>4001.99*2.411294</f>
        <v>9649.9744750599984</v>
      </c>
      <c r="M52" s="201">
        <f>7790.73-12.75568182</f>
        <v>7777.9743181799995</v>
      </c>
      <c r="N52" s="202">
        <f>SUM(O52:R52)</f>
        <v>280340.37758648</v>
      </c>
      <c r="O52" s="202">
        <f t="shared" si="27"/>
        <v>245484.48</v>
      </c>
      <c r="P52" s="202">
        <f>G52*L52</f>
        <v>19299.948950119997</v>
      </c>
      <c r="Q52" s="202"/>
      <c r="R52" s="46">
        <f>G52*M52</f>
        <v>15555.948636359999</v>
      </c>
      <c r="S52" s="46"/>
      <c r="T52" s="46">
        <f t="shared" si="9"/>
        <v>280340.37758648</v>
      </c>
      <c r="U52" s="46">
        <f t="shared" si="6"/>
        <v>280340.37758648</v>
      </c>
    </row>
    <row r="53" spans="1:21" x14ac:dyDescent="0.25">
      <c r="A53" s="322"/>
      <c r="B53" s="323"/>
      <c r="C53" s="66" t="s">
        <v>106</v>
      </c>
      <c r="D53" s="67"/>
      <c r="E53" s="59">
        <f>E45+E52</f>
        <v>263</v>
      </c>
      <c r="F53" s="59">
        <f>F45+F52</f>
        <v>263</v>
      </c>
      <c r="G53" s="59">
        <f>G45+G52</f>
        <v>263</v>
      </c>
      <c r="H53" s="59">
        <f>H45+H52</f>
        <v>263</v>
      </c>
      <c r="I53" s="59">
        <f>I45+I52</f>
        <v>263</v>
      </c>
      <c r="J53" s="71" t="s">
        <v>104</v>
      </c>
      <c r="K53" s="71" t="s">
        <v>104</v>
      </c>
      <c r="L53" s="71" t="s">
        <v>104</v>
      </c>
      <c r="M53" s="202" t="s">
        <v>104</v>
      </c>
      <c r="N53" s="202">
        <f t="shared" ref="N53:R53" si="30">SUM(N45:N52)</f>
        <v>12959953.072622119</v>
      </c>
      <c r="O53" s="202">
        <f t="shared" si="30"/>
        <v>8376402.2500000009</v>
      </c>
      <c r="P53" s="202">
        <f>SUM(P45:P52)</f>
        <v>2537943.5769407796</v>
      </c>
      <c r="Q53" s="202"/>
      <c r="R53" s="202">
        <f t="shared" si="30"/>
        <v>2045607.2456813399</v>
      </c>
      <c r="S53" s="202"/>
      <c r="T53" s="46">
        <f>SUM(T45:T52)</f>
        <v>12959953.072622119</v>
      </c>
      <c r="U53" s="46">
        <f>SUM(U45:U52)</f>
        <v>12959953.072622119</v>
      </c>
    </row>
    <row r="54" spans="1:21" ht="90" x14ac:dyDescent="0.25">
      <c r="A54" s="322"/>
      <c r="B54" s="323" t="s">
        <v>238</v>
      </c>
      <c r="C54" s="61" t="s">
        <v>100</v>
      </c>
      <c r="D54" s="62" t="s">
        <v>101</v>
      </c>
      <c r="E54" s="59">
        <v>219</v>
      </c>
      <c r="F54" s="59">
        <v>219</v>
      </c>
      <c r="G54" s="59">
        <v>219</v>
      </c>
      <c r="H54" s="59">
        <v>219</v>
      </c>
      <c r="I54" s="59">
        <v>219</v>
      </c>
      <c r="J54" s="107">
        <f>SUM(K54:M54)</f>
        <v>53396.418793240002</v>
      </c>
      <c r="K54" s="107">
        <f>34346.05+1622.42</f>
        <v>35968.47</v>
      </c>
      <c r="L54" s="70">
        <f>4001.99*2.411294</f>
        <v>9649.9744750599984</v>
      </c>
      <c r="M54" s="201">
        <f>7790.73-12.75568182</f>
        <v>7777.9743181799995</v>
      </c>
      <c r="N54" s="202">
        <f>SUM(O54:R54)</f>
        <v>11693815.715719558</v>
      </c>
      <c r="O54" s="202">
        <f>G54*K54</f>
        <v>7877094.9300000006</v>
      </c>
      <c r="P54" s="202">
        <f>G54*L54</f>
        <v>2113344.4100381397</v>
      </c>
      <c r="Q54" s="202"/>
      <c r="R54" s="46">
        <f>G54*M54</f>
        <v>1703376.3756814199</v>
      </c>
      <c r="S54" s="46"/>
      <c r="T54" s="46">
        <f t="shared" si="9"/>
        <v>11693815.71571956</v>
      </c>
      <c r="U54" s="46">
        <f t="shared" si="6"/>
        <v>11693815.71571956</v>
      </c>
    </row>
    <row r="55" spans="1:21" ht="120" x14ac:dyDescent="0.25">
      <c r="A55" s="322"/>
      <c r="B55" s="323"/>
      <c r="C55" s="63" t="s">
        <v>102</v>
      </c>
      <c r="D55" s="64" t="s">
        <v>101</v>
      </c>
      <c r="E55" s="59" t="s">
        <v>104</v>
      </c>
      <c r="F55" s="59" t="s">
        <v>104</v>
      </c>
      <c r="G55" s="59" t="s">
        <v>104</v>
      </c>
      <c r="H55" s="59" t="s">
        <v>104</v>
      </c>
      <c r="I55" s="59" t="s">
        <v>104</v>
      </c>
      <c r="J55" s="59" t="s">
        <v>104</v>
      </c>
      <c r="K55" s="59" t="s">
        <v>191</v>
      </c>
      <c r="L55" s="59" t="s">
        <v>104</v>
      </c>
      <c r="M55" s="123" t="s">
        <v>104</v>
      </c>
      <c r="N55" s="202"/>
      <c r="O55" s="202"/>
      <c r="P55" s="123" t="s">
        <v>104</v>
      </c>
      <c r="Q55" s="123"/>
      <c r="R55" s="123" t="s">
        <v>104</v>
      </c>
      <c r="S55" s="123"/>
      <c r="T55" s="46"/>
      <c r="U55" s="46"/>
    </row>
    <row r="56" spans="1:21" x14ac:dyDescent="0.25">
      <c r="A56" s="322"/>
      <c r="B56" s="323"/>
      <c r="C56" s="63" t="s">
        <v>190</v>
      </c>
      <c r="D56" s="64" t="s">
        <v>101</v>
      </c>
      <c r="E56" s="60">
        <v>1</v>
      </c>
      <c r="F56" s="60">
        <v>1</v>
      </c>
      <c r="G56" s="60">
        <v>1</v>
      </c>
      <c r="H56" s="60">
        <v>1</v>
      </c>
      <c r="I56" s="60">
        <v>1</v>
      </c>
      <c r="J56" s="75">
        <f t="shared" ref="J56:J58" si="31">K56</f>
        <v>165500.54</v>
      </c>
      <c r="K56" s="46">
        <v>165500.54</v>
      </c>
      <c r="L56" s="59" t="s">
        <v>104</v>
      </c>
      <c r="M56" s="123" t="s">
        <v>104</v>
      </c>
      <c r="N56" s="202">
        <f t="shared" ref="N56:N58" si="32">O56</f>
        <v>165500.54</v>
      </c>
      <c r="O56" s="202">
        <f>G56*K56</f>
        <v>165500.54</v>
      </c>
      <c r="P56" s="123" t="s">
        <v>104</v>
      </c>
      <c r="Q56" s="123"/>
      <c r="R56" s="123" t="s">
        <v>104</v>
      </c>
      <c r="S56" s="123"/>
      <c r="T56" s="46">
        <f t="shared" ref="T56:T58" si="33">H56*K56</f>
        <v>165500.54</v>
      </c>
      <c r="U56" s="46">
        <f t="shared" ref="U56:U58" si="34">I56*K56</f>
        <v>165500.54</v>
      </c>
    </row>
    <row r="57" spans="1:21" x14ac:dyDescent="0.25">
      <c r="A57" s="322"/>
      <c r="B57" s="323"/>
      <c r="C57" s="63" t="s">
        <v>170</v>
      </c>
      <c r="D57" s="64" t="s">
        <v>101</v>
      </c>
      <c r="E57" s="60">
        <v>2</v>
      </c>
      <c r="F57" s="60">
        <v>2</v>
      </c>
      <c r="G57" s="60">
        <v>2</v>
      </c>
      <c r="H57" s="60">
        <v>2</v>
      </c>
      <c r="I57" s="60">
        <v>2</v>
      </c>
      <c r="J57" s="75">
        <f t="shared" si="31"/>
        <v>32769.75</v>
      </c>
      <c r="K57" s="75">
        <v>32769.75</v>
      </c>
      <c r="L57" s="59" t="s">
        <v>104</v>
      </c>
      <c r="M57" s="123" t="s">
        <v>104</v>
      </c>
      <c r="N57" s="202">
        <f t="shared" si="32"/>
        <v>65539.5</v>
      </c>
      <c r="O57" s="202">
        <f t="shared" ref="O57:O58" si="35">G57*K57</f>
        <v>65539.5</v>
      </c>
      <c r="P57" s="123" t="s">
        <v>104</v>
      </c>
      <c r="Q57" s="123"/>
      <c r="R57" s="123" t="s">
        <v>104</v>
      </c>
      <c r="S57" s="123"/>
      <c r="T57" s="46">
        <f t="shared" si="33"/>
        <v>65539.5</v>
      </c>
      <c r="U57" s="46">
        <f t="shared" si="34"/>
        <v>65539.5</v>
      </c>
    </row>
    <row r="58" spans="1:21" x14ac:dyDescent="0.25">
      <c r="A58" s="322"/>
      <c r="B58" s="323"/>
      <c r="C58" s="63" t="s">
        <v>168</v>
      </c>
      <c r="D58" s="64" t="s">
        <v>101</v>
      </c>
      <c r="E58" s="60">
        <v>4</v>
      </c>
      <c r="F58" s="60">
        <v>4</v>
      </c>
      <c r="G58" s="60">
        <v>4</v>
      </c>
      <c r="H58" s="60">
        <v>4</v>
      </c>
      <c r="I58" s="60">
        <v>4</v>
      </c>
      <c r="J58" s="75">
        <f t="shared" si="31"/>
        <v>23553.439999999999</v>
      </c>
      <c r="K58" s="75">
        <v>23553.439999999999</v>
      </c>
      <c r="L58" s="59" t="s">
        <v>104</v>
      </c>
      <c r="M58" s="123" t="s">
        <v>104</v>
      </c>
      <c r="N58" s="202">
        <f t="shared" si="32"/>
        <v>94213.759999999995</v>
      </c>
      <c r="O58" s="202">
        <f t="shared" si="35"/>
        <v>94213.759999999995</v>
      </c>
      <c r="P58" s="123" t="s">
        <v>104</v>
      </c>
      <c r="Q58" s="123"/>
      <c r="R58" s="123" t="s">
        <v>104</v>
      </c>
      <c r="S58" s="123"/>
      <c r="T58" s="46">
        <f t="shared" si="33"/>
        <v>94213.759999999995</v>
      </c>
      <c r="U58" s="46">
        <f t="shared" si="34"/>
        <v>94213.759999999995</v>
      </c>
    </row>
    <row r="59" spans="1:21" ht="120" x14ac:dyDescent="0.25">
      <c r="A59" s="322"/>
      <c r="B59" s="323"/>
      <c r="C59" s="61" t="s">
        <v>105</v>
      </c>
      <c r="D59" s="64" t="s">
        <v>101</v>
      </c>
      <c r="E59" s="60">
        <v>2</v>
      </c>
      <c r="F59" s="60">
        <v>2</v>
      </c>
      <c r="G59" s="59">
        <f t="shared" ref="G59" si="36">((E59*8)+(F59*4))/12</f>
        <v>2</v>
      </c>
      <c r="H59" s="60">
        <v>2</v>
      </c>
      <c r="I59" s="60">
        <v>2</v>
      </c>
      <c r="J59" s="75">
        <f>SUM(K59:M59)</f>
        <v>170457.99879324003</v>
      </c>
      <c r="K59" s="75">
        <f>151407.63+1622.42</f>
        <v>153030.05000000002</v>
      </c>
      <c r="L59" s="72">
        <f>4001.99*2.411294</f>
        <v>9649.9744750599984</v>
      </c>
      <c r="M59" s="201">
        <f>7790.73-12.75568182</f>
        <v>7777.9743181799995</v>
      </c>
      <c r="N59" s="202">
        <f>SUM(O59:R59)</f>
        <v>340915.99758648005</v>
      </c>
      <c r="O59" s="202">
        <f>G59*K59</f>
        <v>306060.10000000003</v>
      </c>
      <c r="P59" s="200">
        <f>G59*L59</f>
        <v>19299.948950119997</v>
      </c>
      <c r="Q59" s="200"/>
      <c r="R59" s="46">
        <f>G59*M59</f>
        <v>15555.948636359999</v>
      </c>
      <c r="S59" s="46"/>
      <c r="T59" s="46">
        <f t="shared" si="9"/>
        <v>340915.99758648005</v>
      </c>
      <c r="U59" s="46">
        <f t="shared" si="6"/>
        <v>340915.99758648005</v>
      </c>
    </row>
    <row r="60" spans="1:21" x14ac:dyDescent="0.25">
      <c r="A60" s="322"/>
      <c r="B60" s="191"/>
      <c r="C60" s="66" t="s">
        <v>106</v>
      </c>
      <c r="D60" s="64"/>
      <c r="E60" s="60">
        <f>E54+E59</f>
        <v>221</v>
      </c>
      <c r="F60" s="60">
        <f>F54+F59</f>
        <v>221</v>
      </c>
      <c r="G60" s="60">
        <f>G54+G59</f>
        <v>221</v>
      </c>
      <c r="H60" s="60">
        <f>H54+H59</f>
        <v>221</v>
      </c>
      <c r="I60" s="60">
        <f>I54+I59</f>
        <v>221</v>
      </c>
      <c r="J60" s="73" t="s">
        <v>104</v>
      </c>
      <c r="K60" s="73" t="s">
        <v>104</v>
      </c>
      <c r="L60" s="74" t="s">
        <v>104</v>
      </c>
      <c r="M60" s="206" t="s">
        <v>104</v>
      </c>
      <c r="N60" s="206">
        <f t="shared" ref="N60:U60" si="37">SUM(N54:N59)</f>
        <v>12359985.513306037</v>
      </c>
      <c r="O60" s="206">
        <f t="shared" si="37"/>
        <v>8508408.8300000001</v>
      </c>
      <c r="P60" s="206">
        <f t="shared" si="37"/>
        <v>2132644.3589882595</v>
      </c>
      <c r="Q60" s="206"/>
      <c r="R60" s="206">
        <f t="shared" si="37"/>
        <v>1718932.3243177799</v>
      </c>
      <c r="S60" s="206"/>
      <c r="T60" s="46">
        <f t="shared" si="37"/>
        <v>12359985.513306038</v>
      </c>
      <c r="U60" s="46">
        <f t="shared" si="37"/>
        <v>12359985.513306038</v>
      </c>
    </row>
    <row r="61" spans="1:21" ht="90" x14ac:dyDescent="0.25">
      <c r="A61" s="322"/>
      <c r="B61" s="323" t="s">
        <v>239</v>
      </c>
      <c r="C61" s="61" t="s">
        <v>100</v>
      </c>
      <c r="D61" s="62" t="s">
        <v>101</v>
      </c>
      <c r="E61" s="60">
        <v>44</v>
      </c>
      <c r="F61" s="60">
        <v>44</v>
      </c>
      <c r="G61" s="60">
        <v>44</v>
      </c>
      <c r="H61" s="60">
        <v>44</v>
      </c>
      <c r="I61" s="60">
        <v>44</v>
      </c>
      <c r="J61" s="107">
        <f>SUM(K61:M61)</f>
        <v>60498.858793240004</v>
      </c>
      <c r="K61" s="107">
        <f>41105.12+1965.79</f>
        <v>43070.91</v>
      </c>
      <c r="L61" s="70">
        <f>4001.99*2.411294</f>
        <v>9649.9744750599984</v>
      </c>
      <c r="M61" s="201">
        <f>7790.73-12.75568182</f>
        <v>7777.9743181799995</v>
      </c>
      <c r="N61" s="200">
        <f>SUM(O61:R61)</f>
        <v>2661949.9769025599</v>
      </c>
      <c r="O61" s="200">
        <f>G61*K61</f>
        <v>1895120.04</v>
      </c>
      <c r="P61" s="200">
        <f>G61*L61+0.19</f>
        <v>424599.06690263993</v>
      </c>
      <c r="Q61" s="200"/>
      <c r="R61" s="46">
        <f>G61*M61</f>
        <v>342230.86999991996</v>
      </c>
      <c r="S61" s="46"/>
      <c r="T61" s="46">
        <f>N61</f>
        <v>2661949.9769025599</v>
      </c>
      <c r="U61" s="46">
        <f>T61</f>
        <v>2661949.9769025599</v>
      </c>
    </row>
    <row r="62" spans="1:21" ht="120" x14ac:dyDescent="0.25">
      <c r="A62" s="322"/>
      <c r="B62" s="323"/>
      <c r="C62" s="63" t="s">
        <v>102</v>
      </c>
      <c r="D62" s="64" t="s">
        <v>101</v>
      </c>
      <c r="E62" s="59" t="s">
        <v>104</v>
      </c>
      <c r="F62" s="59" t="s">
        <v>104</v>
      </c>
      <c r="G62" s="59" t="s">
        <v>104</v>
      </c>
      <c r="H62" s="59" t="s">
        <v>104</v>
      </c>
      <c r="I62" s="59" t="s">
        <v>104</v>
      </c>
      <c r="J62" s="59" t="s">
        <v>104</v>
      </c>
      <c r="K62" s="59" t="s">
        <v>104</v>
      </c>
      <c r="L62" s="59" t="s">
        <v>104</v>
      </c>
      <c r="M62" s="123" t="s">
        <v>104</v>
      </c>
      <c r="N62" s="202"/>
      <c r="O62" s="202"/>
      <c r="P62" s="123" t="s">
        <v>104</v>
      </c>
      <c r="Q62" s="123"/>
      <c r="R62" s="123" t="s">
        <v>104</v>
      </c>
      <c r="S62" s="123"/>
      <c r="T62" s="46"/>
      <c r="U62" s="46"/>
    </row>
    <row r="63" spans="1:21" x14ac:dyDescent="0.25">
      <c r="A63" s="322"/>
      <c r="B63" s="323"/>
      <c r="C63" s="63" t="s">
        <v>168</v>
      </c>
      <c r="D63" s="64" t="s">
        <v>101</v>
      </c>
      <c r="E63" s="60">
        <v>2</v>
      </c>
      <c r="F63" s="60">
        <v>2</v>
      </c>
      <c r="G63" s="60">
        <v>2</v>
      </c>
      <c r="H63" s="60">
        <v>2</v>
      </c>
      <c r="I63" s="60">
        <v>2</v>
      </c>
      <c r="J63" s="75">
        <f>K63</f>
        <v>23553.439999999999</v>
      </c>
      <c r="K63" s="75">
        <v>23553.439999999999</v>
      </c>
      <c r="L63" s="59" t="s">
        <v>104</v>
      </c>
      <c r="M63" s="123" t="s">
        <v>104</v>
      </c>
      <c r="N63" s="202">
        <f>O63</f>
        <v>47106.879999999997</v>
      </c>
      <c r="O63" s="202">
        <f>G63*K63</f>
        <v>47106.879999999997</v>
      </c>
      <c r="P63" s="123" t="s">
        <v>104</v>
      </c>
      <c r="Q63" s="123"/>
      <c r="R63" s="123" t="s">
        <v>104</v>
      </c>
      <c r="S63" s="123"/>
      <c r="T63" s="46">
        <f>H63*K63</f>
        <v>47106.879999999997</v>
      </c>
      <c r="U63" s="46">
        <f>I63*K63</f>
        <v>47106.879999999997</v>
      </c>
    </row>
    <row r="64" spans="1:21" ht="120" x14ac:dyDescent="0.25">
      <c r="A64" s="322"/>
      <c r="B64" s="323"/>
      <c r="C64" s="61" t="s">
        <v>105</v>
      </c>
      <c r="D64" s="64" t="s">
        <v>101</v>
      </c>
      <c r="E64" s="60">
        <v>0</v>
      </c>
      <c r="F64" s="60"/>
      <c r="G64" s="60"/>
      <c r="H64" s="60">
        <v>0</v>
      </c>
      <c r="I64" s="60">
        <v>0</v>
      </c>
      <c r="J64" s="73">
        <f>K64</f>
        <v>183368.14</v>
      </c>
      <c r="K64" s="73">
        <f>181402.35+1965.79</f>
        <v>183368.14</v>
      </c>
      <c r="L64" s="70">
        <f>4001.99*2.411294</f>
        <v>9649.9744750599984</v>
      </c>
      <c r="M64" s="201">
        <f>7790.73-12.75568182</f>
        <v>7777.9743181799995</v>
      </c>
      <c r="N64" s="202">
        <f>SUM(O64:R64)</f>
        <v>0</v>
      </c>
      <c r="O64" s="200">
        <f>G64*K64</f>
        <v>0</v>
      </c>
      <c r="P64" s="200">
        <f>E64*L64</f>
        <v>0</v>
      </c>
      <c r="Q64" s="200"/>
      <c r="R64" s="46">
        <f>G64*M64</f>
        <v>0</v>
      </c>
      <c r="S64" s="46"/>
      <c r="T64" s="46">
        <f>H64*K64</f>
        <v>0</v>
      </c>
      <c r="U64" s="46">
        <f>I64*K64</f>
        <v>0</v>
      </c>
    </row>
    <row r="65" spans="1:24" x14ac:dyDescent="0.25">
      <c r="A65" s="322"/>
      <c r="B65" s="191"/>
      <c r="C65" s="66" t="s">
        <v>106</v>
      </c>
      <c r="D65" s="64"/>
      <c r="E65" s="60">
        <f>E61+E64</f>
        <v>44</v>
      </c>
      <c r="F65" s="60">
        <f>F61+F64</f>
        <v>44</v>
      </c>
      <c r="G65" s="60">
        <f>G61+G64</f>
        <v>44</v>
      </c>
      <c r="H65" s="60">
        <f>H61+H64</f>
        <v>44</v>
      </c>
      <c r="I65" s="60">
        <f>I61+I64</f>
        <v>44</v>
      </c>
      <c r="J65" s="73" t="s">
        <v>104</v>
      </c>
      <c r="K65" s="73" t="s">
        <v>104</v>
      </c>
      <c r="L65" s="74" t="s">
        <v>104</v>
      </c>
      <c r="M65" s="206" t="s">
        <v>104</v>
      </c>
      <c r="N65" s="206">
        <f t="shared" ref="N65:R65" si="38">SUM(N61:N64)</f>
        <v>2709056.8569025598</v>
      </c>
      <c r="O65" s="206">
        <f t="shared" si="38"/>
        <v>1942226.92</v>
      </c>
      <c r="P65" s="206">
        <f t="shared" si="38"/>
        <v>424599.06690263993</v>
      </c>
      <c r="Q65" s="206"/>
      <c r="R65" s="206">
        <f t="shared" si="38"/>
        <v>342230.86999991996</v>
      </c>
      <c r="S65" s="206"/>
      <c r="T65" s="46">
        <f>SUM(T61:T64)</f>
        <v>2709056.8569025598</v>
      </c>
      <c r="U65" s="46">
        <f>SUM(U61:U64)</f>
        <v>2709056.8569025598</v>
      </c>
    </row>
    <row r="66" spans="1:24" ht="100.9" customHeight="1" x14ac:dyDescent="0.25">
      <c r="A66" s="322"/>
      <c r="B66" s="137" t="s">
        <v>240</v>
      </c>
      <c r="C66" s="61" t="s">
        <v>187</v>
      </c>
      <c r="D66" s="64" t="s">
        <v>101</v>
      </c>
      <c r="E66" s="60">
        <v>777</v>
      </c>
      <c r="F66" s="60">
        <v>777</v>
      </c>
      <c r="G66" s="60">
        <v>777</v>
      </c>
      <c r="H66" s="60">
        <v>777</v>
      </c>
      <c r="I66" s="60">
        <v>777</v>
      </c>
      <c r="J66" s="75">
        <f>K66</f>
        <v>3268.55</v>
      </c>
      <c r="K66" s="75">
        <v>3268.55</v>
      </c>
      <c r="L66" s="72" t="s">
        <v>104</v>
      </c>
      <c r="M66" s="205" t="s">
        <v>104</v>
      </c>
      <c r="N66" s="200">
        <f>SUM(O66:R66)</f>
        <v>2539664</v>
      </c>
      <c r="O66" s="200">
        <f>K66*G66+0.65</f>
        <v>2539664</v>
      </c>
      <c r="P66" s="200" t="s">
        <v>104</v>
      </c>
      <c r="Q66" s="200"/>
      <c r="R66" s="200" t="s">
        <v>104</v>
      </c>
      <c r="S66" s="200"/>
      <c r="T66" s="46">
        <f>N66</f>
        <v>2539664</v>
      </c>
      <c r="U66" s="46">
        <f t="shared" ref="U66:U72" si="39">T66</f>
        <v>2539664</v>
      </c>
    </row>
    <row r="67" spans="1:24" x14ac:dyDescent="0.25">
      <c r="A67" s="322"/>
      <c r="B67" s="69"/>
      <c r="C67" s="66" t="s">
        <v>106</v>
      </c>
      <c r="D67" s="69"/>
      <c r="E67" s="60">
        <f>SUM(E66:E66)</f>
        <v>777</v>
      </c>
      <c r="F67" s="60">
        <f>SUM(F66:F66)</f>
        <v>777</v>
      </c>
      <c r="G67" s="60">
        <f>SUM(G66:G66)</f>
        <v>777</v>
      </c>
      <c r="H67" s="60">
        <f>SUM(H66:H66)</f>
        <v>777</v>
      </c>
      <c r="I67" s="60">
        <f>SUM(I66:I66)</f>
        <v>777</v>
      </c>
      <c r="J67" s="73" t="s">
        <v>104</v>
      </c>
      <c r="K67" s="73" t="s">
        <v>104</v>
      </c>
      <c r="L67" s="74" t="s">
        <v>104</v>
      </c>
      <c r="M67" s="206">
        <f t="shared" ref="M67:R67" si="40">SUM(M66:M66)</f>
        <v>0</v>
      </c>
      <c r="N67" s="206">
        <f t="shared" si="40"/>
        <v>2539664</v>
      </c>
      <c r="O67" s="206">
        <f>SUM(O66:O66)</f>
        <v>2539664</v>
      </c>
      <c r="P67" s="206">
        <f t="shared" si="40"/>
        <v>0</v>
      </c>
      <c r="Q67" s="206"/>
      <c r="R67" s="206">
        <f t="shared" si="40"/>
        <v>0</v>
      </c>
      <c r="S67" s="206"/>
      <c r="T67" s="46">
        <f>N67</f>
        <v>2539664</v>
      </c>
      <c r="U67" s="46">
        <f t="shared" si="39"/>
        <v>2539664</v>
      </c>
    </row>
    <row r="68" spans="1:24" x14ac:dyDescent="0.25">
      <c r="A68" s="322"/>
      <c r="B68" s="69" t="s">
        <v>296</v>
      </c>
      <c r="C68" s="183" t="s">
        <v>226</v>
      </c>
      <c r="D68" s="69"/>
      <c r="E68" s="60"/>
      <c r="F68" s="60"/>
      <c r="G68" s="60"/>
      <c r="H68" s="60"/>
      <c r="I68" s="60"/>
      <c r="J68" s="73"/>
      <c r="K68" s="73"/>
      <c r="L68" s="74"/>
      <c r="M68" s="206"/>
      <c r="N68" s="206">
        <f>P68</f>
        <v>96255</v>
      </c>
      <c r="O68" s="206"/>
      <c r="P68" s="206">
        <v>96255</v>
      </c>
      <c r="Q68" s="206"/>
      <c r="R68" s="206"/>
      <c r="S68" s="206"/>
      <c r="T68" s="46">
        <f>P68</f>
        <v>96255</v>
      </c>
      <c r="U68" s="46">
        <f t="shared" si="39"/>
        <v>96255</v>
      </c>
    </row>
    <row r="69" spans="1:24" x14ac:dyDescent="0.25">
      <c r="A69" s="322"/>
      <c r="B69" s="89" t="s">
        <v>225</v>
      </c>
      <c r="C69" s="183" t="s">
        <v>219</v>
      </c>
      <c r="D69" s="64" t="s">
        <v>101</v>
      </c>
      <c r="E69" s="60">
        <v>19</v>
      </c>
      <c r="F69" s="60">
        <v>19</v>
      </c>
      <c r="G69" s="60">
        <v>19</v>
      </c>
      <c r="H69" s="60">
        <v>19</v>
      </c>
      <c r="I69" s="60">
        <v>19</v>
      </c>
      <c r="J69" s="73"/>
      <c r="K69" s="73"/>
      <c r="L69" s="74"/>
      <c r="M69" s="206"/>
      <c r="N69" s="206">
        <f>S69</f>
        <v>3813252</v>
      </c>
      <c r="O69" s="206"/>
      <c r="P69" s="206"/>
      <c r="Q69" s="206"/>
      <c r="R69" s="206"/>
      <c r="S69" s="206">
        <v>3813252</v>
      </c>
      <c r="T69" s="46">
        <f>S69</f>
        <v>3813252</v>
      </c>
      <c r="U69" s="46">
        <f t="shared" si="39"/>
        <v>3813252</v>
      </c>
    </row>
    <row r="70" spans="1:24" x14ac:dyDescent="0.25">
      <c r="A70" s="322"/>
      <c r="B70" s="89" t="s">
        <v>225</v>
      </c>
      <c r="C70" s="183" t="s">
        <v>226</v>
      </c>
      <c r="D70" s="64" t="s">
        <v>101</v>
      </c>
      <c r="E70" s="60">
        <v>4</v>
      </c>
      <c r="F70" s="60">
        <v>4</v>
      </c>
      <c r="G70" s="60">
        <v>4</v>
      </c>
      <c r="H70" s="60">
        <v>4</v>
      </c>
      <c r="I70" s="60">
        <v>4</v>
      </c>
      <c r="J70" s="73"/>
      <c r="K70" s="73"/>
      <c r="L70" s="74"/>
      <c r="M70" s="206"/>
      <c r="N70" s="206">
        <f>Q70</f>
        <v>606031</v>
      </c>
      <c r="O70" s="206"/>
      <c r="P70" s="206"/>
      <c r="Q70" s="206">
        <f>586350+19681</f>
        <v>606031</v>
      </c>
      <c r="R70" s="206"/>
      <c r="S70" s="206"/>
      <c r="T70" s="46">
        <v>586350</v>
      </c>
      <c r="U70" s="46">
        <f t="shared" si="39"/>
        <v>586350</v>
      </c>
      <c r="V70" s="85">
        <f>Q70-T70</f>
        <v>19681</v>
      </c>
    </row>
    <row r="71" spans="1:24" x14ac:dyDescent="0.25">
      <c r="A71" s="322"/>
      <c r="B71" s="89" t="s">
        <v>295</v>
      </c>
      <c r="C71" s="183" t="s">
        <v>219</v>
      </c>
      <c r="D71" s="64"/>
      <c r="E71" s="60"/>
      <c r="F71" s="60"/>
      <c r="G71" s="60"/>
      <c r="H71" s="60"/>
      <c r="I71" s="60"/>
      <c r="J71" s="73"/>
      <c r="K71" s="73"/>
      <c r="L71" s="74"/>
      <c r="M71" s="206"/>
      <c r="N71" s="206">
        <f>S71</f>
        <v>309345</v>
      </c>
      <c r="O71" s="206"/>
      <c r="P71" s="206"/>
      <c r="Q71" s="206"/>
      <c r="R71" s="206"/>
      <c r="S71" s="206">
        <v>309345</v>
      </c>
      <c r="T71" s="46"/>
      <c r="U71" s="46"/>
    </row>
    <row r="72" spans="1:24" x14ac:dyDescent="0.25">
      <c r="A72" s="322"/>
      <c r="B72" s="89" t="s">
        <v>263</v>
      </c>
      <c r="C72" s="183" t="s">
        <v>226</v>
      </c>
      <c r="D72" s="64"/>
      <c r="E72" s="60"/>
      <c r="F72" s="60"/>
      <c r="G72" s="60"/>
      <c r="H72" s="60"/>
      <c r="I72" s="60"/>
      <c r="J72" s="73"/>
      <c r="K72" s="73"/>
      <c r="L72" s="74"/>
      <c r="M72" s="206"/>
      <c r="N72" s="206">
        <f>O72</f>
        <v>152733</v>
      </c>
      <c r="O72" s="206">
        <v>152733</v>
      </c>
      <c r="P72" s="206"/>
      <c r="Q72" s="206"/>
      <c r="R72" s="206"/>
      <c r="S72" s="206"/>
      <c r="T72" s="46">
        <f>O72</f>
        <v>152733</v>
      </c>
      <c r="U72" s="46">
        <f t="shared" si="39"/>
        <v>152733</v>
      </c>
    </row>
    <row r="73" spans="1:24" x14ac:dyDescent="0.25">
      <c r="A73" s="322"/>
      <c r="B73" s="101" t="s">
        <v>112</v>
      </c>
      <c r="C73" s="101"/>
      <c r="D73" s="69"/>
      <c r="E73" s="102">
        <f t="shared" ref="E73:F73" si="41">E53+E60+E65</f>
        <v>528</v>
      </c>
      <c r="F73" s="102">
        <f t="shared" si="41"/>
        <v>528</v>
      </c>
      <c r="G73" s="102">
        <f>G53+G60+G65</f>
        <v>528</v>
      </c>
      <c r="H73" s="102">
        <f t="shared" ref="H73:I73" si="42">H53+H60+H65</f>
        <v>528</v>
      </c>
      <c r="I73" s="102">
        <f t="shared" si="42"/>
        <v>528</v>
      </c>
      <c r="J73" s="104"/>
      <c r="K73" s="104"/>
      <c r="L73" s="103"/>
      <c r="M73" s="138"/>
      <c r="N73" s="138">
        <f>SUM(O73:S73)</f>
        <v>35546275.442830719</v>
      </c>
      <c r="O73" s="138">
        <f>O53+O60+O65+O67+O72</f>
        <v>21519435</v>
      </c>
      <c r="P73" s="138">
        <f>P53+P60+P65+P67+P68+P69+P70</f>
        <v>5191442.0028316798</v>
      </c>
      <c r="Q73" s="138">
        <f t="shared" ref="Q73" si="43">Q53+Q60+Q65+Q67+Q68+Q69+Q70</f>
        <v>606031</v>
      </c>
      <c r="R73" s="138">
        <f>R53+R60+R65+R67+R68+R69+R70+R71</f>
        <v>4106770.4399990398</v>
      </c>
      <c r="S73" s="138">
        <f>S53+S60+S65+S67+S68+S69+S70+S71</f>
        <v>4122597</v>
      </c>
      <c r="T73" s="138">
        <f>T53+T60+T65+T67+T68+T69+T70+T71+T72</f>
        <v>35217249.442830712</v>
      </c>
      <c r="U73" s="138">
        <f>U53+U60+U65+U67+U68+U69+U70+U71+U72</f>
        <v>35217249.442830712</v>
      </c>
      <c r="V73" s="85">
        <v>4106770.44</v>
      </c>
      <c r="W73" s="85">
        <f>V73-R73</f>
        <v>9.6019357442855835E-7</v>
      </c>
      <c r="X73" s="80">
        <f>W73/I73</f>
        <v>1.8185484364177241E-9</v>
      </c>
    </row>
    <row r="74" spans="1:24" ht="90" x14ac:dyDescent="0.25">
      <c r="A74" s="322" t="s">
        <v>114</v>
      </c>
      <c r="B74" s="323" t="s">
        <v>237</v>
      </c>
      <c r="C74" s="61" t="s">
        <v>100</v>
      </c>
      <c r="D74" s="62" t="s">
        <v>101</v>
      </c>
      <c r="E74" s="59">
        <v>242</v>
      </c>
      <c r="F74" s="59">
        <v>242</v>
      </c>
      <c r="G74" s="59">
        <v>242</v>
      </c>
      <c r="H74" s="59">
        <v>242</v>
      </c>
      <c r="I74" s="59">
        <v>242</v>
      </c>
      <c r="J74" s="107">
        <f>SUM(K74:M74)</f>
        <v>38336.577907339997</v>
      </c>
      <c r="K74" s="107">
        <f>19579.7+1329.32</f>
        <v>20909.02</v>
      </c>
      <c r="L74" s="70">
        <f>4001.99*2.411294</f>
        <v>9649.9744750599984</v>
      </c>
      <c r="M74" s="201">
        <f>7790.73-13.14656772</f>
        <v>7777.5834322799992</v>
      </c>
      <c r="N74" s="202">
        <f>SUM(O74:R74)</f>
        <v>9453245.5635762792</v>
      </c>
      <c r="O74" s="202">
        <f>G74*K74+0.66+175793</f>
        <v>5235776.5</v>
      </c>
      <c r="P74" s="202">
        <f>G74*L74+0.05</f>
        <v>2335293.8729645195</v>
      </c>
      <c r="Q74" s="202"/>
      <c r="R74" s="46">
        <f>G74*M74</f>
        <v>1882175.1906117599</v>
      </c>
      <c r="S74" s="46"/>
      <c r="T74" s="46">
        <f>N74</f>
        <v>9453245.5635762792</v>
      </c>
      <c r="U74" s="46">
        <f>T74</f>
        <v>9453245.5635762792</v>
      </c>
    </row>
    <row r="75" spans="1:24" ht="135" x14ac:dyDescent="0.25">
      <c r="A75" s="322"/>
      <c r="B75" s="323"/>
      <c r="C75" s="63" t="s">
        <v>163</v>
      </c>
      <c r="D75" s="64" t="s">
        <v>101</v>
      </c>
      <c r="E75" s="59" t="s">
        <v>104</v>
      </c>
      <c r="F75" s="59" t="s">
        <v>104</v>
      </c>
      <c r="G75" s="59" t="s">
        <v>104</v>
      </c>
      <c r="H75" s="59" t="s">
        <v>104</v>
      </c>
      <c r="I75" s="59" t="s">
        <v>104</v>
      </c>
      <c r="J75" s="59" t="s">
        <v>104</v>
      </c>
      <c r="K75" s="59" t="s">
        <v>104</v>
      </c>
      <c r="L75" s="59" t="s">
        <v>104</v>
      </c>
      <c r="M75" s="123" t="s">
        <v>104</v>
      </c>
      <c r="N75" s="123"/>
      <c r="O75" s="123"/>
      <c r="P75" s="123" t="s">
        <v>104</v>
      </c>
      <c r="Q75" s="123"/>
      <c r="R75" s="123" t="s">
        <v>104</v>
      </c>
      <c r="S75" s="123"/>
      <c r="T75" s="46"/>
      <c r="U75" s="46"/>
    </row>
    <row r="76" spans="1:24" x14ac:dyDescent="0.25">
      <c r="A76" s="322"/>
      <c r="B76" s="323"/>
      <c r="C76" s="63" t="s">
        <v>171</v>
      </c>
      <c r="D76" s="64" t="s">
        <v>101</v>
      </c>
      <c r="E76" s="59">
        <v>1</v>
      </c>
      <c r="F76" s="59">
        <v>1</v>
      </c>
      <c r="G76" s="59">
        <v>1</v>
      </c>
      <c r="H76" s="59">
        <v>1</v>
      </c>
      <c r="I76" s="59">
        <v>1</v>
      </c>
      <c r="J76" s="75">
        <f t="shared" ref="J76:J80" si="44">K76</f>
        <v>69362.66</v>
      </c>
      <c r="K76" s="75">
        <v>69362.66</v>
      </c>
      <c r="L76" s="59" t="s">
        <v>104</v>
      </c>
      <c r="M76" s="123" t="s">
        <v>104</v>
      </c>
      <c r="N76" s="202">
        <f>O76</f>
        <v>69362.66</v>
      </c>
      <c r="O76" s="202">
        <f>G76*K76</f>
        <v>69362.66</v>
      </c>
      <c r="P76" s="123" t="s">
        <v>104</v>
      </c>
      <c r="Q76" s="123"/>
      <c r="R76" s="123" t="s">
        <v>104</v>
      </c>
      <c r="S76" s="123"/>
      <c r="T76" s="46">
        <f>H76*K76</f>
        <v>69362.66</v>
      </c>
      <c r="U76" s="46">
        <f>I76*K76</f>
        <v>69362.66</v>
      </c>
    </row>
    <row r="77" spans="1:24" x14ac:dyDescent="0.25">
      <c r="A77" s="322"/>
      <c r="B77" s="323"/>
      <c r="C77" s="63" t="s">
        <v>164</v>
      </c>
      <c r="D77" s="64" t="s">
        <v>101</v>
      </c>
      <c r="E77" s="59">
        <v>3</v>
      </c>
      <c r="F77" s="59">
        <v>3</v>
      </c>
      <c r="G77" s="59">
        <v>3</v>
      </c>
      <c r="H77" s="59">
        <v>3</v>
      </c>
      <c r="I77" s="59">
        <v>3</v>
      </c>
      <c r="J77" s="75">
        <f t="shared" si="44"/>
        <v>25589.72</v>
      </c>
      <c r="K77" s="75">
        <v>25589.72</v>
      </c>
      <c r="L77" s="59" t="s">
        <v>104</v>
      </c>
      <c r="M77" s="123" t="s">
        <v>104</v>
      </c>
      <c r="N77" s="202">
        <f>O77</f>
        <v>76769.16</v>
      </c>
      <c r="O77" s="202">
        <f t="shared" ref="O77:O81" si="45">G77*K77</f>
        <v>76769.16</v>
      </c>
      <c r="P77" s="123" t="s">
        <v>104</v>
      </c>
      <c r="Q77" s="123"/>
      <c r="R77" s="123" t="s">
        <v>104</v>
      </c>
      <c r="S77" s="123"/>
      <c r="T77" s="46">
        <f>H77*K77</f>
        <v>76769.16</v>
      </c>
      <c r="U77" s="46">
        <f>I77*K77</f>
        <v>76769.16</v>
      </c>
    </row>
    <row r="78" spans="1:24" x14ac:dyDescent="0.25">
      <c r="A78" s="322"/>
      <c r="B78" s="323"/>
      <c r="C78" s="63" t="s">
        <v>169</v>
      </c>
      <c r="D78" s="64" t="s">
        <v>101</v>
      </c>
      <c r="E78" s="59">
        <v>18</v>
      </c>
      <c r="F78" s="59">
        <v>18</v>
      </c>
      <c r="G78" s="59">
        <v>18</v>
      </c>
      <c r="H78" s="59">
        <v>18</v>
      </c>
      <c r="I78" s="59">
        <v>18</v>
      </c>
      <c r="J78" s="75">
        <f t="shared" si="44"/>
        <v>69362.66</v>
      </c>
      <c r="K78" s="75">
        <v>69362.66</v>
      </c>
      <c r="L78" s="59" t="s">
        <v>104</v>
      </c>
      <c r="M78" s="123" t="s">
        <v>104</v>
      </c>
      <c r="N78" s="202">
        <f t="shared" ref="N78:N80" si="46">O78</f>
        <v>1248527.8800000001</v>
      </c>
      <c r="O78" s="202">
        <f t="shared" si="45"/>
        <v>1248527.8800000001</v>
      </c>
      <c r="P78" s="123" t="s">
        <v>104</v>
      </c>
      <c r="Q78" s="123"/>
      <c r="R78" s="123" t="s">
        <v>104</v>
      </c>
      <c r="S78" s="123"/>
      <c r="T78" s="46">
        <f t="shared" ref="T78:T80" si="47">H78*K78</f>
        <v>1248527.8800000001</v>
      </c>
      <c r="U78" s="46">
        <f t="shared" ref="U78:U80" si="48">I78*K78</f>
        <v>1248527.8800000001</v>
      </c>
    </row>
    <row r="79" spans="1:24" x14ac:dyDescent="0.25">
      <c r="A79" s="322"/>
      <c r="B79" s="323"/>
      <c r="C79" s="63" t="s">
        <v>166</v>
      </c>
      <c r="D79" s="64" t="s">
        <v>101</v>
      </c>
      <c r="E79" s="59">
        <v>5</v>
      </c>
      <c r="F79" s="59">
        <v>5</v>
      </c>
      <c r="G79" s="59">
        <v>5</v>
      </c>
      <c r="H79" s="59">
        <v>5</v>
      </c>
      <c r="I79" s="59">
        <v>5</v>
      </c>
      <c r="J79" s="75">
        <f t="shared" si="44"/>
        <v>66361.320000000007</v>
      </c>
      <c r="K79" s="75">
        <v>66361.320000000007</v>
      </c>
      <c r="L79" s="59" t="s">
        <v>104</v>
      </c>
      <c r="M79" s="123" t="s">
        <v>104</v>
      </c>
      <c r="N79" s="202">
        <f t="shared" si="46"/>
        <v>331806.60000000003</v>
      </c>
      <c r="O79" s="202">
        <f t="shared" si="45"/>
        <v>331806.60000000003</v>
      </c>
      <c r="P79" s="123" t="s">
        <v>104</v>
      </c>
      <c r="Q79" s="123"/>
      <c r="R79" s="123" t="s">
        <v>104</v>
      </c>
      <c r="S79" s="123"/>
      <c r="T79" s="46">
        <f t="shared" si="47"/>
        <v>331806.60000000003</v>
      </c>
      <c r="U79" s="46">
        <f t="shared" si="48"/>
        <v>331806.60000000003</v>
      </c>
    </row>
    <row r="80" spans="1:24" x14ac:dyDescent="0.25">
      <c r="A80" s="322"/>
      <c r="B80" s="323"/>
      <c r="C80" s="63" t="s">
        <v>168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si="44"/>
        <v>23553.439999999999</v>
      </c>
      <c r="K80" s="75">
        <v>23553.439999999999</v>
      </c>
      <c r="L80" s="59" t="s">
        <v>104</v>
      </c>
      <c r="M80" s="123" t="s">
        <v>104</v>
      </c>
      <c r="N80" s="202">
        <f t="shared" si="46"/>
        <v>23553.439999999999</v>
      </c>
      <c r="O80" s="202">
        <f t="shared" si="45"/>
        <v>23553.439999999999</v>
      </c>
      <c r="P80" s="123" t="s">
        <v>104</v>
      </c>
      <c r="Q80" s="123"/>
      <c r="R80" s="123" t="s">
        <v>104</v>
      </c>
      <c r="S80" s="123"/>
      <c r="T80" s="46">
        <f t="shared" si="47"/>
        <v>23553.439999999999</v>
      </c>
      <c r="U80" s="46">
        <f t="shared" si="48"/>
        <v>23553.439999999999</v>
      </c>
    </row>
    <row r="81" spans="1:21" ht="120" x14ac:dyDescent="0.25">
      <c r="A81" s="322"/>
      <c r="B81" s="323"/>
      <c r="C81" s="61" t="s">
        <v>105</v>
      </c>
      <c r="D81" s="64" t="s">
        <v>101</v>
      </c>
      <c r="E81" s="59">
        <v>1</v>
      </c>
      <c r="F81" s="59">
        <v>1</v>
      </c>
      <c r="G81" s="59">
        <v>1</v>
      </c>
      <c r="H81" s="59">
        <v>1</v>
      </c>
      <c r="I81" s="59">
        <v>1</v>
      </c>
      <c r="J81" s="75">
        <f>SUM(K81:M81)</f>
        <v>140169.79790733999</v>
      </c>
      <c r="K81" s="75">
        <f>121412.92+1329.32</f>
        <v>122742.24</v>
      </c>
      <c r="L81" s="72">
        <f>4001.99*2.411294</f>
        <v>9649.9744750599984</v>
      </c>
      <c r="M81" s="201">
        <f>7790.73-13.14656772</f>
        <v>7777.5834322799992</v>
      </c>
      <c r="N81" s="202">
        <f>SUM(O81:R81)</f>
        <v>140169.79790733999</v>
      </c>
      <c r="O81" s="202">
        <f t="shared" si="45"/>
        <v>122742.24</v>
      </c>
      <c r="P81" s="202">
        <f>G81*L81</f>
        <v>9649.9744750599984</v>
      </c>
      <c r="Q81" s="202"/>
      <c r="R81" s="46">
        <f>G81*M81</f>
        <v>7777.5834322799992</v>
      </c>
      <c r="S81" s="46"/>
      <c r="T81" s="46">
        <f t="shared" si="9"/>
        <v>140169.79790733999</v>
      </c>
      <c r="U81" s="46">
        <f t="shared" si="6"/>
        <v>140169.79790733999</v>
      </c>
    </row>
    <row r="82" spans="1:21" x14ac:dyDescent="0.25">
      <c r="A82" s="322"/>
      <c r="B82" s="323"/>
      <c r="C82" s="66" t="s">
        <v>106</v>
      </c>
      <c r="D82" s="67"/>
      <c r="E82" s="59">
        <f>E74+E81</f>
        <v>243</v>
      </c>
      <c r="F82" s="59">
        <f t="shared" ref="F82:I82" si="49">F74+F81</f>
        <v>243</v>
      </c>
      <c r="G82" s="59">
        <f>G74+G81</f>
        <v>243</v>
      </c>
      <c r="H82" s="59">
        <f t="shared" si="49"/>
        <v>243</v>
      </c>
      <c r="I82" s="59">
        <f t="shared" si="49"/>
        <v>243</v>
      </c>
      <c r="J82" s="71" t="s">
        <v>104</v>
      </c>
      <c r="K82" s="71" t="s">
        <v>104</v>
      </c>
      <c r="L82" s="71" t="s">
        <v>104</v>
      </c>
      <c r="M82" s="202" t="s">
        <v>104</v>
      </c>
      <c r="N82" s="202">
        <f t="shared" ref="N82:R82" si="50">SUM(N74:N81)</f>
        <v>11343435.101483619</v>
      </c>
      <c r="O82" s="202">
        <f t="shared" si="50"/>
        <v>7108538.4800000004</v>
      </c>
      <c r="P82" s="202">
        <f t="shared" si="50"/>
        <v>2344943.8474395797</v>
      </c>
      <c r="Q82" s="202"/>
      <c r="R82" s="202">
        <f t="shared" si="50"/>
        <v>1889952.7740440399</v>
      </c>
      <c r="S82" s="202"/>
      <c r="T82" s="202">
        <f>N82</f>
        <v>11343435.101483619</v>
      </c>
      <c r="U82" s="202">
        <f>T82</f>
        <v>11343435.101483619</v>
      </c>
    </row>
    <row r="83" spans="1:21" ht="90" x14ac:dyDescent="0.25">
      <c r="A83" s="322"/>
      <c r="B83" s="323" t="s">
        <v>238</v>
      </c>
      <c r="C83" s="61" t="s">
        <v>100</v>
      </c>
      <c r="D83" s="62" t="s">
        <v>101</v>
      </c>
      <c r="E83" s="59">
        <v>224</v>
      </c>
      <c r="F83" s="59">
        <v>224</v>
      </c>
      <c r="G83" s="59">
        <v>224</v>
      </c>
      <c r="H83" s="59">
        <v>224</v>
      </c>
      <c r="I83" s="59">
        <v>224</v>
      </c>
      <c r="J83" s="107">
        <f>SUM(K83:M83)</f>
        <v>53396.027907340002</v>
      </c>
      <c r="K83" s="107">
        <f>34346.05+1622.42</f>
        <v>35968.47</v>
      </c>
      <c r="L83" s="70">
        <f>4001.99*2.411294</f>
        <v>9649.9744750599984</v>
      </c>
      <c r="M83" s="201">
        <f>7790.73-13.14656772</f>
        <v>7777.5834322799992</v>
      </c>
      <c r="N83" s="202">
        <f>SUM(O83:R83)</f>
        <v>11960710.251244159</v>
      </c>
      <c r="O83" s="202">
        <f>G83*K83</f>
        <v>8056937.2800000003</v>
      </c>
      <c r="P83" s="202">
        <f>G83*L83</f>
        <v>2161594.2824134398</v>
      </c>
      <c r="Q83" s="202"/>
      <c r="R83" s="46">
        <f>G83*M83</f>
        <v>1742178.6888307198</v>
      </c>
      <c r="S83" s="46"/>
      <c r="T83" s="46">
        <f t="shared" si="9"/>
        <v>11960710.251244161</v>
      </c>
      <c r="U83" s="46">
        <f t="shared" si="6"/>
        <v>11960710.251244161</v>
      </c>
    </row>
    <row r="84" spans="1:21" ht="135" x14ac:dyDescent="0.25">
      <c r="A84" s="322"/>
      <c r="B84" s="323"/>
      <c r="C84" s="63" t="s">
        <v>163</v>
      </c>
      <c r="D84" s="64" t="s">
        <v>101</v>
      </c>
      <c r="E84" s="59" t="s">
        <v>104</v>
      </c>
      <c r="F84" s="59" t="s">
        <v>104</v>
      </c>
      <c r="G84" s="59" t="s">
        <v>104</v>
      </c>
      <c r="H84" s="59" t="s">
        <v>104</v>
      </c>
      <c r="I84" s="59" t="s">
        <v>104</v>
      </c>
      <c r="J84" s="59" t="s">
        <v>104</v>
      </c>
      <c r="K84" s="59" t="s">
        <v>104</v>
      </c>
      <c r="L84" s="59" t="s">
        <v>104</v>
      </c>
      <c r="M84" s="123" t="s">
        <v>104</v>
      </c>
      <c r="N84" s="202"/>
      <c r="O84" s="202"/>
      <c r="P84" s="123" t="s">
        <v>104</v>
      </c>
      <c r="Q84" s="123"/>
      <c r="R84" s="123" t="s">
        <v>104</v>
      </c>
      <c r="S84" s="123"/>
      <c r="T84" s="46"/>
      <c r="U84" s="46"/>
    </row>
    <row r="85" spans="1:21" x14ac:dyDescent="0.25">
      <c r="A85" s="322"/>
      <c r="B85" s="323"/>
      <c r="C85" s="63" t="s">
        <v>171</v>
      </c>
      <c r="D85" s="64" t="s">
        <v>101</v>
      </c>
      <c r="E85" s="60">
        <v>1</v>
      </c>
      <c r="F85" s="60">
        <v>1</v>
      </c>
      <c r="G85" s="60">
        <v>1</v>
      </c>
      <c r="H85" s="60">
        <v>1</v>
      </c>
      <c r="I85" s="60">
        <v>1</v>
      </c>
      <c r="J85" s="75">
        <f t="shared" ref="J85:J86" si="51">K85</f>
        <v>69362.66</v>
      </c>
      <c r="K85" s="75">
        <v>69362.66</v>
      </c>
      <c r="L85" s="59" t="s">
        <v>104</v>
      </c>
      <c r="M85" s="123" t="s">
        <v>104</v>
      </c>
      <c r="N85" s="202">
        <f t="shared" ref="N85:N86" si="52">O85</f>
        <v>69362.66</v>
      </c>
      <c r="O85" s="202">
        <f>G85*K85</f>
        <v>69362.66</v>
      </c>
      <c r="P85" s="123" t="s">
        <v>104</v>
      </c>
      <c r="Q85" s="123"/>
      <c r="R85" s="123" t="s">
        <v>104</v>
      </c>
      <c r="S85" s="123"/>
      <c r="T85" s="46">
        <f>H85*K85</f>
        <v>69362.66</v>
      </c>
      <c r="U85" s="46">
        <f>I85*K85</f>
        <v>69362.66</v>
      </c>
    </row>
    <row r="86" spans="1:21" x14ac:dyDescent="0.25">
      <c r="A86" s="322"/>
      <c r="B86" s="323"/>
      <c r="C86" s="63" t="s">
        <v>165</v>
      </c>
      <c r="D86" s="64" t="s">
        <v>101</v>
      </c>
      <c r="E86" s="60"/>
      <c r="F86" s="60"/>
      <c r="G86" s="59"/>
      <c r="H86" s="60"/>
      <c r="I86" s="60"/>
      <c r="J86" s="75">
        <f t="shared" si="51"/>
        <v>92468.25</v>
      </c>
      <c r="K86" s="75">
        <v>92468.25</v>
      </c>
      <c r="L86" s="59" t="s">
        <v>104</v>
      </c>
      <c r="M86" s="123" t="s">
        <v>104</v>
      </c>
      <c r="N86" s="202">
        <f t="shared" si="52"/>
        <v>0</v>
      </c>
      <c r="O86" s="202">
        <f t="shared" ref="O86:O88" si="53">G86*K86</f>
        <v>0</v>
      </c>
      <c r="P86" s="123" t="s">
        <v>104</v>
      </c>
      <c r="Q86" s="123"/>
      <c r="R86" s="123" t="s">
        <v>104</v>
      </c>
      <c r="S86" s="123"/>
      <c r="T86" s="46">
        <f t="shared" ref="T86:T87" si="54">H86*K86</f>
        <v>0</v>
      </c>
      <c r="U86" s="46">
        <f t="shared" ref="U86:U87" si="55">I86*K86</f>
        <v>0</v>
      </c>
    </row>
    <row r="87" spans="1:21" x14ac:dyDescent="0.25">
      <c r="A87" s="322"/>
      <c r="B87" s="323"/>
      <c r="C87" s="63" t="s">
        <v>168</v>
      </c>
      <c r="D87" s="64" t="s">
        <v>101</v>
      </c>
      <c r="E87" s="60">
        <v>6</v>
      </c>
      <c r="F87" s="60">
        <v>6</v>
      </c>
      <c r="G87" s="60">
        <v>6</v>
      </c>
      <c r="H87" s="60">
        <v>6</v>
      </c>
      <c r="I87" s="60">
        <v>6</v>
      </c>
      <c r="J87" s="75">
        <f>K87</f>
        <v>23553.439999999999</v>
      </c>
      <c r="K87" s="75">
        <v>23553.439999999999</v>
      </c>
      <c r="L87" s="59" t="s">
        <v>104</v>
      </c>
      <c r="M87" s="123" t="s">
        <v>104</v>
      </c>
      <c r="N87" s="202">
        <f>O87</f>
        <v>141320.63999999998</v>
      </c>
      <c r="O87" s="202">
        <f t="shared" si="53"/>
        <v>141320.63999999998</v>
      </c>
      <c r="P87" s="123" t="s">
        <v>104</v>
      </c>
      <c r="Q87" s="123"/>
      <c r="R87" s="123" t="s">
        <v>104</v>
      </c>
      <c r="S87" s="123"/>
      <c r="T87" s="46">
        <f t="shared" si="54"/>
        <v>141320.63999999998</v>
      </c>
      <c r="U87" s="46">
        <f t="shared" si="55"/>
        <v>141320.63999999998</v>
      </c>
    </row>
    <row r="88" spans="1:21" ht="120" x14ac:dyDescent="0.25">
      <c r="A88" s="322"/>
      <c r="B88" s="323"/>
      <c r="C88" s="61" t="s">
        <v>105</v>
      </c>
      <c r="D88" s="64" t="s">
        <v>101</v>
      </c>
      <c r="E88" s="60">
        <v>3</v>
      </c>
      <c r="F88" s="60">
        <v>3</v>
      </c>
      <c r="G88" s="60">
        <v>3</v>
      </c>
      <c r="H88" s="60">
        <v>3</v>
      </c>
      <c r="I88" s="60">
        <v>3</v>
      </c>
      <c r="J88" s="75">
        <f>SUM(K88:M88)</f>
        <v>170457.60790734002</v>
      </c>
      <c r="K88" s="75">
        <f>151407.63+1622.42</f>
        <v>153030.05000000002</v>
      </c>
      <c r="L88" s="72">
        <f>4001.99*2.411294</f>
        <v>9649.9744750599984</v>
      </c>
      <c r="M88" s="201">
        <f>7790.73-13.14656772</f>
        <v>7777.5834322799992</v>
      </c>
      <c r="N88" s="200">
        <f>SUM(O88:R88)</f>
        <v>511372.82372202002</v>
      </c>
      <c r="O88" s="202">
        <f t="shared" si="53"/>
        <v>459090.15</v>
      </c>
      <c r="P88" s="200">
        <f>G88*L88</f>
        <v>28949.923425179994</v>
      </c>
      <c r="Q88" s="200"/>
      <c r="R88" s="46">
        <f>G88*M88</f>
        <v>23332.750296839997</v>
      </c>
      <c r="S88" s="46"/>
      <c r="T88" s="46">
        <f t="shared" si="9"/>
        <v>511372.82372202002</v>
      </c>
      <c r="U88" s="46">
        <f t="shared" si="6"/>
        <v>511372.82372202002</v>
      </c>
    </row>
    <row r="89" spans="1:21" x14ac:dyDescent="0.25">
      <c r="A89" s="322"/>
      <c r="B89" s="191"/>
      <c r="C89" s="66" t="s">
        <v>106</v>
      </c>
      <c r="D89" s="64"/>
      <c r="E89" s="60">
        <f>E83+E88</f>
        <v>227</v>
      </c>
      <c r="F89" s="60">
        <f t="shared" ref="F89:I89" si="56">F83+F88</f>
        <v>227</v>
      </c>
      <c r="G89" s="60">
        <f t="shared" si="56"/>
        <v>227</v>
      </c>
      <c r="H89" s="60">
        <f t="shared" si="56"/>
        <v>227</v>
      </c>
      <c r="I89" s="60">
        <f t="shared" si="56"/>
        <v>227</v>
      </c>
      <c r="J89" s="73" t="s">
        <v>104</v>
      </c>
      <c r="K89" s="73" t="s">
        <v>104</v>
      </c>
      <c r="L89" s="74" t="s">
        <v>104</v>
      </c>
      <c r="M89" s="206" t="s">
        <v>104</v>
      </c>
      <c r="N89" s="206">
        <f t="shared" ref="N89:U89" si="57">SUM(N83:N88)</f>
        <v>12682766.37496618</v>
      </c>
      <c r="O89" s="206">
        <f t="shared" si="57"/>
        <v>8726710.7300000004</v>
      </c>
      <c r="P89" s="206">
        <f t="shared" si="57"/>
        <v>2190544.2058386197</v>
      </c>
      <c r="Q89" s="206"/>
      <c r="R89" s="206">
        <f t="shared" si="57"/>
        <v>1765511.4391275598</v>
      </c>
      <c r="S89" s="206"/>
      <c r="T89" s="206">
        <f t="shared" si="57"/>
        <v>12682766.374966182</v>
      </c>
      <c r="U89" s="206">
        <f t="shared" si="57"/>
        <v>12682766.374966182</v>
      </c>
    </row>
    <row r="90" spans="1:21" ht="90" x14ac:dyDescent="0.25">
      <c r="A90" s="322"/>
      <c r="B90" s="323" t="s">
        <v>239</v>
      </c>
      <c r="C90" s="61" t="s">
        <v>100</v>
      </c>
      <c r="D90" s="62" t="s">
        <v>101</v>
      </c>
      <c r="E90" s="60">
        <v>69</v>
      </c>
      <c r="F90" s="60">
        <v>69</v>
      </c>
      <c r="G90" s="60">
        <v>69</v>
      </c>
      <c r="H90" s="60">
        <v>69</v>
      </c>
      <c r="I90" s="60">
        <v>69</v>
      </c>
      <c r="J90" s="107">
        <f>SUM(K90:M90)</f>
        <v>60498.467907340004</v>
      </c>
      <c r="K90" s="107">
        <f>41105.12+1965.79</f>
        <v>43070.91</v>
      </c>
      <c r="L90" s="70">
        <f>4001.99*2.411294</f>
        <v>9649.9744750599984</v>
      </c>
      <c r="M90" s="201">
        <f>7790.73-13.14656772</f>
        <v>7777.5834322799992</v>
      </c>
      <c r="N90" s="200">
        <f>SUM(O90:R90)</f>
        <v>4174393.9966064598</v>
      </c>
      <c r="O90" s="200">
        <f>G90*K90</f>
        <v>2971892.79</v>
      </c>
      <c r="P90" s="200">
        <f>G90*L90-0.289</f>
        <v>665847.94977913995</v>
      </c>
      <c r="Q90" s="200"/>
      <c r="R90" s="46">
        <f>G90*M90</f>
        <v>536653.25682731997</v>
      </c>
      <c r="S90" s="46"/>
      <c r="T90" s="46">
        <f>N90</f>
        <v>4174393.9966064598</v>
      </c>
      <c r="U90" s="46">
        <f>T90</f>
        <v>4174393.9966064598</v>
      </c>
    </row>
    <row r="91" spans="1:21" ht="135" x14ac:dyDescent="0.25">
      <c r="A91" s="322"/>
      <c r="B91" s="323"/>
      <c r="C91" s="63" t="s">
        <v>163</v>
      </c>
      <c r="D91" s="64" t="s">
        <v>101</v>
      </c>
      <c r="E91" s="59" t="s">
        <v>104</v>
      </c>
      <c r="F91" s="59" t="s">
        <v>104</v>
      </c>
      <c r="G91" s="59" t="s">
        <v>104</v>
      </c>
      <c r="H91" s="59" t="s">
        <v>104</v>
      </c>
      <c r="I91" s="59" t="s">
        <v>104</v>
      </c>
      <c r="J91" s="59" t="s">
        <v>104</v>
      </c>
      <c r="K91" s="59" t="s">
        <v>104</v>
      </c>
      <c r="L91" s="59" t="s">
        <v>104</v>
      </c>
      <c r="M91" s="123" t="s">
        <v>104</v>
      </c>
      <c r="N91" s="202"/>
      <c r="O91" s="202"/>
      <c r="P91" s="123" t="s">
        <v>104</v>
      </c>
      <c r="Q91" s="123"/>
      <c r="R91" s="123" t="s">
        <v>104</v>
      </c>
      <c r="S91" s="123"/>
      <c r="T91" s="46"/>
      <c r="U91" s="46"/>
    </row>
    <row r="92" spans="1:21" x14ac:dyDescent="0.25">
      <c r="A92" s="322"/>
      <c r="B92" s="323"/>
      <c r="C92" s="63" t="s">
        <v>165</v>
      </c>
      <c r="D92" s="64" t="s">
        <v>101</v>
      </c>
      <c r="E92" s="60"/>
      <c r="F92" s="60"/>
      <c r="G92" s="59">
        <f t="shared" ref="G92:G94" si="58">((E92*8)+(F92*4))/12</f>
        <v>0</v>
      </c>
      <c r="H92" s="60"/>
      <c r="I92" s="60"/>
      <c r="J92" s="75">
        <f>K92</f>
        <v>92468.25</v>
      </c>
      <c r="K92" s="75">
        <v>92468.25</v>
      </c>
      <c r="L92" s="59" t="s">
        <v>104</v>
      </c>
      <c r="M92" s="123" t="s">
        <v>104</v>
      </c>
      <c r="N92" s="202">
        <f>O92</f>
        <v>0</v>
      </c>
      <c r="O92" s="202">
        <f>G92*K92</f>
        <v>0</v>
      </c>
      <c r="P92" s="123" t="s">
        <v>104</v>
      </c>
      <c r="Q92" s="123"/>
      <c r="R92" s="123" t="s">
        <v>104</v>
      </c>
      <c r="S92" s="123"/>
      <c r="T92" s="46">
        <f>H92*K92</f>
        <v>0</v>
      </c>
      <c r="U92" s="46">
        <f>I92*K92</f>
        <v>0</v>
      </c>
    </row>
    <row r="93" spans="1:21" x14ac:dyDescent="0.25">
      <c r="A93" s="322"/>
      <c r="B93" s="323"/>
      <c r="C93" s="63" t="s">
        <v>168</v>
      </c>
      <c r="D93" s="64" t="s">
        <v>101</v>
      </c>
      <c r="E93" s="60"/>
      <c r="F93" s="60"/>
      <c r="G93" s="59">
        <f t="shared" si="58"/>
        <v>0</v>
      </c>
      <c r="H93" s="60"/>
      <c r="I93" s="60"/>
      <c r="J93" s="75">
        <f>K93</f>
        <v>23553.439999999999</v>
      </c>
      <c r="K93" s="75">
        <v>23553.439999999999</v>
      </c>
      <c r="L93" s="59" t="s">
        <v>104</v>
      </c>
      <c r="M93" s="123" t="s">
        <v>104</v>
      </c>
      <c r="N93" s="202">
        <f>O93</f>
        <v>0</v>
      </c>
      <c r="O93" s="202">
        <f>G93*K93</f>
        <v>0</v>
      </c>
      <c r="P93" s="123" t="s">
        <v>104</v>
      </c>
      <c r="Q93" s="123"/>
      <c r="R93" s="123" t="s">
        <v>104</v>
      </c>
      <c r="S93" s="123"/>
      <c r="T93" s="46">
        <f>H93*K93</f>
        <v>0</v>
      </c>
      <c r="U93" s="46">
        <f>I93*K93</f>
        <v>0</v>
      </c>
    </row>
    <row r="94" spans="1:21" ht="120" x14ac:dyDescent="0.25">
      <c r="A94" s="322"/>
      <c r="B94" s="323"/>
      <c r="C94" s="61" t="s">
        <v>105</v>
      </c>
      <c r="D94" s="64" t="s">
        <v>101</v>
      </c>
      <c r="E94" s="60"/>
      <c r="F94" s="60"/>
      <c r="G94" s="59">
        <f t="shared" si="58"/>
        <v>0</v>
      </c>
      <c r="H94" s="60"/>
      <c r="I94" s="60"/>
      <c r="J94" s="75">
        <f>SUM(K94:M94)</f>
        <v>200795.69790734001</v>
      </c>
      <c r="K94" s="75">
        <f>181402.35+1965.79</f>
        <v>183368.14</v>
      </c>
      <c r="L94" s="72">
        <f>4001.99*2.411294</f>
        <v>9649.9744750599984</v>
      </c>
      <c r="M94" s="201">
        <f>7790.73-13.14656772</f>
        <v>7777.5834322799992</v>
      </c>
      <c r="N94" s="200"/>
      <c r="O94" s="202">
        <f>G94*K94</f>
        <v>0</v>
      </c>
      <c r="P94" s="200"/>
      <c r="Q94" s="200"/>
      <c r="R94" s="200"/>
      <c r="S94" s="200"/>
      <c r="T94" s="46">
        <f t="shared" si="9"/>
        <v>0</v>
      </c>
      <c r="U94" s="46">
        <f t="shared" si="6"/>
        <v>0</v>
      </c>
    </row>
    <row r="95" spans="1:21" x14ac:dyDescent="0.25">
      <c r="A95" s="322"/>
      <c r="B95" s="191"/>
      <c r="C95" s="66" t="s">
        <v>106</v>
      </c>
      <c r="D95" s="64"/>
      <c r="E95" s="60">
        <f>E90+E94</f>
        <v>69</v>
      </c>
      <c r="F95" s="60">
        <f t="shared" ref="F95:I95" si="59">F90+F94</f>
        <v>69</v>
      </c>
      <c r="G95" s="60">
        <f t="shared" si="59"/>
        <v>69</v>
      </c>
      <c r="H95" s="60">
        <f t="shared" si="59"/>
        <v>69</v>
      </c>
      <c r="I95" s="60">
        <f t="shared" si="59"/>
        <v>69</v>
      </c>
      <c r="J95" s="73" t="s">
        <v>104</v>
      </c>
      <c r="K95" s="73" t="s">
        <v>104</v>
      </c>
      <c r="L95" s="74" t="s">
        <v>104</v>
      </c>
      <c r="M95" s="206" t="s">
        <v>104</v>
      </c>
      <c r="N95" s="206">
        <f t="shared" ref="N95:U95" si="60">SUM(N90:N94)</f>
        <v>4174393.9966064598</v>
      </c>
      <c r="O95" s="206">
        <f t="shared" si="60"/>
        <v>2971892.79</v>
      </c>
      <c r="P95" s="206">
        <f t="shared" si="60"/>
        <v>665847.94977913995</v>
      </c>
      <c r="Q95" s="206"/>
      <c r="R95" s="206">
        <f t="shared" si="60"/>
        <v>536653.25682731997</v>
      </c>
      <c r="S95" s="206"/>
      <c r="T95" s="206">
        <f t="shared" si="60"/>
        <v>4174393.9966064598</v>
      </c>
      <c r="U95" s="206">
        <f t="shared" si="60"/>
        <v>4174393.9966064598</v>
      </c>
    </row>
    <row r="96" spans="1:21" ht="100.15" customHeight="1" x14ac:dyDescent="0.25">
      <c r="A96" s="322"/>
      <c r="B96" s="137" t="s">
        <v>240</v>
      </c>
      <c r="C96" s="61" t="s">
        <v>187</v>
      </c>
      <c r="D96" s="64" t="s">
        <v>101</v>
      </c>
      <c r="E96" s="60">
        <v>921</v>
      </c>
      <c r="F96" s="60">
        <v>921</v>
      </c>
      <c r="G96" s="60">
        <v>921</v>
      </c>
      <c r="H96" s="60">
        <v>921</v>
      </c>
      <c r="I96" s="60">
        <v>921</v>
      </c>
      <c r="J96" s="75">
        <f>K96</f>
        <v>3268.55</v>
      </c>
      <c r="K96" s="75">
        <v>3268.55</v>
      </c>
      <c r="L96" s="72" t="s">
        <v>104</v>
      </c>
      <c r="M96" s="205" t="s">
        <v>104</v>
      </c>
      <c r="N96" s="200">
        <f>SUM(O96:R96)</f>
        <v>3010334.0000000005</v>
      </c>
      <c r="O96" s="200">
        <f>K96*G96-0.55</f>
        <v>3010334.0000000005</v>
      </c>
      <c r="P96" s="200" t="s">
        <v>104</v>
      </c>
      <c r="Q96" s="200"/>
      <c r="R96" s="200" t="s">
        <v>104</v>
      </c>
      <c r="S96" s="200"/>
      <c r="T96" s="46">
        <f>N96</f>
        <v>3010334.0000000005</v>
      </c>
      <c r="U96" s="46">
        <f t="shared" ref="U96:U102" si="61">T96</f>
        <v>3010334.0000000005</v>
      </c>
    </row>
    <row r="97" spans="1:24" x14ac:dyDescent="0.25">
      <c r="A97" s="322"/>
      <c r="B97" s="69"/>
      <c r="C97" s="66" t="s">
        <v>106</v>
      </c>
      <c r="D97" s="69"/>
      <c r="E97" s="60">
        <f>SUM(E96:E96)</f>
        <v>921</v>
      </c>
      <c r="F97" s="60">
        <f>SUM(F96:F96)</f>
        <v>921</v>
      </c>
      <c r="G97" s="60">
        <f>SUM(G96:G96)</f>
        <v>921</v>
      </c>
      <c r="H97" s="60">
        <f>SUM(H96:H96)</f>
        <v>921</v>
      </c>
      <c r="I97" s="60">
        <f>SUM(I96:I96)</f>
        <v>921</v>
      </c>
      <c r="J97" s="73" t="s">
        <v>104</v>
      </c>
      <c r="K97" s="73" t="s">
        <v>104</v>
      </c>
      <c r="L97" s="74" t="s">
        <v>104</v>
      </c>
      <c r="M97" s="206">
        <f t="shared" ref="M97:R97" si="62">SUM(M96:M96)</f>
        <v>0</v>
      </c>
      <c r="N97" s="206">
        <f t="shared" si="62"/>
        <v>3010334.0000000005</v>
      </c>
      <c r="O97" s="206">
        <f>SUM(O96:O96)</f>
        <v>3010334.0000000005</v>
      </c>
      <c r="P97" s="206">
        <f t="shared" si="62"/>
        <v>0</v>
      </c>
      <c r="Q97" s="206"/>
      <c r="R97" s="206">
        <f t="shared" si="62"/>
        <v>0</v>
      </c>
      <c r="S97" s="206"/>
      <c r="T97" s="46">
        <f>N97</f>
        <v>3010334.0000000005</v>
      </c>
      <c r="U97" s="46">
        <f t="shared" si="61"/>
        <v>3010334.0000000005</v>
      </c>
    </row>
    <row r="98" spans="1:24" x14ac:dyDescent="0.25">
      <c r="A98" s="322"/>
      <c r="B98" s="69" t="s">
        <v>296</v>
      </c>
      <c r="C98" s="183" t="s">
        <v>226</v>
      </c>
      <c r="D98" s="69"/>
      <c r="E98" s="60"/>
      <c r="F98" s="60"/>
      <c r="G98" s="60"/>
      <c r="H98" s="60"/>
      <c r="I98" s="60"/>
      <c r="J98" s="73"/>
      <c r="K98" s="73"/>
      <c r="L98" s="74"/>
      <c r="M98" s="206"/>
      <c r="N98" s="206">
        <f>P98</f>
        <v>98261</v>
      </c>
      <c r="O98" s="206"/>
      <c r="P98" s="206">
        <v>98261</v>
      </c>
      <c r="Q98" s="206"/>
      <c r="R98" s="206"/>
      <c r="S98" s="206"/>
      <c r="T98" s="46">
        <f>P98</f>
        <v>98261</v>
      </c>
      <c r="U98" s="46">
        <f t="shared" si="61"/>
        <v>98261</v>
      </c>
    </row>
    <row r="99" spans="1:24" x14ac:dyDescent="0.25">
      <c r="A99" s="322"/>
      <c r="B99" s="89" t="s">
        <v>225</v>
      </c>
      <c r="C99" s="183" t="s">
        <v>219</v>
      </c>
      <c r="D99" s="64" t="s">
        <v>101</v>
      </c>
      <c r="E99" s="60">
        <v>12</v>
      </c>
      <c r="F99" s="60">
        <v>12</v>
      </c>
      <c r="G99" s="60">
        <v>12</v>
      </c>
      <c r="H99" s="60">
        <v>12</v>
      </c>
      <c r="I99" s="60">
        <v>12</v>
      </c>
      <c r="J99" s="73"/>
      <c r="K99" s="73"/>
      <c r="L99" s="74"/>
      <c r="M99" s="206"/>
      <c r="N99" s="206">
        <f>S99</f>
        <v>1362189</v>
      </c>
      <c r="O99" s="206"/>
      <c r="P99" s="206"/>
      <c r="Q99" s="206"/>
      <c r="R99" s="206"/>
      <c r="S99" s="206">
        <v>1362189</v>
      </c>
      <c r="T99" s="46">
        <f>S99</f>
        <v>1362189</v>
      </c>
      <c r="U99" s="46">
        <f t="shared" si="61"/>
        <v>1362189</v>
      </c>
    </row>
    <row r="100" spans="1:24" x14ac:dyDescent="0.25">
      <c r="A100" s="322"/>
      <c r="B100" s="89" t="s">
        <v>225</v>
      </c>
      <c r="C100" s="183" t="s">
        <v>226</v>
      </c>
      <c r="D100" s="64" t="s">
        <v>101</v>
      </c>
      <c r="E100" s="60">
        <v>1</v>
      </c>
      <c r="F100" s="60">
        <v>1</v>
      </c>
      <c r="G100" s="60">
        <v>1</v>
      </c>
      <c r="H100" s="60">
        <v>1</v>
      </c>
      <c r="I100" s="60">
        <v>1</v>
      </c>
      <c r="J100" s="73"/>
      <c r="K100" s="73"/>
      <c r="L100" s="74"/>
      <c r="M100" s="206"/>
      <c r="N100" s="206">
        <f>Q100</f>
        <v>164828</v>
      </c>
      <c r="O100" s="206"/>
      <c r="P100" s="206"/>
      <c r="Q100" s="206">
        <f>159348+5480</f>
        <v>164828</v>
      </c>
      <c r="R100" s="206"/>
      <c r="S100" s="206"/>
      <c r="T100" s="46">
        <v>159348</v>
      </c>
      <c r="U100" s="46">
        <f t="shared" si="61"/>
        <v>159348</v>
      </c>
      <c r="V100" s="85">
        <f>Q100-T100</f>
        <v>5480</v>
      </c>
    </row>
    <row r="101" spans="1:24" x14ac:dyDescent="0.25">
      <c r="A101" s="322"/>
      <c r="B101" s="89" t="s">
        <v>295</v>
      </c>
      <c r="C101" s="183" t="s">
        <v>219</v>
      </c>
      <c r="D101" s="64"/>
      <c r="E101" s="60"/>
      <c r="F101" s="60"/>
      <c r="G101" s="60"/>
      <c r="H101" s="60"/>
      <c r="I101" s="60"/>
      <c r="J101" s="73"/>
      <c r="K101" s="73"/>
      <c r="L101" s="74"/>
      <c r="M101" s="206"/>
      <c r="N101" s="206">
        <f>O101+P101+Q101+R101+S101</f>
        <v>117049</v>
      </c>
      <c r="O101" s="206"/>
      <c r="P101" s="206"/>
      <c r="Q101" s="206"/>
      <c r="R101" s="206"/>
      <c r="S101" s="206">
        <v>117049</v>
      </c>
      <c r="T101" s="46"/>
      <c r="U101" s="46"/>
    </row>
    <row r="102" spans="1:24" x14ac:dyDescent="0.25">
      <c r="A102" s="322"/>
      <c r="B102" s="89" t="s">
        <v>263</v>
      </c>
      <c r="C102" s="183" t="s">
        <v>226</v>
      </c>
      <c r="D102" s="64"/>
      <c r="E102" s="60"/>
      <c r="F102" s="60"/>
      <c r="G102" s="60"/>
      <c r="H102" s="60"/>
      <c r="I102" s="60"/>
      <c r="J102" s="73"/>
      <c r="K102" s="73"/>
      <c r="L102" s="74"/>
      <c r="M102" s="206"/>
      <c r="N102" s="206">
        <f>O102+P102+Q102+R102+S102</f>
        <v>0</v>
      </c>
      <c r="O102" s="206"/>
      <c r="P102" s="206"/>
      <c r="Q102" s="206"/>
      <c r="R102" s="206"/>
      <c r="S102" s="206"/>
      <c r="T102" s="46">
        <f>O102</f>
        <v>0</v>
      </c>
      <c r="U102" s="46">
        <f t="shared" si="61"/>
        <v>0</v>
      </c>
    </row>
    <row r="103" spans="1:24" x14ac:dyDescent="0.25">
      <c r="A103" s="322"/>
      <c r="B103" s="101" t="s">
        <v>112</v>
      </c>
      <c r="C103" s="101"/>
      <c r="D103" s="69"/>
      <c r="E103" s="102">
        <f t="shared" ref="E103:F103" si="63">E82+E89+E95</f>
        <v>539</v>
      </c>
      <c r="F103" s="102">
        <f t="shared" si="63"/>
        <v>539</v>
      </c>
      <c r="G103" s="102">
        <f>G82+G89+G95</f>
        <v>539</v>
      </c>
      <c r="H103" s="102">
        <f t="shared" ref="H103:I103" si="64">H82+H89+H95</f>
        <v>539</v>
      </c>
      <c r="I103" s="102">
        <f t="shared" si="64"/>
        <v>539</v>
      </c>
      <c r="J103" s="104"/>
      <c r="K103" s="104"/>
      <c r="L103" s="103"/>
      <c r="M103" s="138"/>
      <c r="N103" s="138">
        <f>SUM(O103:S103)</f>
        <v>32953256.473056257</v>
      </c>
      <c r="O103" s="138">
        <f>O82+O89+O95+O97+O102</f>
        <v>21817476</v>
      </c>
      <c r="P103" s="138">
        <f>P82+P89+P95+P97+P98+P99+P100</f>
        <v>5299597.0030573392</v>
      </c>
      <c r="Q103" s="138">
        <f t="shared" ref="Q103" si="65">Q82+Q89+Q95+Q97+Q98+Q99+Q100</f>
        <v>164828</v>
      </c>
      <c r="R103" s="138">
        <f>R82+R89+R95+R97+R98+R99+R100+R101</f>
        <v>4192117.4699989194</v>
      </c>
      <c r="S103" s="138">
        <f>S82+S89+S95+S97+S98+S99+S100+S101</f>
        <v>1479238</v>
      </c>
      <c r="T103" s="138">
        <f>T82+T89+T95+T97+T98+T99+T100+T101+T102</f>
        <v>32830727.473056264</v>
      </c>
      <c r="U103" s="138">
        <f>U82+U89+U95+U97+U98+U99+U100+U101+U102</f>
        <v>32830727.473056264</v>
      </c>
      <c r="V103" s="80">
        <v>4192117.47</v>
      </c>
      <c r="W103" s="85">
        <f>V103-R103</f>
        <v>1.0807998478412628E-6</v>
      </c>
      <c r="X103" s="80">
        <f>W103/I103</f>
        <v>2.0051945228965913E-9</v>
      </c>
    </row>
    <row r="104" spans="1:24" ht="90" x14ac:dyDescent="0.25">
      <c r="A104" s="322" t="s">
        <v>115</v>
      </c>
      <c r="B104" s="323" t="s">
        <v>237</v>
      </c>
      <c r="C104" s="61" t="s">
        <v>100</v>
      </c>
      <c r="D104" s="62" t="s">
        <v>101</v>
      </c>
      <c r="E104" s="59">
        <v>206</v>
      </c>
      <c r="F104" s="59">
        <v>206</v>
      </c>
      <c r="G104" s="59">
        <v>206</v>
      </c>
      <c r="H104" s="59">
        <v>206</v>
      </c>
      <c r="I104" s="59">
        <v>206</v>
      </c>
      <c r="J104" s="107">
        <f>SUM(K104:M104)</f>
        <v>38336.77623489</v>
      </c>
      <c r="K104" s="107">
        <f>19579.7+1329.32</f>
        <v>20909.02</v>
      </c>
      <c r="L104" s="70">
        <f>4001.99*2.411294</f>
        <v>9649.9744750599984</v>
      </c>
      <c r="M104" s="201">
        <f>7790.73-12.94824017</f>
        <v>7777.7817598299998</v>
      </c>
      <c r="N104" s="202">
        <f>SUM(O104:R104)</f>
        <v>8073169.6243873406</v>
      </c>
      <c r="O104" s="202">
        <f>G104*K104+0.63+175793</f>
        <v>4483051.75</v>
      </c>
      <c r="P104" s="202">
        <f>G104*L104+0.09</f>
        <v>1987894.8318623598</v>
      </c>
      <c r="Q104" s="202"/>
      <c r="R104" s="46">
        <f>G104*M104</f>
        <v>1602223.0425249799</v>
      </c>
      <c r="S104" s="46"/>
      <c r="T104" s="46">
        <f>N104</f>
        <v>8073169.6243873406</v>
      </c>
      <c r="U104" s="46">
        <f>T104</f>
        <v>8073169.6243873406</v>
      </c>
    </row>
    <row r="105" spans="1:24" ht="135" x14ac:dyDescent="0.25">
      <c r="A105" s="322"/>
      <c r="B105" s="323"/>
      <c r="C105" s="63" t="s">
        <v>163</v>
      </c>
      <c r="D105" s="64" t="s">
        <v>101</v>
      </c>
      <c r="E105" s="59" t="s">
        <v>104</v>
      </c>
      <c r="F105" s="59" t="s">
        <v>104</v>
      </c>
      <c r="G105" s="59" t="s">
        <v>104</v>
      </c>
      <c r="H105" s="59" t="s">
        <v>104</v>
      </c>
      <c r="I105" s="59" t="s">
        <v>104</v>
      </c>
      <c r="J105" s="59" t="s">
        <v>104</v>
      </c>
      <c r="K105" s="59" t="s">
        <v>104</v>
      </c>
      <c r="L105" s="59" t="s">
        <v>104</v>
      </c>
      <c r="M105" s="123" t="s">
        <v>104</v>
      </c>
      <c r="N105" s="202"/>
      <c r="O105" s="202"/>
      <c r="P105" s="123" t="s">
        <v>104</v>
      </c>
      <c r="Q105" s="123"/>
      <c r="R105" s="123" t="s">
        <v>104</v>
      </c>
      <c r="S105" s="123"/>
      <c r="T105" s="46"/>
      <c r="U105" s="46"/>
    </row>
    <row r="106" spans="1:24" x14ac:dyDescent="0.25">
      <c r="A106" s="322"/>
      <c r="B106" s="323"/>
      <c r="C106" s="63" t="s">
        <v>164</v>
      </c>
      <c r="D106" s="64" t="s">
        <v>101</v>
      </c>
      <c r="E106" s="59"/>
      <c r="F106" s="59"/>
      <c r="G106" s="59"/>
      <c r="H106" s="59"/>
      <c r="I106" s="59"/>
      <c r="J106" s="75">
        <f>K106</f>
        <v>25589.72</v>
      </c>
      <c r="K106" s="71">
        <v>25589.72</v>
      </c>
      <c r="L106" s="59" t="s">
        <v>104</v>
      </c>
      <c r="M106" s="123" t="s">
        <v>104</v>
      </c>
      <c r="N106" s="202">
        <f t="shared" ref="N106:N108" si="66">O106</f>
        <v>0</v>
      </c>
      <c r="O106" s="202">
        <f>G106*K106</f>
        <v>0</v>
      </c>
      <c r="P106" s="123" t="s">
        <v>104</v>
      </c>
      <c r="Q106" s="123"/>
      <c r="R106" s="123" t="s">
        <v>104</v>
      </c>
      <c r="S106" s="123"/>
      <c r="T106" s="46">
        <f t="shared" ref="T106:T108" si="67">H106*K106</f>
        <v>0</v>
      </c>
      <c r="U106" s="46">
        <f t="shared" ref="U106:U108" si="68">I106*K106</f>
        <v>0</v>
      </c>
    </row>
    <row r="107" spans="1:24" x14ac:dyDescent="0.25">
      <c r="A107" s="322"/>
      <c r="B107" s="323"/>
      <c r="C107" s="63" t="s">
        <v>169</v>
      </c>
      <c r="D107" s="64" t="s">
        <v>101</v>
      </c>
      <c r="E107" s="59">
        <v>9</v>
      </c>
      <c r="F107" s="59">
        <v>9</v>
      </c>
      <c r="G107" s="59">
        <v>9</v>
      </c>
      <c r="H107" s="59">
        <v>9</v>
      </c>
      <c r="I107" s="59">
        <v>9</v>
      </c>
      <c r="J107" s="75">
        <f>K107</f>
        <v>69362.66</v>
      </c>
      <c r="K107" s="71">
        <v>69362.66</v>
      </c>
      <c r="L107" s="59" t="s">
        <v>104</v>
      </c>
      <c r="M107" s="123" t="s">
        <v>104</v>
      </c>
      <c r="N107" s="202">
        <f t="shared" si="66"/>
        <v>624263.94000000006</v>
      </c>
      <c r="O107" s="202">
        <f t="shared" ref="O107:O112" si="69">G107*K107</f>
        <v>624263.94000000006</v>
      </c>
      <c r="P107" s="123" t="s">
        <v>104</v>
      </c>
      <c r="Q107" s="123"/>
      <c r="R107" s="123" t="s">
        <v>104</v>
      </c>
      <c r="S107" s="123"/>
      <c r="T107" s="46">
        <f t="shared" si="67"/>
        <v>624263.94000000006</v>
      </c>
      <c r="U107" s="46">
        <f t="shared" si="68"/>
        <v>624263.94000000006</v>
      </c>
    </row>
    <row r="108" spans="1:24" x14ac:dyDescent="0.25">
      <c r="A108" s="322"/>
      <c r="B108" s="323"/>
      <c r="C108" s="63" t="s">
        <v>165</v>
      </c>
      <c r="D108" s="64" t="s">
        <v>101</v>
      </c>
      <c r="E108" s="59">
        <v>2</v>
      </c>
      <c r="F108" s="59">
        <v>2</v>
      </c>
      <c r="G108" s="59">
        <v>2</v>
      </c>
      <c r="H108" s="59">
        <v>2</v>
      </c>
      <c r="I108" s="59">
        <v>2</v>
      </c>
      <c r="J108" s="75">
        <f>K108</f>
        <v>92468.25</v>
      </c>
      <c r="K108" s="71">
        <v>92468.25</v>
      </c>
      <c r="L108" s="59" t="s">
        <v>104</v>
      </c>
      <c r="M108" s="123" t="s">
        <v>104</v>
      </c>
      <c r="N108" s="202">
        <f t="shared" si="66"/>
        <v>184936.5</v>
      </c>
      <c r="O108" s="202">
        <f t="shared" si="69"/>
        <v>184936.5</v>
      </c>
      <c r="P108" s="123" t="s">
        <v>104</v>
      </c>
      <c r="Q108" s="123"/>
      <c r="R108" s="123" t="s">
        <v>104</v>
      </c>
      <c r="S108" s="123"/>
      <c r="T108" s="46">
        <f t="shared" si="67"/>
        <v>184936.5</v>
      </c>
      <c r="U108" s="46">
        <f t="shared" si="68"/>
        <v>184936.5</v>
      </c>
    </row>
    <row r="109" spans="1:24" x14ac:dyDescent="0.25">
      <c r="A109" s="322"/>
      <c r="B109" s="323"/>
      <c r="C109" s="63" t="s">
        <v>166</v>
      </c>
      <c r="D109" s="64" t="s">
        <v>101</v>
      </c>
      <c r="E109" s="59">
        <v>24</v>
      </c>
      <c r="F109" s="59">
        <v>24</v>
      </c>
      <c r="G109" s="59">
        <v>24</v>
      </c>
      <c r="H109" s="59">
        <v>24</v>
      </c>
      <c r="I109" s="59">
        <v>24</v>
      </c>
      <c r="J109" s="75">
        <f>K109</f>
        <v>66361.320000000007</v>
      </c>
      <c r="K109" s="75">
        <v>66361.320000000007</v>
      </c>
      <c r="L109" s="59" t="s">
        <v>104</v>
      </c>
      <c r="M109" s="123" t="s">
        <v>104</v>
      </c>
      <c r="N109" s="202">
        <f>O109</f>
        <v>1592671.6800000002</v>
      </c>
      <c r="O109" s="202">
        <f t="shared" si="69"/>
        <v>1592671.6800000002</v>
      </c>
      <c r="P109" s="123" t="s">
        <v>104</v>
      </c>
      <c r="Q109" s="123"/>
      <c r="R109" s="123" t="s">
        <v>104</v>
      </c>
      <c r="S109" s="123"/>
      <c r="T109" s="46">
        <f>H109*K109</f>
        <v>1592671.6800000002</v>
      </c>
      <c r="U109" s="46">
        <f>I109*K109</f>
        <v>1592671.6800000002</v>
      </c>
    </row>
    <row r="110" spans="1:24" x14ac:dyDescent="0.25">
      <c r="A110" s="322"/>
      <c r="B110" s="323"/>
      <c r="C110" s="63" t="s">
        <v>167</v>
      </c>
      <c r="D110" s="64" t="s">
        <v>101</v>
      </c>
      <c r="E110" s="59">
        <v>1</v>
      </c>
      <c r="F110" s="59">
        <v>1</v>
      </c>
      <c r="G110" s="59">
        <v>1</v>
      </c>
      <c r="H110" s="59">
        <v>1</v>
      </c>
      <c r="I110" s="59">
        <v>1</v>
      </c>
      <c r="J110" s="75">
        <f>K110</f>
        <v>174890.83</v>
      </c>
      <c r="K110" s="75">
        <v>174890.83</v>
      </c>
      <c r="L110" s="59" t="s">
        <v>104</v>
      </c>
      <c r="M110" s="123" t="s">
        <v>104</v>
      </c>
      <c r="N110" s="202">
        <f>O110</f>
        <v>174890.83</v>
      </c>
      <c r="O110" s="202">
        <f t="shared" si="69"/>
        <v>174890.83</v>
      </c>
      <c r="P110" s="123" t="s">
        <v>104</v>
      </c>
      <c r="Q110" s="123"/>
      <c r="R110" s="123" t="s">
        <v>104</v>
      </c>
      <c r="S110" s="123"/>
      <c r="T110" s="46">
        <f>H110*K110</f>
        <v>174890.83</v>
      </c>
      <c r="U110" s="46">
        <f>I110*K110</f>
        <v>174890.83</v>
      </c>
    </row>
    <row r="111" spans="1:24" x14ac:dyDescent="0.25">
      <c r="A111" s="322"/>
      <c r="B111" s="323"/>
      <c r="C111" s="63" t="s">
        <v>170</v>
      </c>
      <c r="D111" s="64" t="s">
        <v>101</v>
      </c>
      <c r="E111" s="59">
        <v>1</v>
      </c>
      <c r="F111" s="59">
        <v>1</v>
      </c>
      <c r="G111" s="59">
        <v>1</v>
      </c>
      <c r="H111" s="59">
        <v>1</v>
      </c>
      <c r="I111" s="59">
        <v>1</v>
      </c>
      <c r="J111" s="75">
        <f t="shared" ref="J111:J112" si="70">K111</f>
        <v>99648.29</v>
      </c>
      <c r="K111" s="75">
        <v>99648.29</v>
      </c>
      <c r="L111" s="59" t="s">
        <v>104</v>
      </c>
      <c r="M111" s="123" t="s">
        <v>104</v>
      </c>
      <c r="N111" s="202">
        <f t="shared" ref="N111:N112" si="71">O111</f>
        <v>99648.29</v>
      </c>
      <c r="O111" s="202">
        <f t="shared" si="69"/>
        <v>99648.29</v>
      </c>
      <c r="P111" s="123" t="s">
        <v>104</v>
      </c>
      <c r="Q111" s="123"/>
      <c r="R111" s="123" t="s">
        <v>104</v>
      </c>
      <c r="S111" s="123"/>
      <c r="T111" s="46">
        <f t="shared" ref="T111:T112" si="72">H111*K111</f>
        <v>99648.29</v>
      </c>
      <c r="U111" s="46">
        <f t="shared" ref="U111:U112" si="73">I111*K111</f>
        <v>99648.29</v>
      </c>
    </row>
    <row r="112" spans="1:24" x14ac:dyDescent="0.25">
      <c r="A112" s="322"/>
      <c r="B112" s="323"/>
      <c r="C112" s="63" t="s">
        <v>168</v>
      </c>
      <c r="D112" s="64" t="s">
        <v>101</v>
      </c>
      <c r="E112" s="59">
        <v>1</v>
      </c>
      <c r="F112" s="59">
        <v>1</v>
      </c>
      <c r="G112" s="59">
        <v>1</v>
      </c>
      <c r="H112" s="59">
        <v>1</v>
      </c>
      <c r="I112" s="59">
        <v>1</v>
      </c>
      <c r="J112" s="75">
        <f t="shared" si="70"/>
        <v>23553.439999999999</v>
      </c>
      <c r="K112" s="75">
        <v>23553.439999999999</v>
      </c>
      <c r="L112" s="59" t="s">
        <v>104</v>
      </c>
      <c r="M112" s="123" t="s">
        <v>104</v>
      </c>
      <c r="N112" s="202">
        <f t="shared" si="71"/>
        <v>23553.439999999999</v>
      </c>
      <c r="O112" s="202">
        <f t="shared" si="69"/>
        <v>23553.439999999999</v>
      </c>
      <c r="P112" s="123" t="s">
        <v>104</v>
      </c>
      <c r="Q112" s="123"/>
      <c r="R112" s="123" t="s">
        <v>104</v>
      </c>
      <c r="S112" s="123"/>
      <c r="T112" s="46">
        <f t="shared" si="72"/>
        <v>23553.439999999999</v>
      </c>
      <c r="U112" s="46">
        <f t="shared" si="73"/>
        <v>23553.439999999999</v>
      </c>
    </row>
    <row r="113" spans="1:21" ht="120" x14ac:dyDescent="0.25">
      <c r="A113" s="322"/>
      <c r="B113" s="323"/>
      <c r="C113" s="61" t="s">
        <v>105</v>
      </c>
      <c r="D113" s="64" t="s">
        <v>101</v>
      </c>
      <c r="E113" s="59">
        <v>5</v>
      </c>
      <c r="F113" s="59">
        <v>5</v>
      </c>
      <c r="G113" s="59">
        <v>5</v>
      </c>
      <c r="H113" s="59">
        <v>5</v>
      </c>
      <c r="I113" s="59">
        <v>5</v>
      </c>
      <c r="J113" s="75">
        <f>SUM(K113:M113)</f>
        <v>140169.99623488999</v>
      </c>
      <c r="K113" s="75">
        <f>121412.92+1329.32</f>
        <v>122742.24</v>
      </c>
      <c r="L113" s="72">
        <f>4001.99*2.411294</f>
        <v>9649.9744750599984</v>
      </c>
      <c r="M113" s="201">
        <f>7790.73-12.94824017</f>
        <v>7777.7817598299998</v>
      </c>
      <c r="N113" s="202">
        <f>SUM(O113:R113)</f>
        <v>700849.98117445013</v>
      </c>
      <c r="O113" s="202">
        <f>G113*K113</f>
        <v>613711.20000000007</v>
      </c>
      <c r="P113" s="202">
        <f>G113*L113</f>
        <v>48249.872375299994</v>
      </c>
      <c r="Q113" s="202"/>
      <c r="R113" s="46">
        <f>G113*M113</f>
        <v>38888.908799149998</v>
      </c>
      <c r="S113" s="46"/>
      <c r="T113" s="46">
        <f t="shared" si="9"/>
        <v>700849.9811744499</v>
      </c>
      <c r="U113" s="46">
        <f t="shared" si="6"/>
        <v>700849.9811744499</v>
      </c>
    </row>
    <row r="114" spans="1:21" x14ac:dyDescent="0.25">
      <c r="A114" s="322"/>
      <c r="B114" s="323"/>
      <c r="C114" s="66" t="s">
        <v>106</v>
      </c>
      <c r="D114" s="67"/>
      <c r="E114" s="59">
        <f>E104+E113</f>
        <v>211</v>
      </c>
      <c r="F114" s="59">
        <f t="shared" ref="F114:I114" si="74">F104+F113</f>
        <v>211</v>
      </c>
      <c r="G114" s="59">
        <f t="shared" si="74"/>
        <v>211</v>
      </c>
      <c r="H114" s="59">
        <f t="shared" si="74"/>
        <v>211</v>
      </c>
      <c r="I114" s="59">
        <f t="shared" si="74"/>
        <v>211</v>
      </c>
      <c r="J114" s="71" t="s">
        <v>104</v>
      </c>
      <c r="K114" s="71" t="s">
        <v>104</v>
      </c>
      <c r="L114" s="71" t="s">
        <v>104</v>
      </c>
      <c r="M114" s="202" t="s">
        <v>104</v>
      </c>
      <c r="N114" s="202">
        <f>SUM(N104:N113)</f>
        <v>11473984.285561789</v>
      </c>
      <c r="O114" s="202">
        <f>SUM(O104:O113)</f>
        <v>7796727.6300000018</v>
      </c>
      <c r="P114" s="202">
        <f>SUM(P104:P113)</f>
        <v>2036144.7042376597</v>
      </c>
      <c r="Q114" s="202"/>
      <c r="R114" s="202">
        <f t="shared" ref="R114" si="75">SUM(R104:R113)</f>
        <v>1641111.9513241299</v>
      </c>
      <c r="S114" s="202"/>
      <c r="T114" s="202">
        <f>N114</f>
        <v>11473984.285561789</v>
      </c>
      <c r="U114" s="202">
        <f>T114</f>
        <v>11473984.285561789</v>
      </c>
    </row>
    <row r="115" spans="1:21" ht="90" x14ac:dyDescent="0.25">
      <c r="A115" s="322"/>
      <c r="B115" s="323" t="s">
        <v>238</v>
      </c>
      <c r="C115" s="61" t="s">
        <v>100</v>
      </c>
      <c r="D115" s="62" t="s">
        <v>101</v>
      </c>
      <c r="E115" s="59">
        <v>238</v>
      </c>
      <c r="F115" s="59">
        <v>238</v>
      </c>
      <c r="G115" s="59">
        <v>238</v>
      </c>
      <c r="H115" s="59">
        <v>238</v>
      </c>
      <c r="I115" s="59">
        <v>238</v>
      </c>
      <c r="J115" s="107">
        <f>SUM(K115:M115)</f>
        <v>53396.226234890004</v>
      </c>
      <c r="K115" s="107">
        <f>34346.05+1622.42</f>
        <v>35968.47</v>
      </c>
      <c r="L115" s="70">
        <f>4001.99*2.411294</f>
        <v>9649.9744750599984</v>
      </c>
      <c r="M115" s="201">
        <f>7790.73-12.94824017</f>
        <v>7777.7817598299998</v>
      </c>
      <c r="N115" s="202">
        <f>SUM(O115:R115)</f>
        <v>12708301.843903821</v>
      </c>
      <c r="O115" s="202">
        <f>G115*K115</f>
        <v>8560495.8599999994</v>
      </c>
      <c r="P115" s="202">
        <f>G115*L115</f>
        <v>2296693.9250642797</v>
      </c>
      <c r="Q115" s="202"/>
      <c r="R115" s="46">
        <f>G115*M115</f>
        <v>1851112.05883954</v>
      </c>
      <c r="S115" s="46"/>
      <c r="T115" s="46">
        <f t="shared" si="9"/>
        <v>12708301.843903821</v>
      </c>
      <c r="U115" s="46">
        <f t="shared" si="6"/>
        <v>12708301.843903821</v>
      </c>
    </row>
    <row r="116" spans="1:21" ht="135" x14ac:dyDescent="0.25">
      <c r="A116" s="322"/>
      <c r="B116" s="323"/>
      <c r="C116" s="63" t="s">
        <v>163</v>
      </c>
      <c r="D116" s="64" t="s">
        <v>101</v>
      </c>
      <c r="E116" s="59" t="s">
        <v>104</v>
      </c>
      <c r="F116" s="59" t="s">
        <v>104</v>
      </c>
      <c r="G116" s="59" t="s">
        <v>104</v>
      </c>
      <c r="H116" s="59" t="s">
        <v>104</v>
      </c>
      <c r="I116" s="59" t="s">
        <v>104</v>
      </c>
      <c r="J116" s="59" t="s">
        <v>104</v>
      </c>
      <c r="K116" s="59" t="s">
        <v>104</v>
      </c>
      <c r="L116" s="59" t="s">
        <v>104</v>
      </c>
      <c r="M116" s="123" t="s">
        <v>104</v>
      </c>
      <c r="N116" s="202"/>
      <c r="O116" s="202"/>
      <c r="P116" s="123" t="s">
        <v>104</v>
      </c>
      <c r="Q116" s="123"/>
      <c r="R116" s="123" t="s">
        <v>104</v>
      </c>
      <c r="S116" s="123"/>
      <c r="T116" s="46"/>
      <c r="U116" s="46"/>
    </row>
    <row r="117" spans="1:21" x14ac:dyDescent="0.25">
      <c r="A117" s="322"/>
      <c r="B117" s="323"/>
      <c r="C117" s="63" t="s">
        <v>164</v>
      </c>
      <c r="D117" s="64" t="s">
        <v>101</v>
      </c>
      <c r="E117" s="60">
        <v>2</v>
      </c>
      <c r="F117" s="60">
        <v>2</v>
      </c>
      <c r="G117" s="60">
        <v>2</v>
      </c>
      <c r="H117" s="60">
        <v>2</v>
      </c>
      <c r="I117" s="60">
        <v>2</v>
      </c>
      <c r="J117" s="75">
        <f>K117</f>
        <v>25589.72</v>
      </c>
      <c r="K117" s="75">
        <v>25589.72</v>
      </c>
      <c r="L117" s="59" t="s">
        <v>104</v>
      </c>
      <c r="M117" s="123" t="s">
        <v>104</v>
      </c>
      <c r="N117" s="202">
        <f>O117</f>
        <v>51179.44</v>
      </c>
      <c r="O117" s="202">
        <f>G117*K117</f>
        <v>51179.44</v>
      </c>
      <c r="P117" s="123" t="s">
        <v>104</v>
      </c>
      <c r="Q117" s="123"/>
      <c r="R117" s="123" t="s">
        <v>104</v>
      </c>
      <c r="S117" s="123"/>
      <c r="T117" s="46">
        <f>H117*K117</f>
        <v>51179.44</v>
      </c>
      <c r="U117" s="46">
        <f t="shared" ref="U117:U121" si="76">I117*K117</f>
        <v>51179.44</v>
      </c>
    </row>
    <row r="118" spans="1:21" x14ac:dyDescent="0.25">
      <c r="A118" s="322"/>
      <c r="B118" s="323"/>
      <c r="C118" s="63" t="s">
        <v>165</v>
      </c>
      <c r="D118" s="64" t="s">
        <v>101</v>
      </c>
      <c r="E118" s="60">
        <v>2</v>
      </c>
      <c r="F118" s="60">
        <v>2</v>
      </c>
      <c r="G118" s="60">
        <v>2</v>
      </c>
      <c r="H118" s="60">
        <v>2</v>
      </c>
      <c r="I118" s="60">
        <v>2</v>
      </c>
      <c r="J118" s="75">
        <f t="shared" ref="J118:J121" si="77">K118</f>
        <v>92468.25</v>
      </c>
      <c r="K118" s="75">
        <v>92468.25</v>
      </c>
      <c r="L118" s="59" t="s">
        <v>104</v>
      </c>
      <c r="M118" s="123" t="s">
        <v>104</v>
      </c>
      <c r="N118" s="202">
        <f t="shared" ref="N118:N121" si="78">O118</f>
        <v>184936.5</v>
      </c>
      <c r="O118" s="202">
        <f t="shared" ref="O118:O121" si="79">G118*K118</f>
        <v>184936.5</v>
      </c>
      <c r="P118" s="123" t="s">
        <v>104</v>
      </c>
      <c r="Q118" s="123"/>
      <c r="R118" s="123" t="s">
        <v>104</v>
      </c>
      <c r="S118" s="123"/>
      <c r="T118" s="46">
        <f t="shared" ref="T118:T121" si="80">H118*K118</f>
        <v>184936.5</v>
      </c>
      <c r="U118" s="46">
        <f t="shared" si="76"/>
        <v>184936.5</v>
      </c>
    </row>
    <row r="119" spans="1:21" x14ac:dyDescent="0.25">
      <c r="A119" s="322"/>
      <c r="B119" s="323"/>
      <c r="C119" s="63" t="s">
        <v>167</v>
      </c>
      <c r="D119" s="64" t="s">
        <v>101</v>
      </c>
      <c r="E119" s="60">
        <v>2</v>
      </c>
      <c r="F119" s="60">
        <v>2</v>
      </c>
      <c r="G119" s="60">
        <v>2</v>
      </c>
      <c r="H119" s="60">
        <v>2</v>
      </c>
      <c r="I119" s="60">
        <v>2</v>
      </c>
      <c r="J119" s="75">
        <f t="shared" si="77"/>
        <v>266106.15000000002</v>
      </c>
      <c r="K119" s="75">
        <v>266106.15000000002</v>
      </c>
      <c r="L119" s="59"/>
      <c r="M119" s="123"/>
      <c r="N119" s="202">
        <f t="shared" si="78"/>
        <v>532212.30000000005</v>
      </c>
      <c r="O119" s="202">
        <f t="shared" si="79"/>
        <v>532212.30000000005</v>
      </c>
      <c r="P119" s="123" t="s">
        <v>104</v>
      </c>
      <c r="Q119" s="123"/>
      <c r="R119" s="123"/>
      <c r="S119" s="123"/>
      <c r="T119" s="46">
        <f t="shared" si="80"/>
        <v>532212.30000000005</v>
      </c>
      <c r="U119" s="46">
        <f t="shared" si="76"/>
        <v>532212.30000000005</v>
      </c>
    </row>
    <row r="120" spans="1:21" x14ac:dyDescent="0.25">
      <c r="A120" s="322"/>
      <c r="B120" s="323"/>
      <c r="C120" s="63" t="s">
        <v>170</v>
      </c>
      <c r="D120" s="64" t="s">
        <v>101</v>
      </c>
      <c r="E120" s="60">
        <v>1</v>
      </c>
      <c r="F120" s="60">
        <v>1</v>
      </c>
      <c r="G120" s="60">
        <v>1</v>
      </c>
      <c r="H120" s="60">
        <v>1</v>
      </c>
      <c r="I120" s="60">
        <v>1</v>
      </c>
      <c r="J120" s="75">
        <f t="shared" si="77"/>
        <v>32769.75</v>
      </c>
      <c r="K120" s="75">
        <v>32769.75</v>
      </c>
      <c r="L120" s="59"/>
      <c r="M120" s="123"/>
      <c r="N120" s="202">
        <f t="shared" si="78"/>
        <v>32769.75</v>
      </c>
      <c r="O120" s="202">
        <f t="shared" si="79"/>
        <v>32769.75</v>
      </c>
      <c r="P120" s="123" t="s">
        <v>104</v>
      </c>
      <c r="Q120" s="123"/>
      <c r="R120" s="123"/>
      <c r="S120" s="123"/>
      <c r="T120" s="46">
        <f t="shared" si="80"/>
        <v>32769.75</v>
      </c>
      <c r="U120" s="46">
        <f t="shared" si="76"/>
        <v>32769.75</v>
      </c>
    </row>
    <row r="121" spans="1:21" x14ac:dyDescent="0.25">
      <c r="A121" s="322"/>
      <c r="B121" s="323"/>
      <c r="C121" s="63" t="s">
        <v>168</v>
      </c>
      <c r="D121" s="64" t="s">
        <v>101</v>
      </c>
      <c r="E121" s="60">
        <v>1</v>
      </c>
      <c r="F121" s="60">
        <v>1</v>
      </c>
      <c r="G121" s="60">
        <v>1</v>
      </c>
      <c r="H121" s="60">
        <v>1</v>
      </c>
      <c r="I121" s="60">
        <v>1</v>
      </c>
      <c r="J121" s="75">
        <f t="shared" si="77"/>
        <v>23553.439999999999</v>
      </c>
      <c r="K121" s="75">
        <v>23553.439999999999</v>
      </c>
      <c r="L121" s="59" t="s">
        <v>104</v>
      </c>
      <c r="M121" s="123" t="s">
        <v>104</v>
      </c>
      <c r="N121" s="202">
        <f t="shared" si="78"/>
        <v>23553.439999999999</v>
      </c>
      <c r="O121" s="202">
        <f t="shared" si="79"/>
        <v>23553.439999999999</v>
      </c>
      <c r="P121" s="123" t="s">
        <v>104</v>
      </c>
      <c r="Q121" s="123"/>
      <c r="R121" s="123" t="s">
        <v>104</v>
      </c>
      <c r="S121" s="123"/>
      <c r="T121" s="46">
        <f t="shared" si="80"/>
        <v>23553.439999999999</v>
      </c>
      <c r="U121" s="46">
        <f t="shared" si="76"/>
        <v>23553.439999999999</v>
      </c>
    </row>
    <row r="122" spans="1:21" ht="120" x14ac:dyDescent="0.25">
      <c r="A122" s="322"/>
      <c r="B122" s="323"/>
      <c r="C122" s="61" t="s">
        <v>105</v>
      </c>
      <c r="D122" s="64" t="s">
        <v>101</v>
      </c>
      <c r="E122" s="60">
        <v>1</v>
      </c>
      <c r="F122" s="60">
        <v>1</v>
      </c>
      <c r="G122" s="60">
        <v>1</v>
      </c>
      <c r="H122" s="60">
        <v>1</v>
      </c>
      <c r="I122" s="60">
        <v>1</v>
      </c>
      <c r="J122" s="75">
        <f>SUM(K122:M122)</f>
        <v>170457.80623489001</v>
      </c>
      <c r="K122" s="75">
        <f>151407.63+1622.42</f>
        <v>153030.05000000002</v>
      </c>
      <c r="L122" s="72">
        <f>4001.99*2.411294</f>
        <v>9649.9744750599984</v>
      </c>
      <c r="M122" s="201">
        <f>7790.73-12.94824017</f>
        <v>7777.7817598299998</v>
      </c>
      <c r="N122" s="200">
        <f>SUM(O122:R122)</f>
        <v>170457.80623489001</v>
      </c>
      <c r="O122" s="200">
        <f>G122*K122</f>
        <v>153030.05000000002</v>
      </c>
      <c r="P122" s="200">
        <f>G122*L122</f>
        <v>9649.9744750599984</v>
      </c>
      <c r="Q122" s="200"/>
      <c r="R122" s="46">
        <f>G122*M122</f>
        <v>7777.7817598299998</v>
      </c>
      <c r="S122" s="46"/>
      <c r="T122" s="46">
        <f t="shared" si="9"/>
        <v>170457.80623489001</v>
      </c>
      <c r="U122" s="46">
        <f t="shared" si="6"/>
        <v>170457.80623489001</v>
      </c>
    </row>
    <row r="123" spans="1:21" x14ac:dyDescent="0.25">
      <c r="A123" s="322"/>
      <c r="B123" s="191"/>
      <c r="C123" s="66" t="s">
        <v>106</v>
      </c>
      <c r="D123" s="64"/>
      <c r="E123" s="60">
        <f>E115+E122</f>
        <v>239</v>
      </c>
      <c r="F123" s="60">
        <f t="shared" ref="F123:I123" si="81">F115+F122</f>
        <v>239</v>
      </c>
      <c r="G123" s="60">
        <f t="shared" si="81"/>
        <v>239</v>
      </c>
      <c r="H123" s="60">
        <f t="shared" si="81"/>
        <v>239</v>
      </c>
      <c r="I123" s="60">
        <f t="shared" si="81"/>
        <v>239</v>
      </c>
      <c r="J123" s="73" t="s">
        <v>104</v>
      </c>
      <c r="K123" s="73" t="s">
        <v>104</v>
      </c>
      <c r="L123" s="73" t="s">
        <v>104</v>
      </c>
      <c r="M123" s="200" t="s">
        <v>104</v>
      </c>
      <c r="N123" s="206">
        <f>SUM(N115:N122)</f>
        <v>13703411.080138711</v>
      </c>
      <c r="O123" s="206">
        <f>SUM(O115:O122)</f>
        <v>9538177.3399999999</v>
      </c>
      <c r="P123" s="206">
        <f>SUM(P115:P122)</f>
        <v>2306343.8995393398</v>
      </c>
      <c r="Q123" s="206"/>
      <c r="R123" s="206">
        <f t="shared" ref="R123:U123" si="82">SUM(R115:R122)</f>
        <v>1858889.84059937</v>
      </c>
      <c r="S123" s="206"/>
      <c r="T123" s="206">
        <f t="shared" si="82"/>
        <v>13703411.080138711</v>
      </c>
      <c r="U123" s="206">
        <f t="shared" si="82"/>
        <v>13703411.080138711</v>
      </c>
    </row>
    <row r="124" spans="1:21" ht="90" x14ac:dyDescent="0.25">
      <c r="A124" s="322"/>
      <c r="B124" s="323" t="s">
        <v>239</v>
      </c>
      <c r="C124" s="61" t="s">
        <v>100</v>
      </c>
      <c r="D124" s="62" t="s">
        <v>101</v>
      </c>
      <c r="E124" s="60">
        <v>33</v>
      </c>
      <c r="F124" s="60">
        <v>33</v>
      </c>
      <c r="G124" s="60">
        <v>33</v>
      </c>
      <c r="H124" s="60">
        <v>33</v>
      </c>
      <c r="I124" s="60">
        <v>33</v>
      </c>
      <c r="J124" s="107">
        <f>SUM(K124:M124)</f>
        <v>60498.666234890006</v>
      </c>
      <c r="K124" s="107">
        <f>41105.12+1965.79</f>
        <v>43070.91</v>
      </c>
      <c r="L124" s="70">
        <f>4001.99*2.411294</f>
        <v>9649.9744750599984</v>
      </c>
      <c r="M124" s="201">
        <f>7790.73-12.94824017</f>
        <v>7777.7817598299998</v>
      </c>
      <c r="N124" s="200">
        <f>SUM(O124:R124)</f>
        <v>1996456.22575137</v>
      </c>
      <c r="O124" s="200">
        <f>G124*K124</f>
        <v>1421340.03</v>
      </c>
      <c r="P124" s="200">
        <f>G124*L124+0.24</f>
        <v>318449.39767697995</v>
      </c>
      <c r="Q124" s="200"/>
      <c r="R124" s="46">
        <f>G124*M124</f>
        <v>256666.79807438998</v>
      </c>
      <c r="S124" s="46"/>
      <c r="T124" s="46">
        <f>N124</f>
        <v>1996456.22575137</v>
      </c>
      <c r="U124" s="46">
        <f>T124</f>
        <v>1996456.22575137</v>
      </c>
    </row>
    <row r="125" spans="1:21" ht="135" x14ac:dyDescent="0.25">
      <c r="A125" s="322"/>
      <c r="B125" s="323"/>
      <c r="C125" s="63" t="s">
        <v>163</v>
      </c>
      <c r="D125" s="64" t="s">
        <v>101</v>
      </c>
      <c r="E125" s="59" t="s">
        <v>104</v>
      </c>
      <c r="F125" s="59" t="s">
        <v>104</v>
      </c>
      <c r="G125" s="59" t="s">
        <v>104</v>
      </c>
      <c r="H125" s="59" t="s">
        <v>104</v>
      </c>
      <c r="I125" s="59" t="s">
        <v>104</v>
      </c>
      <c r="J125" s="59" t="s">
        <v>104</v>
      </c>
      <c r="K125" s="59" t="s">
        <v>104</v>
      </c>
      <c r="L125" s="59" t="s">
        <v>104</v>
      </c>
      <c r="M125" s="123" t="s">
        <v>104</v>
      </c>
      <c r="N125" s="202"/>
      <c r="O125" s="202"/>
      <c r="P125" s="123" t="s">
        <v>104</v>
      </c>
      <c r="Q125" s="123"/>
      <c r="R125" s="123" t="s">
        <v>104</v>
      </c>
      <c r="S125" s="123"/>
      <c r="T125" s="46"/>
      <c r="U125" s="46"/>
    </row>
    <row r="126" spans="1:21" x14ac:dyDescent="0.25">
      <c r="A126" s="322"/>
      <c r="B126" s="323"/>
      <c r="C126" s="63" t="s">
        <v>165</v>
      </c>
      <c r="D126" s="64" t="s">
        <v>101</v>
      </c>
      <c r="E126" s="60">
        <v>0</v>
      </c>
      <c r="F126" s="60"/>
      <c r="G126" s="59">
        <f t="shared" ref="G126:G127" si="83">((E126*8)+(F126*4))/12</f>
        <v>0</v>
      </c>
      <c r="H126" s="60">
        <v>0</v>
      </c>
      <c r="I126" s="60">
        <v>0</v>
      </c>
      <c r="J126" s="75">
        <f>K126</f>
        <v>92468.25</v>
      </c>
      <c r="K126" s="75">
        <v>92468.25</v>
      </c>
      <c r="L126" s="59" t="s">
        <v>104</v>
      </c>
      <c r="M126" s="123" t="s">
        <v>104</v>
      </c>
      <c r="N126" s="202">
        <f>O126</f>
        <v>0</v>
      </c>
      <c r="O126" s="202">
        <f>G126*K126</f>
        <v>0</v>
      </c>
      <c r="P126" s="123" t="s">
        <v>104</v>
      </c>
      <c r="Q126" s="123"/>
      <c r="R126" s="123" t="s">
        <v>104</v>
      </c>
      <c r="S126" s="123"/>
      <c r="T126" s="46">
        <f>H126*K126</f>
        <v>0</v>
      </c>
      <c r="U126" s="46">
        <f>I126*K126</f>
        <v>0</v>
      </c>
    </row>
    <row r="127" spans="1:21" ht="120" x14ac:dyDescent="0.25">
      <c r="A127" s="322"/>
      <c r="B127" s="323"/>
      <c r="C127" s="61" t="s">
        <v>105</v>
      </c>
      <c r="D127" s="64" t="s">
        <v>101</v>
      </c>
      <c r="E127" s="60"/>
      <c r="F127" s="60">
        <v>0</v>
      </c>
      <c r="G127" s="157">
        <f t="shared" si="83"/>
        <v>0</v>
      </c>
      <c r="H127" s="60">
        <v>0</v>
      </c>
      <c r="I127" s="60">
        <v>0</v>
      </c>
      <c r="J127" s="75">
        <f>SUM(K127:M127)</f>
        <v>200795.89623489001</v>
      </c>
      <c r="K127" s="75">
        <f>181402.35+1965.79</f>
        <v>183368.14</v>
      </c>
      <c r="L127" s="72">
        <f>4001.99*2.411294</f>
        <v>9649.9744750599984</v>
      </c>
      <c r="M127" s="201">
        <f>7790.73-12.94824017</f>
        <v>7777.7817598299998</v>
      </c>
      <c r="N127" s="200"/>
      <c r="O127" s="200">
        <f>K127*G127</f>
        <v>0</v>
      </c>
      <c r="P127" s="200">
        <f>L127*G127</f>
        <v>0</v>
      </c>
      <c r="Q127" s="200"/>
      <c r="R127" s="200"/>
      <c r="S127" s="200"/>
      <c r="T127" s="46">
        <f t="shared" si="9"/>
        <v>0</v>
      </c>
      <c r="U127" s="46">
        <f t="shared" si="6"/>
        <v>0</v>
      </c>
    </row>
    <row r="128" spans="1:21" x14ac:dyDescent="0.25">
      <c r="A128" s="322"/>
      <c r="B128" s="191"/>
      <c r="C128" s="66" t="s">
        <v>106</v>
      </c>
      <c r="D128" s="64"/>
      <c r="E128" s="60">
        <f>E124+E127</f>
        <v>33</v>
      </c>
      <c r="F128" s="60">
        <f t="shared" ref="F128:I128" si="84">F124+F127</f>
        <v>33</v>
      </c>
      <c r="G128" s="60">
        <f t="shared" si="84"/>
        <v>33</v>
      </c>
      <c r="H128" s="60">
        <f t="shared" si="84"/>
        <v>33</v>
      </c>
      <c r="I128" s="60">
        <f t="shared" si="84"/>
        <v>33</v>
      </c>
      <c r="J128" s="73" t="s">
        <v>104</v>
      </c>
      <c r="K128" s="73" t="s">
        <v>104</v>
      </c>
      <c r="L128" s="73" t="s">
        <v>104</v>
      </c>
      <c r="M128" s="200" t="s">
        <v>104</v>
      </c>
      <c r="N128" s="206">
        <f>SUM(N124:N127)</f>
        <v>1996456.22575137</v>
      </c>
      <c r="O128" s="206">
        <f>SUM(O124:O127)</f>
        <v>1421340.03</v>
      </c>
      <c r="P128" s="206">
        <f>SUM(P124:P127)</f>
        <v>318449.39767697995</v>
      </c>
      <c r="Q128" s="206"/>
      <c r="R128" s="206">
        <f t="shared" ref="R128:U128" si="85">SUM(R124:R127)</f>
        <v>256666.79807438998</v>
      </c>
      <c r="S128" s="206"/>
      <c r="T128" s="206">
        <f t="shared" si="85"/>
        <v>1996456.22575137</v>
      </c>
      <c r="U128" s="206">
        <f t="shared" si="85"/>
        <v>1996456.22575137</v>
      </c>
    </row>
    <row r="129" spans="1:24" ht="102" customHeight="1" x14ac:dyDescent="0.25">
      <c r="A129" s="322"/>
      <c r="B129" s="137" t="s">
        <v>240</v>
      </c>
      <c r="C129" s="61" t="s">
        <v>187</v>
      </c>
      <c r="D129" s="64" t="s">
        <v>101</v>
      </c>
      <c r="E129" s="60">
        <v>450</v>
      </c>
      <c r="F129" s="60">
        <v>450</v>
      </c>
      <c r="G129" s="60">
        <v>450</v>
      </c>
      <c r="H129" s="60">
        <v>450</v>
      </c>
      <c r="I129" s="60">
        <v>450</v>
      </c>
      <c r="J129" s="75">
        <f>K129</f>
        <v>3268.55</v>
      </c>
      <c r="K129" s="75">
        <v>3268.55</v>
      </c>
      <c r="L129" s="73" t="s">
        <v>104</v>
      </c>
      <c r="M129" s="200" t="s">
        <v>104</v>
      </c>
      <c r="N129" s="200">
        <f>SUM(O129:R129)</f>
        <v>1470847</v>
      </c>
      <c r="O129" s="200">
        <f>G129*K129-0.5</f>
        <v>1470847</v>
      </c>
      <c r="P129" s="200" t="s">
        <v>104</v>
      </c>
      <c r="Q129" s="200"/>
      <c r="R129" s="200" t="s">
        <v>104</v>
      </c>
      <c r="S129" s="200"/>
      <c r="T129" s="46">
        <f>N129</f>
        <v>1470847</v>
      </c>
      <c r="U129" s="46">
        <f t="shared" ref="U129:U135" si="86">T129</f>
        <v>1470847</v>
      </c>
    </row>
    <row r="130" spans="1:24" x14ac:dyDescent="0.25">
      <c r="A130" s="322"/>
      <c r="B130" s="69"/>
      <c r="C130" s="66" t="s">
        <v>106</v>
      </c>
      <c r="D130" s="69"/>
      <c r="E130" s="60">
        <f>SUM(E129:E129)</f>
        <v>450</v>
      </c>
      <c r="F130" s="60">
        <f>SUM(F129:F129)</f>
        <v>450</v>
      </c>
      <c r="G130" s="60">
        <f>SUM(G129:G129)</f>
        <v>450</v>
      </c>
      <c r="H130" s="60">
        <f>SUM(H129:H129)</f>
        <v>450</v>
      </c>
      <c r="I130" s="60">
        <f>SUM(I129:I129)</f>
        <v>450</v>
      </c>
      <c r="J130" s="73" t="s">
        <v>104</v>
      </c>
      <c r="K130" s="73" t="s">
        <v>104</v>
      </c>
      <c r="L130" s="73" t="s">
        <v>104</v>
      </c>
      <c r="M130" s="206">
        <f t="shared" ref="M130:R130" si="87">SUM(M129:M129)</f>
        <v>0</v>
      </c>
      <c r="N130" s="206">
        <f>SUM(N129:N129)</f>
        <v>1470847</v>
      </c>
      <c r="O130" s="206">
        <f t="shared" si="87"/>
        <v>1470847</v>
      </c>
      <c r="P130" s="206">
        <f t="shared" si="87"/>
        <v>0</v>
      </c>
      <c r="Q130" s="206"/>
      <c r="R130" s="206">
        <f t="shared" si="87"/>
        <v>0</v>
      </c>
      <c r="S130" s="206"/>
      <c r="T130" s="46">
        <f>N130</f>
        <v>1470847</v>
      </c>
      <c r="U130" s="46">
        <f t="shared" si="86"/>
        <v>1470847</v>
      </c>
      <c r="V130" s="85">
        <f>T114+T123+T128+T130+T131+T132</f>
        <v>30759083.591451868</v>
      </c>
    </row>
    <row r="131" spans="1:24" x14ac:dyDescent="0.25">
      <c r="A131" s="322"/>
      <c r="B131" s="69" t="s">
        <v>296</v>
      </c>
      <c r="C131" s="183" t="s">
        <v>226</v>
      </c>
      <c r="D131" s="69"/>
      <c r="E131" s="60"/>
      <c r="F131" s="60"/>
      <c r="G131" s="60"/>
      <c r="H131" s="60"/>
      <c r="I131" s="60"/>
      <c r="J131" s="73"/>
      <c r="K131" s="73"/>
      <c r="L131" s="73"/>
      <c r="M131" s="206"/>
      <c r="N131" s="206">
        <f>P131</f>
        <v>88052</v>
      </c>
      <c r="O131" s="206"/>
      <c r="P131" s="206">
        <v>88052</v>
      </c>
      <c r="Q131" s="206"/>
      <c r="R131" s="206"/>
      <c r="S131" s="206"/>
      <c r="T131" s="46">
        <f>P131</f>
        <v>88052</v>
      </c>
      <c r="U131" s="46">
        <f t="shared" si="86"/>
        <v>88052</v>
      </c>
      <c r="V131" s="85">
        <f>N114+N123+N128+N130+N131</f>
        <v>28732750.591451868</v>
      </c>
    </row>
    <row r="132" spans="1:24" x14ac:dyDescent="0.25">
      <c r="A132" s="322"/>
      <c r="B132" s="89" t="s">
        <v>225</v>
      </c>
      <c r="C132" s="183" t="s">
        <v>219</v>
      </c>
      <c r="D132" s="64" t="s">
        <v>101</v>
      </c>
      <c r="E132" s="60"/>
      <c r="F132" s="60"/>
      <c r="G132" s="60">
        <v>14</v>
      </c>
      <c r="H132" s="60">
        <v>14</v>
      </c>
      <c r="I132" s="60">
        <v>14</v>
      </c>
      <c r="J132" s="73"/>
      <c r="K132" s="73"/>
      <c r="L132" s="73"/>
      <c r="M132" s="206"/>
      <c r="N132" s="206">
        <f>S132</f>
        <v>2026333</v>
      </c>
      <c r="O132" s="206"/>
      <c r="P132" s="206"/>
      <c r="Q132" s="206"/>
      <c r="R132" s="206"/>
      <c r="S132" s="206">
        <v>2026333</v>
      </c>
      <c r="T132" s="46">
        <f>S132</f>
        <v>2026333</v>
      </c>
      <c r="U132" s="46">
        <f t="shared" si="86"/>
        <v>2026333</v>
      </c>
    </row>
    <row r="133" spans="1:24" x14ac:dyDescent="0.25">
      <c r="A133" s="322"/>
      <c r="B133" s="89" t="s">
        <v>225</v>
      </c>
      <c r="C133" s="183" t="s">
        <v>226</v>
      </c>
      <c r="D133" s="64" t="s">
        <v>101</v>
      </c>
      <c r="E133" s="60"/>
      <c r="F133" s="60"/>
      <c r="G133" s="60"/>
      <c r="H133" s="60"/>
      <c r="I133" s="60"/>
      <c r="J133" s="73"/>
      <c r="K133" s="73"/>
      <c r="L133" s="73"/>
      <c r="M133" s="206"/>
      <c r="N133" s="206">
        <f t="shared" ref="N133:N134" si="88">S133</f>
        <v>0</v>
      </c>
      <c r="O133" s="206"/>
      <c r="P133" s="206"/>
      <c r="Q133" s="206"/>
      <c r="R133" s="206"/>
      <c r="S133" s="206"/>
      <c r="T133" s="46">
        <f>Q133</f>
        <v>0</v>
      </c>
      <c r="U133" s="46">
        <f t="shared" si="86"/>
        <v>0</v>
      </c>
    </row>
    <row r="134" spans="1:24" x14ac:dyDescent="0.25">
      <c r="A134" s="322"/>
      <c r="B134" s="89" t="s">
        <v>295</v>
      </c>
      <c r="C134" s="183" t="s">
        <v>219</v>
      </c>
      <c r="D134" s="64" t="s">
        <v>101</v>
      </c>
      <c r="E134" s="60"/>
      <c r="F134" s="60"/>
      <c r="G134" s="60">
        <v>14</v>
      </c>
      <c r="H134" s="60">
        <v>14</v>
      </c>
      <c r="I134" s="60">
        <v>14</v>
      </c>
      <c r="J134" s="73"/>
      <c r="K134" s="73"/>
      <c r="L134" s="73"/>
      <c r="M134" s="206"/>
      <c r="N134" s="206">
        <f t="shared" si="88"/>
        <v>200669</v>
      </c>
      <c r="O134" s="206"/>
      <c r="P134" s="206"/>
      <c r="Q134" s="206"/>
      <c r="R134" s="206"/>
      <c r="S134" s="206">
        <v>200669</v>
      </c>
      <c r="T134" s="46"/>
      <c r="U134" s="46"/>
    </row>
    <row r="135" spans="1:24" x14ac:dyDescent="0.25">
      <c r="A135" s="322"/>
      <c r="B135" s="89" t="s">
        <v>263</v>
      </c>
      <c r="C135" s="183" t="s">
        <v>226</v>
      </c>
      <c r="D135" s="64"/>
      <c r="E135" s="60"/>
      <c r="F135" s="60"/>
      <c r="G135" s="60"/>
      <c r="H135" s="60"/>
      <c r="I135" s="60"/>
      <c r="J135" s="73"/>
      <c r="K135" s="73"/>
      <c r="L135" s="73"/>
      <c r="M135" s="206"/>
      <c r="N135" s="206">
        <f>O135</f>
        <v>351966</v>
      </c>
      <c r="O135" s="206">
        <v>351966</v>
      </c>
      <c r="P135" s="206"/>
      <c r="Q135" s="206"/>
      <c r="R135" s="206"/>
      <c r="S135" s="206"/>
      <c r="T135" s="46">
        <f>O135</f>
        <v>351966</v>
      </c>
      <c r="U135" s="46">
        <f t="shared" si="86"/>
        <v>351966</v>
      </c>
    </row>
    <row r="136" spans="1:24" x14ac:dyDescent="0.25">
      <c r="A136" s="322"/>
      <c r="B136" s="101" t="s">
        <v>112</v>
      </c>
      <c r="C136" s="101"/>
      <c r="D136" s="69"/>
      <c r="E136" s="102">
        <f t="shared" ref="E136:F136" si="89">E114+E123+E128</f>
        <v>483</v>
      </c>
      <c r="F136" s="102">
        <f t="shared" si="89"/>
        <v>483</v>
      </c>
      <c r="G136" s="102">
        <f>G114+G123+G128</f>
        <v>483</v>
      </c>
      <c r="H136" s="102">
        <f t="shared" ref="H136:I136" si="90">H114+H123+H128</f>
        <v>483</v>
      </c>
      <c r="I136" s="102">
        <f t="shared" si="90"/>
        <v>483</v>
      </c>
      <c r="J136" s="104"/>
      <c r="K136" s="104"/>
      <c r="L136" s="103"/>
      <c r="M136" s="138"/>
      <c r="N136" s="138">
        <f>SUM(O136:S136)</f>
        <v>31311718.591451876</v>
      </c>
      <c r="O136" s="264">
        <f>O114+O123+O128+O130+O135</f>
        <v>20579058.000000004</v>
      </c>
      <c r="P136" s="138">
        <f>P114+P123+P128+P130+P131+P132+P133</f>
        <v>4748990.0014539799</v>
      </c>
      <c r="Q136" s="138">
        <f t="shared" ref="Q136" si="91">Q114+Q123+Q128+Q130+Q131+Q132+Q133</f>
        <v>0</v>
      </c>
      <c r="R136" s="138">
        <f>R114+R123+R128+R130+R131+R132+R133+R134</f>
        <v>3756668.5899978895</v>
      </c>
      <c r="S136" s="138">
        <f>S114+S123+S128+S130+S131+S132+S133+S134</f>
        <v>2227002</v>
      </c>
      <c r="T136" s="138">
        <f>T114+T123+T128+T130+T131+T132+T133+T134+T135</f>
        <v>31111049.591451868</v>
      </c>
      <c r="U136" s="138">
        <f>U114+U123+U128+U130+U131+U132+U133+U134+U135</f>
        <v>31111049.591451868</v>
      </c>
      <c r="V136" s="80">
        <v>3756668.59</v>
      </c>
      <c r="W136" s="85">
        <f>V136-R136</f>
        <v>2.1103769540786743E-6</v>
      </c>
      <c r="X136" s="80">
        <f>W136/I136</f>
        <v>4.3693104639310026E-9</v>
      </c>
    </row>
    <row r="137" spans="1:24" ht="90" x14ac:dyDescent="0.25">
      <c r="A137" s="322" t="s">
        <v>116</v>
      </c>
      <c r="B137" s="324" t="s">
        <v>237</v>
      </c>
      <c r="C137" s="61" t="s">
        <v>100</v>
      </c>
      <c r="D137" s="62" t="s">
        <v>101</v>
      </c>
      <c r="E137" s="59">
        <v>316</v>
      </c>
      <c r="F137" s="59">
        <v>316</v>
      </c>
      <c r="G137" s="59">
        <v>316</v>
      </c>
      <c r="H137" s="59">
        <v>316</v>
      </c>
      <c r="I137" s="59">
        <v>316</v>
      </c>
      <c r="J137" s="107">
        <f>SUM(K137:M137)</f>
        <v>38336.707505359998</v>
      </c>
      <c r="K137" s="107">
        <f>19579.7+1329.32</f>
        <v>20909.02</v>
      </c>
      <c r="L137" s="70">
        <f>4001.99*2.411294</f>
        <v>9649.9744750599984</v>
      </c>
      <c r="M137" s="201">
        <f>7790.73-13.0169697</f>
        <v>7777.7130302999994</v>
      </c>
      <c r="N137" s="202">
        <f>SUM(O137:R137)</f>
        <v>12114406.251693759</v>
      </c>
      <c r="O137" s="202">
        <f>G137*K137+6.62</f>
        <v>6607256.9400000004</v>
      </c>
      <c r="P137" s="202">
        <f>G137*L137+0.06</f>
        <v>3049391.9941189596</v>
      </c>
      <c r="Q137" s="202"/>
      <c r="R137" s="46">
        <f>G137*M137</f>
        <v>2457757.3175748</v>
      </c>
      <c r="S137" s="46"/>
      <c r="T137" s="46">
        <f>N137</f>
        <v>12114406.251693759</v>
      </c>
      <c r="U137" s="46">
        <f>T137</f>
        <v>12114406.251693759</v>
      </c>
    </row>
    <row r="138" spans="1:24" ht="135" x14ac:dyDescent="0.25">
      <c r="A138" s="322"/>
      <c r="B138" s="325"/>
      <c r="C138" s="63" t="s">
        <v>163</v>
      </c>
      <c r="D138" s="64" t="s">
        <v>101</v>
      </c>
      <c r="E138" s="59" t="s">
        <v>104</v>
      </c>
      <c r="F138" s="59" t="s">
        <v>104</v>
      </c>
      <c r="G138" s="59" t="s">
        <v>104</v>
      </c>
      <c r="H138" s="59" t="s">
        <v>104</v>
      </c>
      <c r="I138" s="59" t="s">
        <v>104</v>
      </c>
      <c r="J138" s="59" t="s">
        <v>104</v>
      </c>
      <c r="K138" s="59" t="s">
        <v>104</v>
      </c>
      <c r="L138" s="59" t="s">
        <v>104</v>
      </c>
      <c r="M138" s="123" t="s">
        <v>104</v>
      </c>
      <c r="N138" s="202"/>
      <c r="O138" s="202"/>
      <c r="P138" s="123" t="s">
        <v>104</v>
      </c>
      <c r="Q138" s="123"/>
      <c r="R138" s="123" t="s">
        <v>104</v>
      </c>
      <c r="S138" s="123"/>
      <c r="T138" s="46"/>
      <c r="U138" s="46"/>
    </row>
    <row r="139" spans="1:24" x14ac:dyDescent="0.25">
      <c r="A139" s="322"/>
      <c r="B139" s="325"/>
      <c r="C139" s="63" t="s">
        <v>171</v>
      </c>
      <c r="D139" s="64" t="s">
        <v>101</v>
      </c>
      <c r="E139" s="59">
        <v>1</v>
      </c>
      <c r="F139" s="59">
        <v>1</v>
      </c>
      <c r="G139" s="59">
        <v>1</v>
      </c>
      <c r="H139" s="59">
        <v>1</v>
      </c>
      <c r="I139" s="59">
        <v>1</v>
      </c>
      <c r="J139" s="75">
        <f t="shared" ref="J139:J144" si="92">K139</f>
        <v>69362.66</v>
      </c>
      <c r="K139" s="71">
        <v>69362.66</v>
      </c>
      <c r="L139" s="59"/>
      <c r="M139" s="123"/>
      <c r="N139" s="202">
        <f t="shared" ref="N139:N140" si="93">O139</f>
        <v>69362.66</v>
      </c>
      <c r="O139" s="202">
        <f>G139*K139</f>
        <v>69362.66</v>
      </c>
      <c r="P139" s="123" t="s">
        <v>104</v>
      </c>
      <c r="Q139" s="123"/>
      <c r="R139" s="123"/>
      <c r="S139" s="123"/>
      <c r="T139" s="46">
        <f t="shared" ref="T139:T144" si="94">H139*K139</f>
        <v>69362.66</v>
      </c>
      <c r="U139" s="46">
        <f t="shared" ref="U139:U140" si="95">I139*K139</f>
        <v>69362.66</v>
      </c>
    </row>
    <row r="140" spans="1:24" x14ac:dyDescent="0.25">
      <c r="A140" s="322"/>
      <c r="B140" s="325"/>
      <c r="C140" s="63" t="s">
        <v>169</v>
      </c>
      <c r="D140" s="64" t="s">
        <v>101</v>
      </c>
      <c r="E140" s="59">
        <v>3</v>
      </c>
      <c r="F140" s="59">
        <v>3</v>
      </c>
      <c r="G140" s="59">
        <v>3</v>
      </c>
      <c r="H140" s="59">
        <v>3</v>
      </c>
      <c r="I140" s="59">
        <v>3</v>
      </c>
      <c r="J140" s="75">
        <f t="shared" si="92"/>
        <v>69362.66</v>
      </c>
      <c r="K140" s="71">
        <v>69362.66</v>
      </c>
      <c r="L140" s="59" t="s">
        <v>104</v>
      </c>
      <c r="M140" s="123" t="s">
        <v>104</v>
      </c>
      <c r="N140" s="202">
        <f t="shared" si="93"/>
        <v>208087.98</v>
      </c>
      <c r="O140" s="202">
        <f t="shared" ref="O140:O144" si="96">G140*K140</f>
        <v>208087.98</v>
      </c>
      <c r="P140" s="123" t="s">
        <v>104</v>
      </c>
      <c r="Q140" s="123"/>
      <c r="R140" s="123" t="s">
        <v>104</v>
      </c>
      <c r="S140" s="123"/>
      <c r="T140" s="46">
        <f t="shared" si="94"/>
        <v>208087.98</v>
      </c>
      <c r="U140" s="46">
        <f t="shared" si="95"/>
        <v>208087.98</v>
      </c>
    </row>
    <row r="141" spans="1:24" x14ac:dyDescent="0.25">
      <c r="A141" s="322"/>
      <c r="B141" s="325"/>
      <c r="C141" s="63" t="s">
        <v>166</v>
      </c>
      <c r="D141" s="64" t="s">
        <v>101</v>
      </c>
      <c r="E141" s="59">
        <v>2</v>
      </c>
      <c r="F141" s="59">
        <v>2</v>
      </c>
      <c r="G141" s="59">
        <v>2</v>
      </c>
      <c r="H141" s="59">
        <v>2</v>
      </c>
      <c r="I141" s="59">
        <v>2</v>
      </c>
      <c r="J141" s="75">
        <f t="shared" si="92"/>
        <v>66361.320000000007</v>
      </c>
      <c r="K141" s="75">
        <v>66361.320000000007</v>
      </c>
      <c r="L141" s="59" t="s">
        <v>104</v>
      </c>
      <c r="M141" s="123" t="s">
        <v>104</v>
      </c>
      <c r="N141" s="202">
        <f>O141</f>
        <v>132722.64000000001</v>
      </c>
      <c r="O141" s="202">
        <f t="shared" si="96"/>
        <v>132722.64000000001</v>
      </c>
      <c r="P141" s="123" t="s">
        <v>104</v>
      </c>
      <c r="Q141" s="123"/>
      <c r="R141" s="123" t="s">
        <v>104</v>
      </c>
      <c r="S141" s="123"/>
      <c r="T141" s="46">
        <f t="shared" si="94"/>
        <v>132722.64000000001</v>
      </c>
      <c r="U141" s="46">
        <f>I141*K141</f>
        <v>132722.64000000001</v>
      </c>
    </row>
    <row r="142" spans="1:24" x14ac:dyDescent="0.25">
      <c r="A142" s="322"/>
      <c r="B142" s="325"/>
      <c r="C142" s="63" t="s">
        <v>190</v>
      </c>
      <c r="D142" s="64" t="s">
        <v>101</v>
      </c>
      <c r="E142" s="59">
        <v>1</v>
      </c>
      <c r="F142" s="59">
        <v>1</v>
      </c>
      <c r="G142" s="59">
        <v>1</v>
      </c>
      <c r="H142" s="59">
        <v>1</v>
      </c>
      <c r="I142" s="59">
        <v>1</v>
      </c>
      <c r="J142" s="75">
        <f t="shared" si="92"/>
        <v>178794.98</v>
      </c>
      <c r="K142" s="75">
        <v>178794.98</v>
      </c>
      <c r="L142" s="59" t="s">
        <v>104</v>
      </c>
      <c r="M142" s="123" t="s">
        <v>104</v>
      </c>
      <c r="N142" s="202">
        <f>O142</f>
        <v>178794.98</v>
      </c>
      <c r="O142" s="202">
        <f t="shared" si="96"/>
        <v>178794.98</v>
      </c>
      <c r="P142" s="123" t="s">
        <v>104</v>
      </c>
      <c r="Q142" s="123"/>
      <c r="R142" s="123" t="s">
        <v>104</v>
      </c>
      <c r="S142" s="123"/>
      <c r="T142" s="46">
        <f t="shared" si="94"/>
        <v>178794.98</v>
      </c>
      <c r="U142" s="46">
        <f>I142*K142</f>
        <v>178794.98</v>
      </c>
    </row>
    <row r="143" spans="1:24" x14ac:dyDescent="0.25">
      <c r="A143" s="322"/>
      <c r="B143" s="325"/>
      <c r="C143" s="63" t="s">
        <v>170</v>
      </c>
      <c r="D143" s="64" t="s">
        <v>101</v>
      </c>
      <c r="E143" s="59"/>
      <c r="F143" s="59"/>
      <c r="G143" s="59"/>
      <c r="H143" s="59"/>
      <c r="I143" s="59"/>
      <c r="J143" s="75">
        <f t="shared" si="92"/>
        <v>99648.29</v>
      </c>
      <c r="K143" s="75">
        <v>99648.29</v>
      </c>
      <c r="L143" s="59" t="s">
        <v>104</v>
      </c>
      <c r="M143" s="123" t="s">
        <v>104</v>
      </c>
      <c r="N143" s="202">
        <f>O143</f>
        <v>0</v>
      </c>
      <c r="O143" s="202">
        <f t="shared" si="96"/>
        <v>0</v>
      </c>
      <c r="P143" s="123" t="s">
        <v>104</v>
      </c>
      <c r="Q143" s="123"/>
      <c r="R143" s="123" t="s">
        <v>104</v>
      </c>
      <c r="S143" s="123"/>
      <c r="T143" s="46">
        <f t="shared" si="94"/>
        <v>0</v>
      </c>
      <c r="U143" s="46">
        <f>I143*K143</f>
        <v>0</v>
      </c>
    </row>
    <row r="144" spans="1:24" x14ac:dyDescent="0.25">
      <c r="A144" s="322"/>
      <c r="B144" s="325"/>
      <c r="C144" s="63" t="s">
        <v>168</v>
      </c>
      <c r="D144" s="64" t="s">
        <v>101</v>
      </c>
      <c r="E144" s="59"/>
      <c r="F144" s="59"/>
      <c r="G144" s="59"/>
      <c r="H144" s="59"/>
      <c r="I144" s="59"/>
      <c r="J144" s="75">
        <f t="shared" si="92"/>
        <v>23553.439999999999</v>
      </c>
      <c r="K144" s="75">
        <v>23553.439999999999</v>
      </c>
      <c r="L144" s="59" t="s">
        <v>104</v>
      </c>
      <c r="M144" s="123" t="s">
        <v>104</v>
      </c>
      <c r="N144" s="202">
        <f>O144</f>
        <v>0</v>
      </c>
      <c r="O144" s="202">
        <f t="shared" si="96"/>
        <v>0</v>
      </c>
      <c r="P144" s="123" t="s">
        <v>104</v>
      </c>
      <c r="Q144" s="123"/>
      <c r="R144" s="123" t="s">
        <v>104</v>
      </c>
      <c r="S144" s="123"/>
      <c r="T144" s="46">
        <f t="shared" si="94"/>
        <v>0</v>
      </c>
      <c r="U144" s="46">
        <f>I144*K144</f>
        <v>0</v>
      </c>
    </row>
    <row r="145" spans="1:21" ht="120" x14ac:dyDescent="0.25">
      <c r="A145" s="322"/>
      <c r="B145" s="325"/>
      <c r="C145" s="61" t="s">
        <v>105</v>
      </c>
      <c r="D145" s="64" t="s">
        <v>101</v>
      </c>
      <c r="E145" s="59">
        <v>2</v>
      </c>
      <c r="F145" s="59">
        <v>2</v>
      </c>
      <c r="G145" s="59">
        <v>2</v>
      </c>
      <c r="H145" s="59">
        <v>2</v>
      </c>
      <c r="I145" s="59">
        <v>2</v>
      </c>
      <c r="J145" s="75">
        <f>SUM(K145:M145)</f>
        <v>140169.92750535998</v>
      </c>
      <c r="K145" s="75">
        <f>121412.92+1329.32</f>
        <v>122742.24</v>
      </c>
      <c r="L145" s="72">
        <f>4001.99*2.411294</f>
        <v>9649.9744750599984</v>
      </c>
      <c r="M145" s="201">
        <f>7790.73-13.0169697</f>
        <v>7777.7130302999994</v>
      </c>
      <c r="N145" s="202">
        <f>SUM(O145:R145)</f>
        <v>280339.85501071997</v>
      </c>
      <c r="O145" s="202">
        <f>G145*K145</f>
        <v>245484.48</v>
      </c>
      <c r="P145" s="202">
        <f>G145*L145</f>
        <v>19299.948950119997</v>
      </c>
      <c r="Q145" s="202"/>
      <c r="R145" s="46">
        <f>G145*M145</f>
        <v>15555.426060599999</v>
      </c>
      <c r="S145" s="46"/>
      <c r="T145" s="46">
        <f t="shared" ref="T145:T161" si="97">H145*J145</f>
        <v>280339.85501071997</v>
      </c>
      <c r="U145" s="46">
        <f t="shared" ref="U145:U161" si="98">I145*J145</f>
        <v>280339.85501071997</v>
      </c>
    </row>
    <row r="146" spans="1:21" ht="105" x14ac:dyDescent="0.25">
      <c r="A146" s="322"/>
      <c r="B146" s="325"/>
      <c r="C146" s="61" t="s">
        <v>117</v>
      </c>
      <c r="D146" s="64" t="s">
        <v>101</v>
      </c>
      <c r="E146" s="59">
        <v>0</v>
      </c>
      <c r="F146" s="59">
        <v>0</v>
      </c>
      <c r="G146" s="157">
        <f t="shared" ref="G146:G161" si="99">((E146*8)+(F146*4))/12</f>
        <v>0</v>
      </c>
      <c r="H146" s="59">
        <v>0</v>
      </c>
      <c r="I146" s="59">
        <v>0</v>
      </c>
      <c r="J146" s="75">
        <f>K146</f>
        <v>21480.1</v>
      </c>
      <c r="K146" s="75">
        <v>21480.1</v>
      </c>
      <c r="L146" s="72" t="s">
        <v>104</v>
      </c>
      <c r="M146" s="205" t="s">
        <v>104</v>
      </c>
      <c r="N146" s="202">
        <f>SUM(O146:R146)</f>
        <v>0</v>
      </c>
      <c r="O146" s="202">
        <f>G146*K146</f>
        <v>0</v>
      </c>
      <c r="P146" s="202"/>
      <c r="Q146" s="202"/>
      <c r="R146" s="202"/>
      <c r="S146" s="202"/>
      <c r="T146" s="46">
        <f t="shared" si="97"/>
        <v>0</v>
      </c>
      <c r="U146" s="46">
        <f t="shared" si="98"/>
        <v>0</v>
      </c>
    </row>
    <row r="147" spans="1:21" x14ac:dyDescent="0.25">
      <c r="A147" s="322"/>
      <c r="B147" s="326"/>
      <c r="C147" s="66" t="s">
        <v>106</v>
      </c>
      <c r="D147" s="67"/>
      <c r="E147" s="59">
        <f>E137+E145</f>
        <v>318</v>
      </c>
      <c r="F147" s="59">
        <f>F137+F145</f>
        <v>318</v>
      </c>
      <c r="G147" s="59">
        <f>G137+G145</f>
        <v>318</v>
      </c>
      <c r="H147" s="59">
        <f>H137+H145</f>
        <v>318</v>
      </c>
      <c r="I147" s="59">
        <f>I137+I145</f>
        <v>318</v>
      </c>
      <c r="J147" s="71" t="s">
        <v>104</v>
      </c>
      <c r="K147" s="71" t="s">
        <v>104</v>
      </c>
      <c r="L147" s="71" t="s">
        <v>104</v>
      </c>
      <c r="M147" s="202" t="s">
        <v>104</v>
      </c>
      <c r="N147" s="202">
        <f>SUM(N137:N146)</f>
        <v>12983714.366704481</v>
      </c>
      <c r="O147" s="202">
        <f>SUM(O137:O146)</f>
        <v>7441709.6800000016</v>
      </c>
      <c r="P147" s="202">
        <f>SUM(P137:P146)</f>
        <v>3068691.9430690794</v>
      </c>
      <c r="Q147" s="202"/>
      <c r="R147" s="202">
        <f>SUM(R137:R146)</f>
        <v>2473312.7436354002</v>
      </c>
      <c r="S147" s="202"/>
      <c r="T147" s="202">
        <f>SUM(T137:T146)</f>
        <v>12983714.366704481</v>
      </c>
      <c r="U147" s="202">
        <f>SUM(U137:U146)</f>
        <v>12983714.366704481</v>
      </c>
    </row>
    <row r="148" spans="1:21" ht="90" x14ac:dyDescent="0.25">
      <c r="A148" s="322"/>
      <c r="B148" s="324" t="s">
        <v>238</v>
      </c>
      <c r="C148" s="61" t="s">
        <v>100</v>
      </c>
      <c r="D148" s="62" t="s">
        <v>101</v>
      </c>
      <c r="E148" s="59">
        <v>196</v>
      </c>
      <c r="F148" s="59">
        <v>196</v>
      </c>
      <c r="G148" s="59">
        <v>196</v>
      </c>
      <c r="H148" s="59">
        <v>196</v>
      </c>
      <c r="I148" s="59">
        <v>196</v>
      </c>
      <c r="J148" s="107">
        <f>SUM(K148:M148)</f>
        <v>53396.157505360003</v>
      </c>
      <c r="K148" s="107">
        <f>34346.05+1622.42</f>
        <v>35968.47</v>
      </c>
      <c r="L148" s="70">
        <f>4001.99*2.411294</f>
        <v>9649.9744750599984</v>
      </c>
      <c r="M148" s="201">
        <f>7790.73-13.0169697</f>
        <v>7777.7130302999994</v>
      </c>
      <c r="N148" s="202">
        <f>SUM(O148:R148)</f>
        <v>10465646.871050559</v>
      </c>
      <c r="O148" s="202">
        <f>G148*K148</f>
        <v>7049820.1200000001</v>
      </c>
      <c r="P148" s="202">
        <f>G148*L148</f>
        <v>1891394.9971117596</v>
      </c>
      <c r="Q148" s="202"/>
      <c r="R148" s="46">
        <f>G148*M148</f>
        <v>1524431.7539388</v>
      </c>
      <c r="S148" s="46"/>
      <c r="T148" s="46">
        <f t="shared" si="97"/>
        <v>10465646.871050561</v>
      </c>
      <c r="U148" s="46">
        <f t="shared" si="98"/>
        <v>10465646.871050561</v>
      </c>
    </row>
    <row r="149" spans="1:21" ht="120" x14ac:dyDescent="0.25">
      <c r="A149" s="322"/>
      <c r="B149" s="325"/>
      <c r="C149" s="61" t="s">
        <v>118</v>
      </c>
      <c r="D149" s="62" t="s">
        <v>101</v>
      </c>
      <c r="E149" s="59">
        <v>206</v>
      </c>
      <c r="F149" s="59">
        <v>206</v>
      </c>
      <c r="G149" s="59">
        <v>206</v>
      </c>
      <c r="H149" s="59">
        <v>206</v>
      </c>
      <c r="I149" s="59">
        <v>206</v>
      </c>
      <c r="J149" s="107">
        <f>SUM(K149:M149)</f>
        <v>56832.96750536</v>
      </c>
      <c r="K149" s="107">
        <f>37782.86+1622.42</f>
        <v>39405.279999999999</v>
      </c>
      <c r="L149" s="70">
        <f>4001.99*2.411294</f>
        <v>9649.9744750599984</v>
      </c>
      <c r="M149" s="201">
        <f>7790.73-13.0169697</f>
        <v>7777.7130302999994</v>
      </c>
      <c r="N149" s="202">
        <f>SUM(O149:R149)</f>
        <v>11707591.306104161</v>
      </c>
      <c r="O149" s="202">
        <f>G149*K149</f>
        <v>8117487.6799999997</v>
      </c>
      <c r="P149" s="202">
        <f>G149*L149</f>
        <v>1987894.7418623597</v>
      </c>
      <c r="Q149" s="202"/>
      <c r="R149" s="46">
        <f>G149*M149</f>
        <v>1602208.8842417998</v>
      </c>
      <c r="S149" s="46"/>
      <c r="T149" s="46">
        <f t="shared" si="97"/>
        <v>11707591.306104161</v>
      </c>
      <c r="U149" s="46">
        <f t="shared" si="98"/>
        <v>11707591.306104161</v>
      </c>
    </row>
    <row r="150" spans="1:21" ht="120" x14ac:dyDescent="0.25">
      <c r="A150" s="322"/>
      <c r="B150" s="325"/>
      <c r="C150" s="63" t="s">
        <v>102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123" t="s">
        <v>104</v>
      </c>
      <c r="N150" s="202"/>
      <c r="O150" s="202"/>
      <c r="P150" s="123" t="s">
        <v>104</v>
      </c>
      <c r="Q150" s="123"/>
      <c r="R150" s="123" t="s">
        <v>104</v>
      </c>
      <c r="S150" s="123"/>
      <c r="T150" s="46"/>
      <c r="U150" s="46"/>
    </row>
    <row r="151" spans="1:21" x14ac:dyDescent="0.25">
      <c r="A151" s="322"/>
      <c r="B151" s="325"/>
      <c r="C151" s="63" t="s">
        <v>171</v>
      </c>
      <c r="D151" s="64" t="s">
        <v>101</v>
      </c>
      <c r="E151" s="60">
        <v>1</v>
      </c>
      <c r="F151" s="60">
        <v>1</v>
      </c>
      <c r="G151" s="60">
        <v>1</v>
      </c>
      <c r="H151" s="60">
        <v>1</v>
      </c>
      <c r="I151" s="60">
        <v>1</v>
      </c>
      <c r="J151" s="75">
        <f>K151</f>
        <v>69362.66</v>
      </c>
      <c r="K151" s="75">
        <v>69362.66</v>
      </c>
      <c r="L151" s="59" t="s">
        <v>104</v>
      </c>
      <c r="M151" s="123" t="s">
        <v>104</v>
      </c>
      <c r="N151" s="202">
        <f>O151</f>
        <v>69362.66</v>
      </c>
      <c r="O151" s="202">
        <f>G151*K151</f>
        <v>69362.66</v>
      </c>
      <c r="P151" s="123" t="s">
        <v>104</v>
      </c>
      <c r="Q151" s="123"/>
      <c r="R151" s="123" t="s">
        <v>104</v>
      </c>
      <c r="S151" s="123"/>
      <c r="T151" s="46">
        <f>H151*K151</f>
        <v>69362.66</v>
      </c>
      <c r="U151" s="46">
        <f>I151*K151</f>
        <v>69362.66</v>
      </c>
    </row>
    <row r="152" spans="1:21" x14ac:dyDescent="0.25">
      <c r="A152" s="322"/>
      <c r="B152" s="325"/>
      <c r="C152" s="63" t="s">
        <v>164</v>
      </c>
      <c r="D152" s="64" t="s">
        <v>101</v>
      </c>
      <c r="E152" s="60"/>
      <c r="F152" s="60"/>
      <c r="G152" s="59"/>
      <c r="H152" s="60"/>
      <c r="I152" s="60"/>
      <c r="J152" s="75">
        <f>K152</f>
        <v>25589.72</v>
      </c>
      <c r="K152" s="75">
        <v>25589.72</v>
      </c>
      <c r="L152" s="59" t="s">
        <v>104</v>
      </c>
      <c r="M152" s="123" t="s">
        <v>104</v>
      </c>
      <c r="N152" s="202">
        <f>O152</f>
        <v>0</v>
      </c>
      <c r="O152" s="202">
        <f t="shared" ref="O152:O153" si="100">G152*K152</f>
        <v>0</v>
      </c>
      <c r="P152" s="123" t="s">
        <v>104</v>
      </c>
      <c r="Q152" s="123"/>
      <c r="R152" s="123" t="s">
        <v>104</v>
      </c>
      <c r="S152" s="123"/>
      <c r="T152" s="46">
        <f>H152*K152</f>
        <v>0</v>
      </c>
      <c r="U152" s="46">
        <f>I152*K152</f>
        <v>0</v>
      </c>
    </row>
    <row r="153" spans="1:21" x14ac:dyDescent="0.25">
      <c r="A153" s="322"/>
      <c r="B153" s="325"/>
      <c r="C153" s="63" t="s">
        <v>168</v>
      </c>
      <c r="D153" s="64" t="s">
        <v>101</v>
      </c>
      <c r="E153" s="60">
        <v>3</v>
      </c>
      <c r="F153" s="60">
        <v>3</v>
      </c>
      <c r="G153" s="60">
        <v>3</v>
      </c>
      <c r="H153" s="60">
        <v>3</v>
      </c>
      <c r="I153" s="60">
        <v>3</v>
      </c>
      <c r="J153" s="75">
        <f>K153</f>
        <v>23553.439999999999</v>
      </c>
      <c r="K153" s="75">
        <v>23553.439999999999</v>
      </c>
      <c r="L153" s="59" t="s">
        <v>104</v>
      </c>
      <c r="M153" s="123" t="s">
        <v>104</v>
      </c>
      <c r="N153" s="202">
        <f>O153</f>
        <v>70660.319999999992</v>
      </c>
      <c r="O153" s="202">
        <f t="shared" si="100"/>
        <v>70660.319999999992</v>
      </c>
      <c r="P153" s="123" t="s">
        <v>104</v>
      </c>
      <c r="Q153" s="123"/>
      <c r="R153" s="123" t="s">
        <v>104</v>
      </c>
      <c r="S153" s="123"/>
      <c r="T153" s="46">
        <f>H153*K153</f>
        <v>70660.319999999992</v>
      </c>
      <c r="U153" s="46">
        <f>I153*K153</f>
        <v>70660.319999999992</v>
      </c>
    </row>
    <row r="154" spans="1:21" ht="120" x14ac:dyDescent="0.25">
      <c r="A154" s="322"/>
      <c r="B154" s="325"/>
      <c r="C154" s="61" t="s">
        <v>105</v>
      </c>
      <c r="D154" s="64" t="s">
        <v>101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75">
        <f>SUM(K154:M154)</f>
        <v>170457.73750536001</v>
      </c>
      <c r="K154" s="75">
        <f>151407.63+1622.42</f>
        <v>153030.05000000002</v>
      </c>
      <c r="L154" s="72">
        <f>4001.99*2.411294</f>
        <v>9649.9744750599984</v>
      </c>
      <c r="M154" s="201">
        <f>7790.73-13.0169697</f>
        <v>7777.7130302999994</v>
      </c>
      <c r="N154" s="200">
        <f>SUM(O154:R154)</f>
        <v>170457.73750536001</v>
      </c>
      <c r="O154" s="200">
        <f>G154*K154</f>
        <v>153030.05000000002</v>
      </c>
      <c r="P154" s="200">
        <f>G154*L154</f>
        <v>9649.9744750599984</v>
      </c>
      <c r="Q154" s="200"/>
      <c r="R154" s="200">
        <f>E154*M154</f>
        <v>7777.7130302999994</v>
      </c>
      <c r="S154" s="200"/>
      <c r="T154" s="46">
        <f t="shared" si="97"/>
        <v>170457.73750536001</v>
      </c>
      <c r="U154" s="46">
        <f t="shared" si="98"/>
        <v>170457.73750536001</v>
      </c>
    </row>
    <row r="155" spans="1:21" ht="105" x14ac:dyDescent="0.25">
      <c r="A155" s="322"/>
      <c r="B155" s="325"/>
      <c r="C155" s="61" t="s">
        <v>117</v>
      </c>
      <c r="D155" s="64" t="s">
        <v>101</v>
      </c>
      <c r="E155" s="60">
        <v>0</v>
      </c>
      <c r="F155" s="60">
        <v>0</v>
      </c>
      <c r="G155" s="59">
        <f t="shared" si="99"/>
        <v>0</v>
      </c>
      <c r="H155" s="60">
        <v>0</v>
      </c>
      <c r="I155" s="60">
        <v>0</v>
      </c>
      <c r="J155" s="75">
        <f>K155</f>
        <v>34010.129999999997</v>
      </c>
      <c r="K155" s="75">
        <v>34010.129999999997</v>
      </c>
      <c r="L155" s="72" t="s">
        <v>104</v>
      </c>
      <c r="M155" s="205" t="s">
        <v>104</v>
      </c>
      <c r="N155" s="200">
        <f>SUM(O155:R155)</f>
        <v>0</v>
      </c>
      <c r="O155" s="200">
        <f>G155*K155</f>
        <v>0</v>
      </c>
      <c r="P155" s="200"/>
      <c r="Q155" s="200"/>
      <c r="R155" s="200"/>
      <c r="S155" s="200"/>
      <c r="T155" s="46">
        <f t="shared" si="97"/>
        <v>0</v>
      </c>
      <c r="U155" s="46">
        <f t="shared" si="98"/>
        <v>0</v>
      </c>
    </row>
    <row r="156" spans="1:21" x14ac:dyDescent="0.25">
      <c r="A156" s="322"/>
      <c r="B156" s="326"/>
      <c r="C156" s="66" t="s">
        <v>106</v>
      </c>
      <c r="D156" s="64"/>
      <c r="E156" s="60">
        <f>E148++E149+E154</f>
        <v>403</v>
      </c>
      <c r="F156" s="60">
        <f>F148++F149+F154</f>
        <v>403</v>
      </c>
      <c r="G156" s="60">
        <f>G148++G149+G154</f>
        <v>403</v>
      </c>
      <c r="H156" s="60">
        <f>H148++H149+H154</f>
        <v>403</v>
      </c>
      <c r="I156" s="60">
        <f>I148++I149+I154</f>
        <v>403</v>
      </c>
      <c r="J156" s="73" t="s">
        <v>104</v>
      </c>
      <c r="K156" s="73" t="s">
        <v>104</v>
      </c>
      <c r="L156" s="74" t="s">
        <v>104</v>
      </c>
      <c r="M156" s="206" t="s">
        <v>104</v>
      </c>
      <c r="N156" s="206">
        <f>SUM(N148:N155)</f>
        <v>22483718.894660082</v>
      </c>
      <c r="O156" s="206">
        <f t="shared" ref="O156:U156" si="101">SUM(O148:O155)</f>
        <v>15460360.830000002</v>
      </c>
      <c r="P156" s="206">
        <f t="shared" si="101"/>
        <v>3888939.7134491797</v>
      </c>
      <c r="Q156" s="206"/>
      <c r="R156" s="206">
        <f t="shared" si="101"/>
        <v>3134418.3512108997</v>
      </c>
      <c r="S156" s="206"/>
      <c r="T156" s="206">
        <f t="shared" si="101"/>
        <v>22483718.894660082</v>
      </c>
      <c r="U156" s="206">
        <f t="shared" si="101"/>
        <v>22483718.894660082</v>
      </c>
    </row>
    <row r="157" spans="1:21" ht="90" x14ac:dyDescent="0.25">
      <c r="A157" s="322"/>
      <c r="B157" s="324" t="s">
        <v>239</v>
      </c>
      <c r="C157" s="61" t="s">
        <v>100</v>
      </c>
      <c r="D157" s="62" t="s">
        <v>101</v>
      </c>
      <c r="E157" s="60">
        <v>51</v>
      </c>
      <c r="F157" s="60">
        <v>51</v>
      </c>
      <c r="G157" s="60">
        <v>51</v>
      </c>
      <c r="H157" s="60">
        <v>51</v>
      </c>
      <c r="I157" s="60">
        <v>51</v>
      </c>
      <c r="J157" s="107">
        <f>SUM(K157:M157)</f>
        <v>60498.597505360005</v>
      </c>
      <c r="K157" s="107">
        <f>41105.12+1965.79</f>
        <v>43070.91</v>
      </c>
      <c r="L157" s="70">
        <f>4001.99*2.411294</f>
        <v>9649.9744750599984</v>
      </c>
      <c r="M157" s="201">
        <f>7790.73-13.0169697</f>
        <v>7777.7130302999994</v>
      </c>
      <c r="N157" s="200">
        <f>SUM(O157:R157)</f>
        <v>3085428.4727733601</v>
      </c>
      <c r="O157" s="200">
        <f>G157*K157</f>
        <v>2196616.41</v>
      </c>
      <c r="P157" s="200">
        <f>G157*L157</f>
        <v>492148.69822805992</v>
      </c>
      <c r="Q157" s="200"/>
      <c r="R157" s="46">
        <f>G157*M157</f>
        <v>396663.36454529996</v>
      </c>
      <c r="S157" s="46"/>
      <c r="T157" s="46">
        <f>H157*J157</f>
        <v>3085428.4727733601</v>
      </c>
      <c r="U157" s="46">
        <f t="shared" si="98"/>
        <v>3085428.4727733601</v>
      </c>
    </row>
    <row r="158" spans="1:21" ht="119.25" x14ac:dyDescent="0.25">
      <c r="A158" s="322"/>
      <c r="B158" s="325"/>
      <c r="C158" s="61" t="s">
        <v>172</v>
      </c>
      <c r="D158" s="62" t="s">
        <v>101</v>
      </c>
      <c r="E158" s="60">
        <v>53</v>
      </c>
      <c r="F158" s="60">
        <v>53</v>
      </c>
      <c r="G158" s="60">
        <v>53</v>
      </c>
      <c r="H158" s="60">
        <v>53</v>
      </c>
      <c r="I158" s="60">
        <v>53</v>
      </c>
      <c r="J158" s="107">
        <f>SUM(K158:M158)</f>
        <v>102794.04750535999</v>
      </c>
      <c r="K158" s="107">
        <f>83400.57+1965.79</f>
        <v>85366.36</v>
      </c>
      <c r="L158" s="70">
        <f>4001.99*2.411294</f>
        <v>9649.9744750599984</v>
      </c>
      <c r="M158" s="201">
        <f>7790.73-13.0169697</f>
        <v>7777.7130302999994</v>
      </c>
      <c r="N158" s="200">
        <f>SUM(O158:R158)</f>
        <v>5448083.9177840799</v>
      </c>
      <c r="O158" s="200">
        <f>G158*K158</f>
        <v>4524417.08</v>
      </c>
      <c r="P158" s="200">
        <f>G158*L158</f>
        <v>511448.64717817993</v>
      </c>
      <c r="Q158" s="200"/>
      <c r="R158" s="46">
        <f>G158*M158-0.6</f>
        <v>412218.19060590002</v>
      </c>
      <c r="S158" s="46"/>
      <c r="T158" s="46">
        <f>N158</f>
        <v>5448083.9177840799</v>
      </c>
      <c r="U158" s="46">
        <f>T158</f>
        <v>5448083.9177840799</v>
      </c>
    </row>
    <row r="159" spans="1:21" ht="120" x14ac:dyDescent="0.25">
      <c r="A159" s="322"/>
      <c r="B159" s="325"/>
      <c r="C159" s="63" t="s">
        <v>102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123" t="s">
        <v>104</v>
      </c>
      <c r="N159" s="202"/>
      <c r="O159" s="202"/>
      <c r="P159" s="123" t="s">
        <v>104</v>
      </c>
      <c r="Q159" s="123"/>
      <c r="R159" s="123" t="s">
        <v>104</v>
      </c>
      <c r="S159" s="123"/>
      <c r="T159" s="46"/>
      <c r="U159" s="46"/>
    </row>
    <row r="160" spans="1:21" x14ac:dyDescent="0.25">
      <c r="A160" s="322"/>
      <c r="B160" s="325"/>
      <c r="C160" s="63" t="s">
        <v>168</v>
      </c>
      <c r="D160" s="64" t="s">
        <v>101</v>
      </c>
      <c r="E160" s="60"/>
      <c r="F160" s="60"/>
      <c r="G160" s="59">
        <f t="shared" si="99"/>
        <v>0</v>
      </c>
      <c r="H160" s="60"/>
      <c r="I160" s="60"/>
      <c r="J160" s="75">
        <f>K160</f>
        <v>23553.439999999999</v>
      </c>
      <c r="K160" s="75">
        <v>23553.439999999999</v>
      </c>
      <c r="L160" s="59" t="s">
        <v>104</v>
      </c>
      <c r="M160" s="123" t="s">
        <v>104</v>
      </c>
      <c r="N160" s="202">
        <f>O160</f>
        <v>0</v>
      </c>
      <c r="O160" s="202">
        <f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46">
        <f>I160*K160</f>
        <v>0</v>
      </c>
    </row>
    <row r="161" spans="1:26" ht="120" x14ac:dyDescent="0.25">
      <c r="A161" s="322"/>
      <c r="B161" s="325"/>
      <c r="C161" s="61" t="s">
        <v>105</v>
      </c>
      <c r="D161" s="64" t="s">
        <v>101</v>
      </c>
      <c r="E161" s="60"/>
      <c r="F161" s="60"/>
      <c r="G161" s="59">
        <f t="shared" si="99"/>
        <v>0</v>
      </c>
      <c r="H161" s="60"/>
      <c r="I161" s="60"/>
      <c r="J161" s="75">
        <f>SUM(K161:M161)</f>
        <v>200795.82750536001</v>
      </c>
      <c r="K161" s="75">
        <f>181402.35+1965.79</f>
        <v>183368.14</v>
      </c>
      <c r="L161" s="72">
        <f>4001.99*2.411294</f>
        <v>9649.9744750599984</v>
      </c>
      <c r="M161" s="201">
        <f>7790.73-13.0169697</f>
        <v>7777.7130302999994</v>
      </c>
      <c r="N161" s="200"/>
      <c r="O161" s="200"/>
      <c r="P161" s="200"/>
      <c r="Q161" s="200"/>
      <c r="R161" s="200"/>
      <c r="S161" s="200"/>
      <c r="T161" s="46">
        <f t="shared" si="97"/>
        <v>0</v>
      </c>
      <c r="U161" s="46">
        <f t="shared" si="98"/>
        <v>0</v>
      </c>
    </row>
    <row r="162" spans="1:26" x14ac:dyDescent="0.25">
      <c r="A162" s="322"/>
      <c r="B162" s="326"/>
      <c r="C162" s="66" t="s">
        <v>106</v>
      </c>
      <c r="D162" s="64"/>
      <c r="E162" s="60">
        <f t="shared" ref="E162:F162" si="102">E157+E161+E158</f>
        <v>104</v>
      </c>
      <c r="F162" s="60">
        <f t="shared" si="102"/>
        <v>104</v>
      </c>
      <c r="G162" s="60">
        <f>G157+G161+G158</f>
        <v>104</v>
      </c>
      <c r="H162" s="60">
        <f t="shared" ref="H162:I162" si="103">H157+H161+H158</f>
        <v>104</v>
      </c>
      <c r="I162" s="60">
        <f t="shared" si="103"/>
        <v>104</v>
      </c>
      <c r="J162" s="73" t="s">
        <v>104</v>
      </c>
      <c r="K162" s="73" t="s">
        <v>104</v>
      </c>
      <c r="L162" s="74" t="s">
        <v>104</v>
      </c>
      <c r="M162" s="206" t="s">
        <v>104</v>
      </c>
      <c r="N162" s="206">
        <f>SUM(N157:N161)</f>
        <v>8533512.39055744</v>
      </c>
      <c r="O162" s="206">
        <f t="shared" ref="O162:U162" si="104">SUM(O157:O161)</f>
        <v>6721033.4900000002</v>
      </c>
      <c r="P162" s="206">
        <f t="shared" si="104"/>
        <v>1003597.3454062399</v>
      </c>
      <c r="Q162" s="206"/>
      <c r="R162" s="206">
        <f t="shared" si="104"/>
        <v>808881.55515119992</v>
      </c>
      <c r="S162" s="206"/>
      <c r="T162" s="206">
        <f>SUM(T157:T161)</f>
        <v>8533512.39055744</v>
      </c>
      <c r="U162" s="206">
        <f t="shared" si="104"/>
        <v>8533512.39055744</v>
      </c>
      <c r="V162" s="85">
        <f>N165+N162+N156+N147+N167</f>
        <v>51567637.001921996</v>
      </c>
      <c r="W162" s="85">
        <f>V162-N171</f>
        <v>-661790.0000000149</v>
      </c>
    </row>
    <row r="163" spans="1:26" ht="102" customHeight="1" x14ac:dyDescent="0.25">
      <c r="A163" s="322"/>
      <c r="B163" s="137" t="s">
        <v>240</v>
      </c>
      <c r="C163" s="61" t="s">
        <v>259</v>
      </c>
      <c r="D163" s="64" t="s">
        <v>101</v>
      </c>
      <c r="E163" s="60">
        <v>1439</v>
      </c>
      <c r="F163" s="60">
        <v>1439</v>
      </c>
      <c r="G163" s="60">
        <v>1439</v>
      </c>
      <c r="H163" s="60">
        <v>1439</v>
      </c>
      <c r="I163" s="60">
        <v>1439</v>
      </c>
      <c r="J163" s="75">
        <f>K163</f>
        <v>3268.55</v>
      </c>
      <c r="K163" s="75">
        <v>3268.55</v>
      </c>
      <c r="L163" s="72" t="s">
        <v>104</v>
      </c>
      <c r="M163" s="205" t="s">
        <v>104</v>
      </c>
      <c r="N163" s="200">
        <f>SUM(O163:R163)</f>
        <v>4703443</v>
      </c>
      <c r="O163" s="200">
        <f>G163*K163-0.45</f>
        <v>4703443</v>
      </c>
      <c r="P163" s="200" t="s">
        <v>104</v>
      </c>
      <c r="Q163" s="200"/>
      <c r="R163" s="200" t="s">
        <v>104</v>
      </c>
      <c r="S163" s="200"/>
      <c r="T163" s="46">
        <f>N163-37</f>
        <v>4703406</v>
      </c>
      <c r="U163" s="46">
        <f>T163</f>
        <v>4703406</v>
      </c>
      <c r="X163" s="199">
        <f>G147+G156+G162</f>
        <v>825</v>
      </c>
    </row>
    <row r="164" spans="1:26" ht="128.44999999999999" customHeight="1" x14ac:dyDescent="0.25">
      <c r="A164" s="322"/>
      <c r="B164" s="137"/>
      <c r="C164" s="166" t="s">
        <v>258</v>
      </c>
      <c r="D164" s="167" t="s">
        <v>101</v>
      </c>
      <c r="E164" s="168"/>
      <c r="F164" s="168"/>
      <c r="G164" s="169">
        <v>495</v>
      </c>
      <c r="H164" s="169">
        <v>495</v>
      </c>
      <c r="I164" s="169">
        <v>495</v>
      </c>
      <c r="J164" s="171" t="s">
        <v>104</v>
      </c>
      <c r="K164" s="171" t="s">
        <v>104</v>
      </c>
      <c r="L164" s="211" t="s">
        <v>104</v>
      </c>
      <c r="M164" s="250">
        <v>5421.31</v>
      </c>
      <c r="N164" s="200">
        <f>R164</f>
        <v>2683548.35</v>
      </c>
      <c r="O164" s="200"/>
      <c r="P164" s="200"/>
      <c r="Q164" s="200"/>
      <c r="R164" s="200">
        <f>G164*M164-0.1</f>
        <v>2683548.35</v>
      </c>
      <c r="S164" s="200"/>
      <c r="T164" s="46">
        <f>N164</f>
        <v>2683548.35</v>
      </c>
      <c r="U164" s="46">
        <f>T164</f>
        <v>2683548.35</v>
      </c>
      <c r="X164" s="85">
        <f>V171-R164</f>
        <v>6416612.6500000004</v>
      </c>
      <c r="Y164" s="80">
        <f>X164/G171</f>
        <v>7777.7123030303037</v>
      </c>
      <c r="Z164" s="80">
        <f>Y164*X163</f>
        <v>6416612.6500000004</v>
      </c>
    </row>
    <row r="165" spans="1:26" x14ac:dyDescent="0.25">
      <c r="A165" s="322"/>
      <c r="B165" s="69"/>
      <c r="C165" s="66" t="s">
        <v>106</v>
      </c>
      <c r="D165" s="69"/>
      <c r="E165" s="60">
        <f>SUM(E163:E163)</f>
        <v>1439</v>
      </c>
      <c r="F165" s="60">
        <f>SUM(F163:F163)</f>
        <v>1439</v>
      </c>
      <c r="G165" s="60">
        <f>SUM(G163:G163)</f>
        <v>1439</v>
      </c>
      <c r="H165" s="60">
        <f>SUM(H163:H163)</f>
        <v>1439</v>
      </c>
      <c r="I165" s="60">
        <f>SUM(I163:I163)</f>
        <v>1439</v>
      </c>
      <c r="J165" s="73" t="s">
        <v>104</v>
      </c>
      <c r="K165" s="73" t="s">
        <v>104</v>
      </c>
      <c r="L165" s="74" t="s">
        <v>104</v>
      </c>
      <c r="M165" s="206">
        <f t="shared" ref="M165:P165" si="105">SUM(M163:M163)</f>
        <v>0</v>
      </c>
      <c r="N165" s="206">
        <f>SUM(N163:N164)</f>
        <v>7386991.3499999996</v>
      </c>
      <c r="O165" s="206">
        <f t="shared" si="105"/>
        <v>4703443</v>
      </c>
      <c r="P165" s="206">
        <f t="shared" si="105"/>
        <v>0</v>
      </c>
      <c r="Q165" s="206"/>
      <c r="R165" s="206">
        <f>SUM(R163:R164)</f>
        <v>2683548.35</v>
      </c>
      <c r="S165" s="206"/>
      <c r="T165" s="46">
        <f>N165</f>
        <v>7386991.3499999996</v>
      </c>
      <c r="U165" s="46">
        <f>U163+U164+37</f>
        <v>7386991.3499999996</v>
      </c>
      <c r="Z165" s="85">
        <f>Z164+R164</f>
        <v>9100161</v>
      </c>
    </row>
    <row r="166" spans="1:26" x14ac:dyDescent="0.25">
      <c r="A166" s="322"/>
      <c r="B166" s="69" t="s">
        <v>296</v>
      </c>
      <c r="C166" s="66" t="s">
        <v>226</v>
      </c>
      <c r="D166" s="69"/>
      <c r="E166" s="60"/>
      <c r="F166" s="60"/>
      <c r="G166" s="60"/>
      <c r="H166" s="60"/>
      <c r="I166" s="60"/>
      <c r="J166" s="73"/>
      <c r="K166" s="73"/>
      <c r="L166" s="74"/>
      <c r="M166" s="206"/>
      <c r="N166" s="206">
        <f>P166</f>
        <v>150399</v>
      </c>
      <c r="O166" s="206"/>
      <c r="P166" s="206">
        <v>150399</v>
      </c>
      <c r="Q166" s="206"/>
      <c r="R166" s="206"/>
      <c r="S166" s="206"/>
      <c r="T166" s="46">
        <f>P166</f>
        <v>150399</v>
      </c>
      <c r="U166" s="46">
        <f>T166</f>
        <v>150399</v>
      </c>
      <c r="Z166" s="85"/>
    </row>
    <row r="167" spans="1:26" x14ac:dyDescent="0.25">
      <c r="A167" s="322"/>
      <c r="B167" s="89" t="s">
        <v>225</v>
      </c>
      <c r="C167" s="183" t="s">
        <v>219</v>
      </c>
      <c r="D167" s="64" t="s">
        <v>101</v>
      </c>
      <c r="E167" s="60"/>
      <c r="F167" s="60"/>
      <c r="G167" s="60">
        <v>4</v>
      </c>
      <c r="H167" s="60">
        <v>4</v>
      </c>
      <c r="I167" s="60">
        <v>4</v>
      </c>
      <c r="J167" s="73"/>
      <c r="K167" s="73"/>
      <c r="L167" s="74"/>
      <c r="M167" s="206"/>
      <c r="N167" s="206">
        <f>S167</f>
        <v>179700</v>
      </c>
      <c r="O167" s="206"/>
      <c r="P167" s="206"/>
      <c r="Q167" s="206"/>
      <c r="R167" s="206"/>
      <c r="S167" s="206">
        <v>179700</v>
      </c>
      <c r="T167" s="46">
        <f>S167</f>
        <v>179700</v>
      </c>
      <c r="U167" s="46">
        <f>T167</f>
        <v>179700</v>
      </c>
      <c r="V167" s="85"/>
    </row>
    <row r="168" spans="1:26" x14ac:dyDescent="0.25">
      <c r="A168" s="322"/>
      <c r="B168" s="89" t="s">
        <v>225</v>
      </c>
      <c r="C168" s="183" t="s">
        <v>226</v>
      </c>
      <c r="D168" s="64" t="s">
        <v>101</v>
      </c>
      <c r="E168" s="60"/>
      <c r="F168" s="60"/>
      <c r="G168" s="60"/>
      <c r="H168" s="60"/>
      <c r="I168" s="60"/>
      <c r="J168" s="73"/>
      <c r="K168" s="73"/>
      <c r="L168" s="74"/>
      <c r="M168" s="206"/>
      <c r="N168" s="206">
        <f t="shared" ref="N168:N169" si="106">S168</f>
        <v>0</v>
      </c>
      <c r="O168" s="206"/>
      <c r="P168" s="206"/>
      <c r="Q168" s="206"/>
      <c r="R168" s="206"/>
      <c r="S168" s="206"/>
      <c r="T168" s="46">
        <f>Q168</f>
        <v>0</v>
      </c>
      <c r="U168" s="46">
        <f>T168</f>
        <v>0</v>
      </c>
      <c r="V168" s="85"/>
    </row>
    <row r="169" spans="1:26" x14ac:dyDescent="0.25">
      <c r="A169" s="322"/>
      <c r="B169" s="89" t="s">
        <v>295</v>
      </c>
      <c r="C169" s="183" t="s">
        <v>219</v>
      </c>
      <c r="D169" s="64"/>
      <c r="E169" s="60"/>
      <c r="F169" s="60"/>
      <c r="G169" s="60"/>
      <c r="H169" s="60"/>
      <c r="I169" s="60"/>
      <c r="J169" s="73"/>
      <c r="K169" s="73"/>
      <c r="L169" s="74"/>
      <c r="M169" s="206"/>
      <c r="N169" s="206">
        <f t="shared" si="106"/>
        <v>2800</v>
      </c>
      <c r="O169" s="206"/>
      <c r="P169" s="206"/>
      <c r="Q169" s="206"/>
      <c r="R169" s="206"/>
      <c r="S169" s="206">
        <v>2800</v>
      </c>
      <c r="T169" s="46"/>
      <c r="U169" s="46"/>
      <c r="V169" s="85"/>
    </row>
    <row r="170" spans="1:26" x14ac:dyDescent="0.25">
      <c r="A170" s="322"/>
      <c r="B170" s="89" t="s">
        <v>263</v>
      </c>
      <c r="C170" s="183" t="s">
        <v>226</v>
      </c>
      <c r="D170" s="64"/>
      <c r="E170" s="60"/>
      <c r="F170" s="60"/>
      <c r="G170" s="60"/>
      <c r="H170" s="60"/>
      <c r="I170" s="60"/>
      <c r="J170" s="73"/>
      <c r="K170" s="73"/>
      <c r="L170" s="74"/>
      <c r="M170" s="206"/>
      <c r="N170" s="206">
        <f>O170</f>
        <v>508591</v>
      </c>
      <c r="O170" s="206">
        <v>508591</v>
      </c>
      <c r="P170" s="206"/>
      <c r="Q170" s="206"/>
      <c r="R170" s="206"/>
      <c r="S170" s="206"/>
      <c r="T170" s="46">
        <f>O170</f>
        <v>508591</v>
      </c>
      <c r="U170" s="46">
        <f>T170</f>
        <v>508591</v>
      </c>
    </row>
    <row r="171" spans="1:26" x14ac:dyDescent="0.25">
      <c r="A171" s="322"/>
      <c r="B171" s="101" t="s">
        <v>112</v>
      </c>
      <c r="C171" s="101"/>
      <c r="D171" s="69"/>
      <c r="E171" s="102">
        <f t="shared" ref="E171:F171" si="107">E147+E156+E162</f>
        <v>825</v>
      </c>
      <c r="F171" s="102">
        <f t="shared" si="107"/>
        <v>825</v>
      </c>
      <c r="G171" s="102">
        <f>G147+G156+G162</f>
        <v>825</v>
      </c>
      <c r="H171" s="102">
        <f>H147+H156+H162</f>
        <v>825</v>
      </c>
      <c r="I171" s="102">
        <f>I147+I156+I162</f>
        <v>825</v>
      </c>
      <c r="J171" s="104"/>
      <c r="K171" s="104"/>
      <c r="L171" s="103"/>
      <c r="M171" s="138"/>
      <c r="N171" s="138">
        <f>SUM(O171:S171)</f>
        <v>52229427.001922011</v>
      </c>
      <c r="O171" s="138">
        <f>O147+O156+O162+O165+O170</f>
        <v>34835138.000000007</v>
      </c>
      <c r="P171" s="138">
        <f>P147+P156+P162+P165+P166+P167+P168</f>
        <v>8111628.0019244989</v>
      </c>
      <c r="Q171" s="138">
        <f t="shared" ref="Q171" si="108">Q147+Q156+Q162+Q165+Q166+Q167+Q168</f>
        <v>0</v>
      </c>
      <c r="R171" s="138">
        <f>R147+R156+R162+R165+R166+R167+R168+R169</f>
        <v>9100160.9999975003</v>
      </c>
      <c r="S171" s="138">
        <f>S147+S156+S162+S165+S166+S167+S168+S169</f>
        <v>182500</v>
      </c>
      <c r="T171" s="138">
        <f>T147+T156+T162+T165+T166+T167+T168+T169+T170</f>
        <v>52226627.001922004</v>
      </c>
      <c r="U171" s="138">
        <f>U147+U156+U162+U165+U166+U167+U168+U169+U170</f>
        <v>52226627.001922004</v>
      </c>
      <c r="V171" s="80">
        <v>9100161</v>
      </c>
      <c r="W171" s="85">
        <f>V171-R171</f>
        <v>2.4996697902679443E-6</v>
      </c>
      <c r="X171" s="80">
        <f>W171/I171</f>
        <v>3.0299027760823568E-9</v>
      </c>
    </row>
    <row r="172" spans="1:26" ht="225" x14ac:dyDescent="0.25">
      <c r="A172" s="322" t="s">
        <v>119</v>
      </c>
      <c r="B172" s="323" t="s">
        <v>237</v>
      </c>
      <c r="C172" s="61" t="s">
        <v>120</v>
      </c>
      <c r="D172" s="62" t="s">
        <v>121</v>
      </c>
      <c r="E172" s="121" t="s">
        <v>192</v>
      </c>
      <c r="F172" s="121" t="s">
        <v>192</v>
      </c>
      <c r="G172" s="121" t="s">
        <v>192</v>
      </c>
      <c r="H172" s="121" t="s">
        <v>192</v>
      </c>
      <c r="I172" s="121" t="s">
        <v>192</v>
      </c>
      <c r="J172" s="107" t="s">
        <v>261</v>
      </c>
      <c r="K172" s="107" t="s">
        <v>297</v>
      </c>
      <c r="L172" s="70" t="s">
        <v>298</v>
      </c>
      <c r="M172" s="201" t="s">
        <v>320</v>
      </c>
      <c r="N172" s="202">
        <f>SUM(O172:R172)</f>
        <v>3508473.13982902</v>
      </c>
      <c r="O172" s="202">
        <f>(668575.57*3)+((1329.32*67)/12*8+(1329.32*67)/12*4)-0.44</f>
        <v>2094790.71</v>
      </c>
      <c r="P172" s="202">
        <f>((4001.99*2.411294*67)/12*8)+((4001.99*2.411294*67)/12*4)-0.44</f>
        <v>646547.84982901998</v>
      </c>
      <c r="Q172" s="202"/>
      <c r="R172" s="46">
        <f>((11449.74*67)/12*8)+((11449.74*67)/12*4)+2</f>
        <v>767134.58</v>
      </c>
      <c r="S172" s="46"/>
      <c r="T172" s="46">
        <f>N172</f>
        <v>3508473.13982902</v>
      </c>
      <c r="U172" s="46">
        <f>T172</f>
        <v>3508473.13982902</v>
      </c>
      <c r="V172" s="80">
        <f>N172/3</f>
        <v>1169491.0466096734</v>
      </c>
      <c r="W172" s="80">
        <f>12300.53*67</f>
        <v>824135.51</v>
      </c>
      <c r="X172" s="80">
        <f>1342.39+12011.78+(4001.99*2.3654)</f>
        <v>22820.477146000001</v>
      </c>
      <c r="Y172" s="80">
        <f>4001.99*2.3654</f>
        <v>9466.307146000001</v>
      </c>
    </row>
    <row r="173" spans="1:26" ht="240" x14ac:dyDescent="0.25">
      <c r="A173" s="322"/>
      <c r="B173" s="323"/>
      <c r="C173" s="61" t="s">
        <v>128</v>
      </c>
      <c r="D173" s="62" t="s">
        <v>121</v>
      </c>
      <c r="E173" s="121" t="s">
        <v>300</v>
      </c>
      <c r="F173" s="121" t="s">
        <v>300</v>
      </c>
      <c r="G173" s="121" t="s">
        <v>300</v>
      </c>
      <c r="H173" s="121" t="s">
        <v>300</v>
      </c>
      <c r="I173" s="121" t="s">
        <v>300</v>
      </c>
      <c r="J173" s="107" t="s">
        <v>262</v>
      </c>
      <c r="K173" s="107" t="s">
        <v>299</v>
      </c>
      <c r="L173" s="70" t="s">
        <v>298</v>
      </c>
      <c r="M173" s="201" t="s">
        <v>320</v>
      </c>
      <c r="N173" s="202">
        <f>SUM(O173:R173)</f>
        <v>1010207.7460760199</v>
      </c>
      <c r="O173" s="202">
        <f>(((628912.16*1)/12*8+(628912.16*1)/12*4)+((1329.32*17)/12*8+(1329.32*17)/12*4))</f>
        <v>651510.6</v>
      </c>
      <c r="P173" s="202">
        <f>((4001.99*2.411294*17)/12*8)+((4001.99*2.411294*17)/12*4)</f>
        <v>164049.56607601998</v>
      </c>
      <c r="Q173" s="202"/>
      <c r="R173" s="46">
        <f>((11449.74*17)/12*8)+((11449.74*17)/12*4)+2</f>
        <v>194647.58</v>
      </c>
      <c r="S173" s="46"/>
      <c r="T173" s="46">
        <f>N173</f>
        <v>1010207.7460760199</v>
      </c>
      <c r="U173" s="46">
        <f>T173</f>
        <v>1010207.7460760199</v>
      </c>
      <c r="W173" s="80">
        <f>12300.53*19</f>
        <v>233710.07</v>
      </c>
    </row>
    <row r="174" spans="1:26" ht="120" x14ac:dyDescent="0.25">
      <c r="A174" s="322"/>
      <c r="B174" s="323"/>
      <c r="C174" s="63" t="s">
        <v>102</v>
      </c>
      <c r="D174" s="64" t="s">
        <v>101</v>
      </c>
      <c r="E174" s="65"/>
      <c r="F174" s="65"/>
      <c r="G174" s="65"/>
      <c r="H174" s="65"/>
      <c r="I174" s="65"/>
      <c r="J174" s="150" t="s">
        <v>103</v>
      </c>
      <c r="K174" s="150" t="s">
        <v>103</v>
      </c>
      <c r="L174" s="150" t="s">
        <v>103</v>
      </c>
      <c r="M174" s="207" t="s">
        <v>103</v>
      </c>
      <c r="N174" s="202">
        <f t="shared" ref="N174:N178" si="109">SUM(O174:R174)</f>
        <v>0</v>
      </c>
      <c r="O174" s="207" t="s">
        <v>103</v>
      </c>
      <c r="P174" s="207" t="s">
        <v>103</v>
      </c>
      <c r="Q174" s="207"/>
      <c r="R174" s="207" t="s">
        <v>103</v>
      </c>
      <c r="S174" s="207"/>
      <c r="T174" s="46">
        <f t="shared" ref="T174:T178" si="110">N174</f>
        <v>0</v>
      </c>
      <c r="U174" s="46">
        <f t="shared" ref="U174:U178" si="111">T174</f>
        <v>0</v>
      </c>
    </row>
    <row r="175" spans="1:26" x14ac:dyDescent="0.25">
      <c r="A175" s="322"/>
      <c r="B175" s="323"/>
      <c r="C175" s="63" t="s">
        <v>166</v>
      </c>
      <c r="D175" s="64" t="s">
        <v>101</v>
      </c>
      <c r="E175" s="59">
        <v>5</v>
      </c>
      <c r="F175" s="59">
        <v>5</v>
      </c>
      <c r="G175" s="59">
        <v>5</v>
      </c>
      <c r="H175" s="59">
        <v>5</v>
      </c>
      <c r="I175" s="59">
        <v>5</v>
      </c>
      <c r="J175" s="75">
        <f>K175</f>
        <v>80183.77</v>
      </c>
      <c r="K175" s="75">
        <v>80183.77</v>
      </c>
      <c r="L175" s="72"/>
      <c r="M175" s="205"/>
      <c r="N175" s="202">
        <f t="shared" si="109"/>
        <v>400918.85000000003</v>
      </c>
      <c r="O175" s="202">
        <f>G175*K175</f>
        <v>400918.85000000003</v>
      </c>
      <c r="P175" s="202"/>
      <c r="Q175" s="202"/>
      <c r="R175" s="209"/>
      <c r="S175" s="209"/>
      <c r="T175" s="46">
        <f t="shared" si="110"/>
        <v>400918.85000000003</v>
      </c>
      <c r="U175" s="46">
        <f t="shared" si="111"/>
        <v>400918.85000000003</v>
      </c>
    </row>
    <row r="176" spans="1:26" x14ac:dyDescent="0.25">
      <c r="A176" s="322"/>
      <c r="B176" s="323"/>
      <c r="C176" s="63" t="s">
        <v>168</v>
      </c>
      <c r="D176" s="64" t="s">
        <v>101</v>
      </c>
      <c r="E176" s="59">
        <v>1</v>
      </c>
      <c r="F176" s="59">
        <v>1</v>
      </c>
      <c r="G176" s="59">
        <v>1</v>
      </c>
      <c r="H176" s="59">
        <v>1</v>
      </c>
      <c r="I176" s="59">
        <v>1</v>
      </c>
      <c r="J176" s="75">
        <f>K176</f>
        <v>28342.92</v>
      </c>
      <c r="K176" s="75">
        <v>28342.92</v>
      </c>
      <c r="L176" s="72"/>
      <c r="M176" s="205"/>
      <c r="N176" s="202">
        <f t="shared" si="109"/>
        <v>28342.92</v>
      </c>
      <c r="O176" s="202">
        <f>G176*K176</f>
        <v>28342.92</v>
      </c>
      <c r="P176" s="202"/>
      <c r="Q176" s="202"/>
      <c r="R176" s="209"/>
      <c r="S176" s="209"/>
      <c r="T176" s="46">
        <f t="shared" si="110"/>
        <v>28342.92</v>
      </c>
      <c r="U176" s="46">
        <f t="shared" si="111"/>
        <v>28342.92</v>
      </c>
    </row>
    <row r="177" spans="1:24" ht="120" x14ac:dyDescent="0.25">
      <c r="A177" s="322"/>
      <c r="B177" s="323"/>
      <c r="C177" s="61" t="s">
        <v>173</v>
      </c>
      <c r="D177" s="64" t="s">
        <v>101</v>
      </c>
      <c r="E177" s="59">
        <v>1</v>
      </c>
      <c r="F177" s="59">
        <v>1</v>
      </c>
      <c r="G177" s="59">
        <v>1</v>
      </c>
      <c r="H177" s="59">
        <v>1</v>
      </c>
      <c r="I177" s="59">
        <v>1</v>
      </c>
      <c r="J177" s="75">
        <f>K177</f>
        <v>182344.64</v>
      </c>
      <c r="K177" s="75">
        <f>181015.32+1329.32</f>
        <v>182344.64</v>
      </c>
      <c r="L177" s="70" t="s">
        <v>298</v>
      </c>
      <c r="M177" s="201" t="s">
        <v>320</v>
      </c>
      <c r="N177" s="202">
        <f t="shared" si="109"/>
        <v>203446.35447506001</v>
      </c>
      <c r="O177" s="202">
        <f>G177*K177</f>
        <v>182344.64</v>
      </c>
      <c r="P177" s="202">
        <f>G177*4001.99*2.411294</f>
        <v>9649.9744750599984</v>
      </c>
      <c r="Q177" s="202"/>
      <c r="R177" s="202">
        <f>G177*11449.74+2</f>
        <v>11451.74</v>
      </c>
      <c r="S177" s="209"/>
      <c r="T177" s="46">
        <f t="shared" si="110"/>
        <v>203446.35447506001</v>
      </c>
      <c r="U177" s="46">
        <f t="shared" si="111"/>
        <v>203446.35447506001</v>
      </c>
    </row>
    <row r="178" spans="1:24" ht="105" x14ac:dyDescent="0.25">
      <c r="A178" s="322"/>
      <c r="B178" s="323"/>
      <c r="C178" s="61" t="s">
        <v>174</v>
      </c>
      <c r="D178" s="64" t="s">
        <v>101</v>
      </c>
      <c r="E178" s="59"/>
      <c r="F178" s="59"/>
      <c r="G178" s="59">
        <f t="shared" ref="G178" si="112">((E178*8)+(F178*4))/12</f>
        <v>0</v>
      </c>
      <c r="H178" s="59"/>
      <c r="I178" s="59"/>
      <c r="J178" s="75">
        <f>K178</f>
        <v>25930.91</v>
      </c>
      <c r="K178" s="75">
        <v>25930.91</v>
      </c>
      <c r="L178" s="71" t="s">
        <v>104</v>
      </c>
      <c r="M178" s="202" t="s">
        <v>104</v>
      </c>
      <c r="N178" s="202">
        <f t="shared" si="109"/>
        <v>0</v>
      </c>
      <c r="O178" s="202">
        <f>G178*K178</f>
        <v>0</v>
      </c>
      <c r="P178" s="202" t="s">
        <v>104</v>
      </c>
      <c r="Q178" s="202"/>
      <c r="R178" s="209" t="s">
        <v>104</v>
      </c>
      <c r="S178" s="209"/>
      <c r="T178" s="46">
        <f t="shared" si="110"/>
        <v>0</v>
      </c>
      <c r="U178" s="46">
        <f t="shared" si="111"/>
        <v>0</v>
      </c>
    </row>
    <row r="179" spans="1:24" x14ac:dyDescent="0.25">
      <c r="A179" s="322"/>
      <c r="B179" s="323"/>
      <c r="C179" s="66" t="s">
        <v>106</v>
      </c>
      <c r="D179" s="67"/>
      <c r="E179" s="121" t="s">
        <v>301</v>
      </c>
      <c r="F179" s="121" t="s">
        <v>301</v>
      </c>
      <c r="G179" s="121" t="s">
        <v>301</v>
      </c>
      <c r="H179" s="121" t="s">
        <v>301</v>
      </c>
      <c r="I179" s="121" t="s">
        <v>301</v>
      </c>
      <c r="J179" s="71" t="s">
        <v>104</v>
      </c>
      <c r="K179" s="71" t="s">
        <v>104</v>
      </c>
      <c r="L179" s="71" t="s">
        <v>104</v>
      </c>
      <c r="M179" s="202" t="s">
        <v>104</v>
      </c>
      <c r="N179" s="202">
        <f>SUM(O179:R179)</f>
        <v>5151389.0103801005</v>
      </c>
      <c r="O179" s="202">
        <f>SUM(O172:O178)</f>
        <v>3357907.72</v>
      </c>
      <c r="P179" s="202">
        <f>SUM(P172:P178)</f>
        <v>820247.3903801</v>
      </c>
      <c r="Q179" s="202"/>
      <c r="R179" s="202">
        <f t="shared" ref="R179:U179" si="113">SUM(R172:R178)</f>
        <v>973233.89999999991</v>
      </c>
      <c r="S179" s="202"/>
      <c r="T179" s="202">
        <f>SUM(T172:T178)</f>
        <v>5151389.0103801005</v>
      </c>
      <c r="U179" s="202">
        <f t="shared" si="113"/>
        <v>5151389.0103801005</v>
      </c>
    </row>
    <row r="180" spans="1:24" ht="225" x14ac:dyDescent="0.25">
      <c r="A180" s="322"/>
      <c r="B180" s="323" t="s">
        <v>238</v>
      </c>
      <c r="C180" s="61" t="s">
        <v>120</v>
      </c>
      <c r="D180" s="62" t="s">
        <v>121</v>
      </c>
      <c r="E180" s="121" t="s">
        <v>302</v>
      </c>
      <c r="F180" s="121" t="s">
        <v>302</v>
      </c>
      <c r="G180" s="121" t="s">
        <v>302</v>
      </c>
      <c r="H180" s="121" t="s">
        <v>302</v>
      </c>
      <c r="I180" s="121" t="s">
        <v>302</v>
      </c>
      <c r="J180" s="107" t="s">
        <v>305</v>
      </c>
      <c r="K180" s="107" t="s">
        <v>306</v>
      </c>
      <c r="L180" s="70" t="s">
        <v>298</v>
      </c>
      <c r="M180" s="201" t="s">
        <v>320</v>
      </c>
      <c r="N180" s="202">
        <f t="shared" ref="N180:N181" si="114">SUM(O180:R180)</f>
        <v>4269620.9822043199</v>
      </c>
      <c r="O180" s="202">
        <f>(((877875.1*3)/12*8+(877875.1*3)/12*4)+((1622.42*72)/12*8+(1622.42*72)/12*4))</f>
        <v>2750439.54</v>
      </c>
      <c r="P180" s="202">
        <f>((4001.99*2.411294*72)/12*8)+((4001.99*2.411294*72)/12*4)</f>
        <v>694798.16220431984</v>
      </c>
      <c r="Q180" s="202"/>
      <c r="R180" s="202">
        <f>((11449.74*72)/12*8)+((11449.74*72)/12*4)+2</f>
        <v>824383.28</v>
      </c>
      <c r="S180" s="202"/>
      <c r="T180" s="46">
        <f>N180</f>
        <v>4269620.9822043199</v>
      </c>
      <c r="U180" s="46">
        <f>T180</f>
        <v>4269620.9822043199</v>
      </c>
      <c r="V180" s="124"/>
      <c r="W180" s="80">
        <f>12300.53*86</f>
        <v>1057845.58</v>
      </c>
    </row>
    <row r="181" spans="1:24" ht="240" x14ac:dyDescent="0.25">
      <c r="A181" s="322"/>
      <c r="B181" s="323"/>
      <c r="C181" s="61" t="s">
        <v>128</v>
      </c>
      <c r="D181" s="62" t="s">
        <v>121</v>
      </c>
      <c r="E181" s="79" t="s">
        <v>303</v>
      </c>
      <c r="F181" s="79" t="s">
        <v>303</v>
      </c>
      <c r="G181" s="79" t="s">
        <v>303</v>
      </c>
      <c r="H181" s="79" t="s">
        <v>303</v>
      </c>
      <c r="I181" s="79" t="s">
        <v>303</v>
      </c>
      <c r="J181" s="107" t="s">
        <v>307</v>
      </c>
      <c r="K181" s="107" t="s">
        <v>304</v>
      </c>
      <c r="L181" s="70" t="s">
        <v>298</v>
      </c>
      <c r="M181" s="201" t="s">
        <v>320</v>
      </c>
      <c r="N181" s="202">
        <f t="shared" si="114"/>
        <v>3361715.7569026398</v>
      </c>
      <c r="O181" s="202">
        <f>(((787313.28*3)/12*8+(787313.28*3)/12*4)+((1622.42*44)/12*8+(1622.42*44)/12*4))</f>
        <v>2433326.3199999998</v>
      </c>
      <c r="P181" s="202">
        <f>((4001.99*2.411294*44)/12*8)+((4001.99*2.411294*44)/12*4)</f>
        <v>424598.87690263992</v>
      </c>
      <c r="Q181" s="202"/>
      <c r="R181" s="202">
        <f>((11449.74*44)/12*8)+((11449.74*44)/12*4)+2</f>
        <v>503790.55999999994</v>
      </c>
      <c r="S181" s="202"/>
      <c r="T181" s="46">
        <f>N181</f>
        <v>3361715.7569026398</v>
      </c>
      <c r="U181" s="46">
        <f>T181</f>
        <v>3361715.7569026398</v>
      </c>
      <c r="W181" s="80">
        <f>12300.53*29</f>
        <v>356715.37</v>
      </c>
      <c r="X181" s="80">
        <f>1638.38+12011.78+(4001.99*2.3654)</f>
        <v>23116.467146000003</v>
      </c>
    </row>
    <row r="182" spans="1:24" ht="135" x14ac:dyDescent="0.25">
      <c r="A182" s="322"/>
      <c r="B182" s="323"/>
      <c r="C182" s="63" t="s">
        <v>163</v>
      </c>
      <c r="D182" s="64" t="s">
        <v>101</v>
      </c>
      <c r="E182" s="59" t="s">
        <v>104</v>
      </c>
      <c r="F182" s="59" t="s">
        <v>104</v>
      </c>
      <c r="G182" s="59" t="s">
        <v>104</v>
      </c>
      <c r="H182" s="59" t="s">
        <v>104</v>
      </c>
      <c r="I182" s="59" t="s">
        <v>104</v>
      </c>
      <c r="J182" s="59" t="s">
        <v>104</v>
      </c>
      <c r="K182" s="59" t="s">
        <v>104</v>
      </c>
      <c r="L182" s="59" t="s">
        <v>104</v>
      </c>
      <c r="M182" s="123" t="s">
        <v>104</v>
      </c>
      <c r="N182" s="202"/>
      <c r="O182" s="202"/>
      <c r="P182" s="123" t="s">
        <v>104</v>
      </c>
      <c r="Q182" s="123"/>
      <c r="R182" s="123" t="s">
        <v>104</v>
      </c>
      <c r="S182" s="123"/>
      <c r="T182" s="46"/>
      <c r="U182" s="46"/>
    </row>
    <row r="183" spans="1:24" x14ac:dyDescent="0.25">
      <c r="A183" s="322"/>
      <c r="B183" s="191"/>
      <c r="C183" s="63" t="s">
        <v>165</v>
      </c>
      <c r="D183" s="64"/>
      <c r="E183" s="60">
        <v>1</v>
      </c>
      <c r="F183" s="60">
        <v>1</v>
      </c>
      <c r="G183" s="60">
        <v>1</v>
      </c>
      <c r="H183" s="60">
        <v>1</v>
      </c>
      <c r="I183" s="60">
        <v>1</v>
      </c>
      <c r="J183" s="75">
        <f>K183</f>
        <v>112063.65</v>
      </c>
      <c r="K183" s="75">
        <v>112063.65</v>
      </c>
      <c r="L183" s="59" t="s">
        <v>104</v>
      </c>
      <c r="M183" s="123" t="s">
        <v>104</v>
      </c>
      <c r="N183" s="202">
        <f>O183</f>
        <v>112063.65</v>
      </c>
      <c r="O183" s="200">
        <f>G183*K183</f>
        <v>112063.65</v>
      </c>
      <c r="P183" s="123" t="s">
        <v>104</v>
      </c>
      <c r="Q183" s="123"/>
      <c r="R183" s="123" t="s">
        <v>104</v>
      </c>
      <c r="S183" s="123"/>
      <c r="T183" s="46">
        <f>H183*K183</f>
        <v>112063.65</v>
      </c>
      <c r="U183" s="46">
        <f>I183*K183</f>
        <v>112063.65</v>
      </c>
    </row>
    <row r="184" spans="1:24" x14ac:dyDescent="0.25">
      <c r="A184" s="322"/>
      <c r="B184" s="191"/>
      <c r="C184" s="63" t="s">
        <v>168</v>
      </c>
      <c r="D184" s="64"/>
      <c r="E184" s="60">
        <v>1</v>
      </c>
      <c r="F184" s="60">
        <v>1</v>
      </c>
      <c r="G184" s="60">
        <v>1</v>
      </c>
      <c r="H184" s="60">
        <v>1</v>
      </c>
      <c r="I184" s="60">
        <v>1</v>
      </c>
      <c r="J184" s="75">
        <f>K184</f>
        <v>28342.92</v>
      </c>
      <c r="K184" s="75">
        <v>28342.92</v>
      </c>
      <c r="L184" s="105" t="s">
        <v>104</v>
      </c>
      <c r="M184" s="123" t="s">
        <v>104</v>
      </c>
      <c r="N184" s="202">
        <f>O184</f>
        <v>28342.92</v>
      </c>
      <c r="O184" s="200">
        <f>G184*K184</f>
        <v>28342.92</v>
      </c>
      <c r="P184" s="123" t="s">
        <v>104</v>
      </c>
      <c r="Q184" s="123"/>
      <c r="R184" s="123" t="s">
        <v>104</v>
      </c>
      <c r="S184" s="123"/>
      <c r="T184" s="46">
        <f>H184*K184</f>
        <v>28342.92</v>
      </c>
      <c r="U184" s="46">
        <f>I184*K184</f>
        <v>28342.92</v>
      </c>
    </row>
    <row r="185" spans="1:24" ht="120" x14ac:dyDescent="0.25">
      <c r="A185" s="322"/>
      <c r="B185" s="191"/>
      <c r="C185" s="76" t="s">
        <v>173</v>
      </c>
      <c r="D185" s="64" t="s">
        <v>101</v>
      </c>
      <c r="E185" s="79"/>
      <c r="F185" s="79"/>
      <c r="G185" s="59"/>
      <c r="H185" s="79"/>
      <c r="I185" s="79"/>
      <c r="J185" s="75">
        <f>SUM(K185:M185)</f>
        <v>227533.04</v>
      </c>
      <c r="K185" s="75">
        <f>225910.62+1622.42</f>
        <v>227533.04</v>
      </c>
      <c r="L185" s="70" t="s">
        <v>298</v>
      </c>
      <c r="M185" s="201" t="s">
        <v>320</v>
      </c>
      <c r="N185" s="200">
        <f>SUM(O185:R185)</f>
        <v>0</v>
      </c>
      <c r="O185" s="200">
        <f>G185*K185</f>
        <v>0</v>
      </c>
      <c r="P185" s="200">
        <f>G185*4001.99*2.3654</f>
        <v>0</v>
      </c>
      <c r="Q185" s="200"/>
      <c r="R185" s="200"/>
      <c r="S185" s="200"/>
      <c r="T185" s="46">
        <f>N185</f>
        <v>0</v>
      </c>
      <c r="U185" s="46">
        <f>T185</f>
        <v>0</v>
      </c>
    </row>
    <row r="186" spans="1:24" ht="105" x14ac:dyDescent="0.25">
      <c r="A186" s="322"/>
      <c r="B186" s="191"/>
      <c r="C186" s="61" t="s">
        <v>174</v>
      </c>
      <c r="D186" s="64" t="s">
        <v>101</v>
      </c>
      <c r="E186" s="79">
        <v>2</v>
      </c>
      <c r="F186" s="79">
        <v>2</v>
      </c>
      <c r="G186" s="79">
        <v>2</v>
      </c>
      <c r="H186" s="79">
        <v>2</v>
      </c>
      <c r="I186" s="79">
        <v>2</v>
      </c>
      <c r="J186" s="75">
        <f>K186</f>
        <v>41057.29</v>
      </c>
      <c r="K186" s="75">
        <f>41057.29</f>
        <v>41057.29</v>
      </c>
      <c r="L186" s="74"/>
      <c r="M186" s="206"/>
      <c r="N186" s="200">
        <f>O186</f>
        <v>82114.58</v>
      </c>
      <c r="O186" s="200">
        <f>G186*K186</f>
        <v>82114.58</v>
      </c>
      <c r="P186" s="200"/>
      <c r="Q186" s="200"/>
      <c r="R186" s="200"/>
      <c r="S186" s="200"/>
      <c r="T186" s="46">
        <f>H186*K186</f>
        <v>82114.58</v>
      </c>
      <c r="U186" s="46">
        <f>I186*K186</f>
        <v>82114.58</v>
      </c>
    </row>
    <row r="187" spans="1:24" x14ac:dyDescent="0.25">
      <c r="A187" s="322"/>
      <c r="B187" s="191"/>
      <c r="C187" s="66" t="s">
        <v>106</v>
      </c>
      <c r="D187" s="64"/>
      <c r="E187" s="77" t="s">
        <v>202</v>
      </c>
      <c r="F187" s="77" t="s">
        <v>202</v>
      </c>
      <c r="G187" s="77" t="s">
        <v>202</v>
      </c>
      <c r="H187" s="77" t="s">
        <v>202</v>
      </c>
      <c r="I187" s="77" t="s">
        <v>202</v>
      </c>
      <c r="J187" s="73" t="s">
        <v>104</v>
      </c>
      <c r="K187" s="73" t="s">
        <v>104</v>
      </c>
      <c r="L187" s="74" t="s">
        <v>104</v>
      </c>
      <c r="M187" s="206" t="s">
        <v>104</v>
      </c>
      <c r="N187" s="206">
        <f>SUM(O187:R187)</f>
        <v>7853857.8891069591</v>
      </c>
      <c r="O187" s="206">
        <f>SUM(O180:O186)</f>
        <v>5406287.0099999998</v>
      </c>
      <c r="P187" s="206">
        <f>SUM(P180:P186)</f>
        <v>1119397.0391069597</v>
      </c>
      <c r="Q187" s="206"/>
      <c r="R187" s="206">
        <f t="shared" ref="R187" si="115">SUM(R180:R186)</f>
        <v>1328173.8399999999</v>
      </c>
      <c r="S187" s="206"/>
      <c r="T187" s="206">
        <f>N187</f>
        <v>7853857.8891069591</v>
      </c>
      <c r="U187" s="206">
        <f>T187</f>
        <v>7853857.8891069591</v>
      </c>
    </row>
    <row r="188" spans="1:24" ht="240" x14ac:dyDescent="0.25">
      <c r="A188" s="322"/>
      <c r="B188" s="194" t="s">
        <v>239</v>
      </c>
      <c r="C188" s="61" t="s">
        <v>128</v>
      </c>
      <c r="D188" s="62" t="s">
        <v>121</v>
      </c>
      <c r="E188" s="121" t="s">
        <v>149</v>
      </c>
      <c r="F188" s="121" t="s">
        <v>149</v>
      </c>
      <c r="G188" s="121" t="s">
        <v>149</v>
      </c>
      <c r="H188" s="121" t="s">
        <v>149</v>
      </c>
      <c r="I188" s="121" t="s">
        <v>149</v>
      </c>
      <c r="J188" s="107" t="s">
        <v>256</v>
      </c>
      <c r="K188" s="107" t="s">
        <v>309</v>
      </c>
      <c r="L188" s="70" t="s">
        <v>308</v>
      </c>
      <c r="M188" s="201" t="s">
        <v>320</v>
      </c>
      <c r="N188" s="200">
        <f>SUM(O188:R188)</f>
        <v>2074413.4960760199</v>
      </c>
      <c r="O188" s="202">
        <f>(841148.96*2)+((1965.79*17)/12*8+(1965.79*17)/12*4)</f>
        <v>1715716.3499999999</v>
      </c>
      <c r="P188" s="200">
        <f>((17*4001.99*2.411294)/12*8)+((17*4001.99*2.411294)/12*4)</f>
        <v>164049.56607601998</v>
      </c>
      <c r="Q188" s="200"/>
      <c r="R188" s="46">
        <f>11449.74*17+2</f>
        <v>194647.58</v>
      </c>
      <c r="S188" s="46"/>
      <c r="T188" s="46">
        <f>N188</f>
        <v>2074413.4960760199</v>
      </c>
      <c r="U188" s="46">
        <f>N188</f>
        <v>2074413.4960760199</v>
      </c>
    </row>
    <row r="189" spans="1:24" ht="135" x14ac:dyDescent="0.25">
      <c r="A189" s="322"/>
      <c r="B189" s="191"/>
      <c r="C189" s="63" t="s">
        <v>163</v>
      </c>
      <c r="D189" s="64" t="s">
        <v>101</v>
      </c>
      <c r="E189" s="121"/>
      <c r="F189" s="121"/>
      <c r="G189" s="121"/>
      <c r="H189" s="121"/>
      <c r="I189" s="121"/>
      <c r="J189" s="107"/>
      <c r="K189" s="107"/>
      <c r="L189" s="70"/>
      <c r="M189" s="201"/>
      <c r="N189" s="200"/>
      <c r="O189" s="202"/>
      <c r="P189" s="200"/>
      <c r="Q189" s="200"/>
      <c r="R189" s="46"/>
      <c r="S189" s="46"/>
      <c r="T189" s="46"/>
      <c r="U189" s="46"/>
    </row>
    <row r="190" spans="1:24" x14ac:dyDescent="0.25">
      <c r="A190" s="322"/>
      <c r="B190" s="191"/>
      <c r="C190" s="63" t="s">
        <v>165</v>
      </c>
      <c r="D190" s="64" t="s">
        <v>101</v>
      </c>
      <c r="E190" s="121"/>
      <c r="F190" s="121"/>
      <c r="G190" s="59"/>
      <c r="H190" s="121"/>
      <c r="I190" s="121"/>
      <c r="J190" s="107">
        <f>K190</f>
        <v>112063.65</v>
      </c>
      <c r="K190" s="107">
        <v>112063.65</v>
      </c>
      <c r="L190" s="70"/>
      <c r="M190" s="201"/>
      <c r="N190" s="200">
        <f>O190</f>
        <v>0</v>
      </c>
      <c r="O190" s="202">
        <f>K190*G190</f>
        <v>0</v>
      </c>
      <c r="P190" s="200"/>
      <c r="Q190" s="200"/>
      <c r="R190" s="46"/>
      <c r="S190" s="46"/>
      <c r="T190" s="46">
        <f>G190*K190</f>
        <v>0</v>
      </c>
      <c r="U190" s="46">
        <f>T190</f>
        <v>0</v>
      </c>
    </row>
    <row r="191" spans="1:24" x14ac:dyDescent="0.25">
      <c r="A191" s="322"/>
      <c r="B191" s="191"/>
      <c r="C191" s="63" t="s">
        <v>168</v>
      </c>
      <c r="D191" s="64" t="s">
        <v>101</v>
      </c>
      <c r="E191" s="121">
        <v>1</v>
      </c>
      <c r="F191" s="121">
        <v>1</v>
      </c>
      <c r="G191" s="121">
        <v>1</v>
      </c>
      <c r="H191" s="121">
        <v>1</v>
      </c>
      <c r="I191" s="121">
        <v>1</v>
      </c>
      <c r="J191" s="107">
        <f>K191</f>
        <v>28342.92</v>
      </c>
      <c r="K191" s="107">
        <v>28342.92</v>
      </c>
      <c r="L191" s="70"/>
      <c r="M191" s="201"/>
      <c r="N191" s="200">
        <f>O191</f>
        <v>28342.92</v>
      </c>
      <c r="O191" s="202">
        <f>K191*G191</f>
        <v>28342.92</v>
      </c>
      <c r="P191" s="200"/>
      <c r="Q191" s="200"/>
      <c r="R191" s="46"/>
      <c r="S191" s="46"/>
      <c r="T191" s="46">
        <f>G191*K191</f>
        <v>28342.92</v>
      </c>
      <c r="U191" s="46">
        <f>T191</f>
        <v>28342.92</v>
      </c>
    </row>
    <row r="192" spans="1:24" x14ac:dyDescent="0.25">
      <c r="A192" s="322"/>
      <c r="B192" s="191"/>
      <c r="C192" s="66" t="s">
        <v>106</v>
      </c>
      <c r="D192" s="64"/>
      <c r="E192" s="121" t="str">
        <f>E188</f>
        <v>2\17</v>
      </c>
      <c r="F192" s="121" t="str">
        <f>F188</f>
        <v>2\17</v>
      </c>
      <c r="G192" s="121" t="str">
        <f>G188</f>
        <v>2\17</v>
      </c>
      <c r="H192" s="121" t="str">
        <f>H188</f>
        <v>2\17</v>
      </c>
      <c r="I192" s="121" t="str">
        <f>I188</f>
        <v>2\17</v>
      </c>
      <c r="J192" s="73" t="s">
        <v>104</v>
      </c>
      <c r="K192" s="73" t="s">
        <v>104</v>
      </c>
      <c r="L192" s="74" t="s">
        <v>104</v>
      </c>
      <c r="M192" s="206" t="s">
        <v>104</v>
      </c>
      <c r="N192" s="206">
        <f>SUM(N188:N191)</f>
        <v>2102756.4160760199</v>
      </c>
      <c r="O192" s="206">
        <f>SUM(O188:O191)</f>
        <v>1744059.2699999998</v>
      </c>
      <c r="P192" s="206">
        <f t="shared" ref="P192:U192" si="116">SUM(P188:P191)</f>
        <v>164049.56607601998</v>
      </c>
      <c r="Q192" s="206"/>
      <c r="R192" s="206">
        <f>SUM(R188:R191)</f>
        <v>194647.58</v>
      </c>
      <c r="S192" s="206"/>
      <c r="T192" s="206">
        <f t="shared" si="116"/>
        <v>2102756.4160760199</v>
      </c>
      <c r="U192" s="206">
        <f t="shared" si="116"/>
        <v>2102756.4160760199</v>
      </c>
    </row>
    <row r="193" spans="1:24" ht="102" customHeight="1" x14ac:dyDescent="0.25">
      <c r="A193" s="322"/>
      <c r="B193" s="137" t="s">
        <v>240</v>
      </c>
      <c r="C193" s="61" t="s">
        <v>186</v>
      </c>
      <c r="D193" s="64" t="s">
        <v>101</v>
      </c>
      <c r="E193" s="60">
        <v>299</v>
      </c>
      <c r="F193" s="60">
        <v>299</v>
      </c>
      <c r="G193" s="60">
        <v>299</v>
      </c>
      <c r="H193" s="60">
        <v>299</v>
      </c>
      <c r="I193" s="60">
        <v>299</v>
      </c>
      <c r="J193" s="75">
        <f>K193</f>
        <v>4982.75</v>
      </c>
      <c r="K193" s="75">
        <v>4982.75</v>
      </c>
      <c r="L193" s="72" t="s">
        <v>104</v>
      </c>
      <c r="M193" s="205" t="s">
        <v>104</v>
      </c>
      <c r="N193" s="200">
        <f>SUM(O193:R193)</f>
        <v>1489843</v>
      </c>
      <c r="O193" s="200">
        <f>K193*G193+0.75</f>
        <v>1489843</v>
      </c>
      <c r="P193" s="200" t="s">
        <v>104</v>
      </c>
      <c r="Q193" s="200"/>
      <c r="R193" s="200" t="s">
        <v>104</v>
      </c>
      <c r="S193" s="200"/>
      <c r="T193" s="46">
        <f>N193</f>
        <v>1489843</v>
      </c>
      <c r="U193" s="46">
        <f t="shared" ref="U193:U199" si="117">T193</f>
        <v>1489843</v>
      </c>
    </row>
    <row r="194" spans="1:24" x14ac:dyDescent="0.25">
      <c r="A194" s="322"/>
      <c r="B194" s="69"/>
      <c r="C194" s="66" t="s">
        <v>106</v>
      </c>
      <c r="D194" s="69"/>
      <c r="E194" s="60">
        <f>SUM(E193:E193)</f>
        <v>299</v>
      </c>
      <c r="F194" s="60">
        <f>SUM(F193:F193)</f>
        <v>299</v>
      </c>
      <c r="G194" s="60">
        <f>SUM(G193:G193)</f>
        <v>299</v>
      </c>
      <c r="H194" s="60">
        <f>SUM(H193:H193)</f>
        <v>299</v>
      </c>
      <c r="I194" s="60">
        <f>SUM(I193:I193)</f>
        <v>299</v>
      </c>
      <c r="J194" s="74" t="s">
        <v>104</v>
      </c>
      <c r="K194" s="74" t="s">
        <v>104</v>
      </c>
      <c r="L194" s="74" t="s">
        <v>104</v>
      </c>
      <c r="M194" s="206">
        <f t="shared" ref="M194:R194" si="118">SUM(M193:M193)</f>
        <v>0</v>
      </c>
      <c r="N194" s="206">
        <f t="shared" si="118"/>
        <v>1489843</v>
      </c>
      <c r="O194" s="206">
        <f t="shared" si="118"/>
        <v>1489843</v>
      </c>
      <c r="P194" s="206">
        <f t="shared" si="118"/>
        <v>0</v>
      </c>
      <c r="Q194" s="206"/>
      <c r="R194" s="206">
        <f t="shared" si="118"/>
        <v>0</v>
      </c>
      <c r="S194" s="206"/>
      <c r="T194" s="206">
        <f>N194</f>
        <v>1489843</v>
      </c>
      <c r="U194" s="46">
        <f t="shared" si="117"/>
        <v>1489843</v>
      </c>
    </row>
    <row r="195" spans="1:24" x14ac:dyDescent="0.25">
      <c r="A195" s="322"/>
      <c r="B195" s="69" t="s">
        <v>296</v>
      </c>
      <c r="C195" s="66" t="s">
        <v>226</v>
      </c>
      <c r="D195" s="69"/>
      <c r="E195" s="60"/>
      <c r="F195" s="60"/>
      <c r="G195" s="60"/>
      <c r="H195" s="60"/>
      <c r="I195" s="60"/>
      <c r="J195" s="74"/>
      <c r="K195" s="74"/>
      <c r="L195" s="74"/>
      <c r="M195" s="206"/>
      <c r="N195" s="206">
        <f>P195</f>
        <v>39742</v>
      </c>
      <c r="O195" s="206"/>
      <c r="P195" s="206">
        <v>39742</v>
      </c>
      <c r="Q195" s="206"/>
      <c r="R195" s="206"/>
      <c r="S195" s="206"/>
      <c r="T195" s="206">
        <f>P195</f>
        <v>39742</v>
      </c>
      <c r="U195" s="206">
        <f t="shared" si="117"/>
        <v>39742</v>
      </c>
    </row>
    <row r="196" spans="1:24" x14ac:dyDescent="0.25">
      <c r="A196" s="322"/>
      <c r="B196" s="89" t="s">
        <v>225</v>
      </c>
      <c r="C196" s="183" t="s">
        <v>219</v>
      </c>
      <c r="D196" s="64" t="s">
        <v>101</v>
      </c>
      <c r="E196" s="60">
        <v>11</v>
      </c>
      <c r="F196" s="60">
        <v>11</v>
      </c>
      <c r="G196" s="60">
        <v>11</v>
      </c>
      <c r="H196" s="60">
        <v>11</v>
      </c>
      <c r="I196" s="60">
        <v>11</v>
      </c>
      <c r="J196" s="74"/>
      <c r="K196" s="74"/>
      <c r="L196" s="74"/>
      <c r="M196" s="206"/>
      <c r="N196" s="206">
        <f>S196</f>
        <v>1880332</v>
      </c>
      <c r="O196" s="206"/>
      <c r="P196" s="206"/>
      <c r="Q196" s="206"/>
      <c r="R196" s="206"/>
      <c r="S196" s="206">
        <v>1880332</v>
      </c>
      <c r="T196" s="206">
        <f>S196</f>
        <v>1880332</v>
      </c>
      <c r="U196" s="206">
        <f t="shared" si="117"/>
        <v>1880332</v>
      </c>
    </row>
    <row r="197" spans="1:24" x14ac:dyDescent="0.25">
      <c r="A197" s="322"/>
      <c r="B197" s="89" t="s">
        <v>225</v>
      </c>
      <c r="C197" s="183" t="s">
        <v>226</v>
      </c>
      <c r="D197" s="64" t="s">
        <v>101</v>
      </c>
      <c r="E197" s="60"/>
      <c r="F197" s="60"/>
      <c r="G197" s="60"/>
      <c r="H197" s="60"/>
      <c r="I197" s="60"/>
      <c r="J197" s="74"/>
      <c r="K197" s="74"/>
      <c r="L197" s="74"/>
      <c r="M197" s="206"/>
      <c r="N197" s="206">
        <f t="shared" ref="N197:N198" si="119">S197</f>
        <v>0</v>
      </c>
      <c r="O197" s="206"/>
      <c r="P197" s="206"/>
      <c r="Q197" s="206">
        <v>21109</v>
      </c>
      <c r="R197" s="206"/>
      <c r="S197" s="206"/>
      <c r="T197" s="206"/>
      <c r="U197" s="206"/>
    </row>
    <row r="198" spans="1:24" x14ac:dyDescent="0.25">
      <c r="A198" s="322"/>
      <c r="B198" s="89" t="s">
        <v>295</v>
      </c>
      <c r="C198" s="183" t="s">
        <v>219</v>
      </c>
      <c r="D198" s="64"/>
      <c r="E198" s="60"/>
      <c r="F198" s="60"/>
      <c r="G198" s="60"/>
      <c r="H198" s="60"/>
      <c r="I198" s="60"/>
      <c r="J198" s="74"/>
      <c r="K198" s="74"/>
      <c r="L198" s="74"/>
      <c r="M198" s="206"/>
      <c r="N198" s="206">
        <f t="shared" si="119"/>
        <v>183935</v>
      </c>
      <c r="O198" s="206"/>
      <c r="P198" s="206"/>
      <c r="Q198" s="206"/>
      <c r="R198" s="206"/>
      <c r="S198" s="206">
        <v>183935</v>
      </c>
      <c r="T198" s="206"/>
      <c r="U198" s="206"/>
    </row>
    <row r="199" spans="1:24" x14ac:dyDescent="0.25">
      <c r="A199" s="322"/>
      <c r="B199" s="89" t="s">
        <v>263</v>
      </c>
      <c r="C199" s="183" t="s">
        <v>226</v>
      </c>
      <c r="D199" s="64"/>
      <c r="E199" s="60"/>
      <c r="F199" s="60"/>
      <c r="G199" s="60"/>
      <c r="H199" s="60"/>
      <c r="I199" s="60"/>
      <c r="J199" s="74"/>
      <c r="K199" s="74"/>
      <c r="L199" s="74"/>
      <c r="M199" s="206"/>
      <c r="N199" s="206">
        <f>O199</f>
        <v>42495</v>
      </c>
      <c r="O199" s="206">
        <v>42495</v>
      </c>
      <c r="P199" s="206"/>
      <c r="Q199" s="206"/>
      <c r="R199" s="206"/>
      <c r="S199" s="206"/>
      <c r="T199" s="206">
        <f>O199</f>
        <v>42495</v>
      </c>
      <c r="U199" s="206">
        <f t="shared" si="117"/>
        <v>42495</v>
      </c>
    </row>
    <row r="200" spans="1:24" x14ac:dyDescent="0.25">
      <c r="A200" s="322"/>
      <c r="B200" s="101" t="s">
        <v>112</v>
      </c>
      <c r="C200" s="101"/>
      <c r="D200" s="69"/>
      <c r="E200" s="103"/>
      <c r="F200" s="103"/>
      <c r="G200" s="102">
        <f>86+116+15</f>
        <v>217</v>
      </c>
      <c r="H200" s="102">
        <f>86+116+15</f>
        <v>217</v>
      </c>
      <c r="I200" s="102">
        <f>86+116+15</f>
        <v>217</v>
      </c>
      <c r="J200" s="103"/>
      <c r="K200" s="103"/>
      <c r="L200" s="103"/>
      <c r="M200" s="138"/>
      <c r="N200" s="138">
        <f>SUM(O200:S200)</f>
        <v>18765459.315563079</v>
      </c>
      <c r="O200" s="138">
        <f>O179+O187+O192+O194+O199</f>
        <v>12040592</v>
      </c>
      <c r="P200" s="138">
        <f>P179+P187+P192+P194+P195+P196+P197</f>
        <v>2143435.9955630796</v>
      </c>
      <c r="Q200" s="138">
        <f t="shared" ref="Q200" si="120">Q179+Q187+Q192+Q194+Q195+Q196+Q197</f>
        <v>21109</v>
      </c>
      <c r="R200" s="138">
        <f>R179+R187+R192+R194+R195+R196+R197+R198</f>
        <v>2496055.3199999998</v>
      </c>
      <c r="S200" s="138">
        <f>S179+S187+S192+S194+S195+S196+S197+S198</f>
        <v>2064267</v>
      </c>
      <c r="T200" s="138">
        <f>T179+T187+T192+T194+T195+T196+T197+T198+T199</f>
        <v>18560415.315563079</v>
      </c>
      <c r="U200" s="138">
        <f>U179+U187+U192+U194+U195+U196+U197+U198+U199</f>
        <v>18560415.315563079</v>
      </c>
      <c r="V200" s="80">
        <v>2496055.3199999998</v>
      </c>
      <c r="W200" s="85">
        <f>V200-R200</f>
        <v>0</v>
      </c>
      <c r="X200" s="80">
        <f>W200/I200</f>
        <v>0</v>
      </c>
    </row>
    <row r="201" spans="1:24" ht="27" customHeight="1" x14ac:dyDescent="0.25">
      <c r="B201" s="328" t="s">
        <v>231</v>
      </c>
      <c r="C201" s="329"/>
      <c r="D201" s="329"/>
      <c r="E201" s="329"/>
      <c r="F201" s="329"/>
      <c r="G201" s="329"/>
      <c r="H201" s="329"/>
      <c r="I201" s="329"/>
      <c r="J201" s="329"/>
      <c r="K201" s="329"/>
      <c r="L201" s="329"/>
      <c r="M201" s="330"/>
      <c r="N201" s="221">
        <f t="shared" ref="N201:U201" si="121">N200+N171+N136+N103+N73+N44</f>
        <v>211621094.86466458</v>
      </c>
      <c r="O201" s="221">
        <f t="shared" si="121"/>
        <v>136610880</v>
      </c>
      <c r="P201" s="221">
        <f t="shared" si="121"/>
        <v>31866402.004669458</v>
      </c>
      <c r="Q201" s="221">
        <f t="shared" si="121"/>
        <v>791968</v>
      </c>
      <c r="R201" s="221">
        <f t="shared" si="121"/>
        <v>28691844.859995112</v>
      </c>
      <c r="S201" s="221">
        <f t="shared" si="121"/>
        <v>13660000</v>
      </c>
      <c r="T201" s="221">
        <f>T200+T171+T136+T103+T73+T44</f>
        <v>210485124.86466455</v>
      </c>
      <c r="U201" s="221">
        <f t="shared" si="121"/>
        <v>210485124.86466455</v>
      </c>
      <c r="X201" s="70" t="s">
        <v>253</v>
      </c>
    </row>
    <row r="202" spans="1:24" x14ac:dyDescent="0.25">
      <c r="A202" s="80" t="s">
        <v>233</v>
      </c>
    </row>
    <row r="203" spans="1:24" x14ac:dyDescent="0.25">
      <c r="A203" s="80" t="s">
        <v>178</v>
      </c>
      <c r="O203" s="210"/>
      <c r="T203" s="210"/>
    </row>
    <row r="204" spans="1:24" x14ac:dyDescent="0.25">
      <c r="O204" s="210"/>
      <c r="T204" s="210"/>
      <c r="X204" s="80">
        <f>12601.84959-590.0704652-587.990779</f>
        <v>11423.7883458</v>
      </c>
    </row>
    <row r="205" spans="1:24" x14ac:dyDescent="0.25">
      <c r="O205" s="210"/>
      <c r="R205" s="210"/>
      <c r="S205" s="210"/>
      <c r="V205" s="85"/>
    </row>
    <row r="206" spans="1:24" x14ac:dyDescent="0.25">
      <c r="O206" s="210"/>
      <c r="P206" s="210"/>
    </row>
    <row r="207" spans="1:24" x14ac:dyDescent="0.25">
      <c r="R207" s="210"/>
    </row>
    <row r="208" spans="1:24" x14ac:dyDescent="0.25">
      <c r="R208" s="210"/>
    </row>
    <row r="209" spans="15:18" x14ac:dyDescent="0.25">
      <c r="O209" s="210"/>
      <c r="R209" s="210"/>
    </row>
    <row r="214" spans="15:18" x14ac:dyDescent="0.25">
      <c r="O214" s="210"/>
      <c r="P214" s="210"/>
      <c r="Q214" s="210"/>
    </row>
    <row r="215" spans="15:18" x14ac:dyDescent="0.25">
      <c r="O215" s="210"/>
      <c r="P215" s="210"/>
      <c r="Q215" s="210"/>
    </row>
    <row r="216" spans="15:18" x14ac:dyDescent="0.25">
      <c r="O216" s="210"/>
      <c r="P216" s="210"/>
      <c r="Q216" s="210"/>
    </row>
    <row r="219" spans="15:18" x14ac:dyDescent="0.25">
      <c r="O219" s="210"/>
    </row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4"/>
    <mergeCell ref="B12:B23"/>
    <mergeCell ref="B24:B29"/>
    <mergeCell ref="A45:A73"/>
    <mergeCell ref="B45:B53"/>
    <mergeCell ref="B54:B59"/>
    <mergeCell ref="B61:B64"/>
    <mergeCell ref="B31:B35"/>
    <mergeCell ref="B201:M201"/>
    <mergeCell ref="A74:A103"/>
    <mergeCell ref="B74:B82"/>
    <mergeCell ref="B83:B88"/>
    <mergeCell ref="B90:B94"/>
    <mergeCell ref="A172:A200"/>
    <mergeCell ref="B172:B179"/>
    <mergeCell ref="B180:B182"/>
    <mergeCell ref="A104:A136"/>
    <mergeCell ref="B104:B114"/>
    <mergeCell ref="B115:B122"/>
    <mergeCell ref="B124:B127"/>
    <mergeCell ref="A137:A171"/>
    <mergeCell ref="B137:B147"/>
    <mergeCell ref="B148:B156"/>
    <mergeCell ref="B157:B162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98"/>
  <sheetViews>
    <sheetView zoomScale="60" zoomScaleNormal="60" workbookViewId="0">
      <pane xSplit="1" ySplit="13" topLeftCell="D164" activePane="bottomRight" state="frozen"/>
      <selection pane="topRight" activeCell="B1" sqref="B1"/>
      <selection pane="bottomLeft" activeCell="A12" sqref="A12"/>
      <selection pane="bottomRight" activeCell="W1" sqref="W1:Z1048576"/>
    </sheetView>
  </sheetViews>
  <sheetFormatPr defaultColWidth="9.140625" defaultRowHeight="15" x14ac:dyDescent="0.25"/>
  <cols>
    <col min="1" max="1" width="30.7109375" style="80" customWidth="1"/>
    <col min="2" max="2" width="21.5703125" style="80" customWidth="1"/>
    <col min="3" max="3" width="23.7109375" style="80" customWidth="1"/>
    <col min="4" max="4" width="8.7109375" style="80" customWidth="1"/>
    <col min="5" max="5" width="17.5703125" style="80" hidden="1" customWidth="1"/>
    <col min="6" max="6" width="13.28515625" style="80" hidden="1" customWidth="1"/>
    <col min="7" max="7" width="14" style="203" customWidth="1"/>
    <col min="8" max="9" width="14.140625" style="203" customWidth="1"/>
    <col min="10" max="10" width="17.28515625" style="203" customWidth="1"/>
    <col min="11" max="11" width="17.140625" style="203" customWidth="1"/>
    <col min="12" max="12" width="13.85546875" style="203" customWidth="1"/>
    <col min="13" max="13" width="13.5703125" style="203" customWidth="1"/>
    <col min="14" max="14" width="16.7109375" style="203" customWidth="1"/>
    <col min="15" max="16" width="15.42578125" style="203" customWidth="1"/>
    <col min="17" max="18" width="14.7109375" style="203" customWidth="1"/>
    <col min="19" max="19" width="21.140625" style="203" customWidth="1"/>
    <col min="20" max="20" width="19.140625" style="203" customWidth="1"/>
    <col min="21" max="21" width="16.28515625" style="203" customWidth="1"/>
    <col min="22" max="22" width="16" style="203" customWidth="1"/>
    <col min="23" max="23" width="15.28515625" style="80" hidden="1" customWidth="1"/>
    <col min="24" max="24" width="13.5703125" style="80" hidden="1" customWidth="1"/>
    <col min="25" max="25" width="18.7109375" style="80" hidden="1" customWidth="1"/>
    <col min="26" max="26" width="0" style="80" hidden="1" customWidth="1"/>
    <col min="27" max="16384" width="9.140625" style="80"/>
  </cols>
  <sheetData>
    <row r="1" spans="1:25" hidden="1" x14ac:dyDescent="0.25">
      <c r="T1" s="208" t="s">
        <v>203</v>
      </c>
    </row>
    <row r="2" spans="1:25" hidden="1" x14ac:dyDescent="0.25">
      <c r="T2" s="208" t="s">
        <v>204</v>
      </c>
    </row>
    <row r="3" spans="1:25" x14ac:dyDescent="0.25">
      <c r="T3" s="208" t="s">
        <v>310</v>
      </c>
    </row>
    <row r="4" spans="1:25" x14ac:dyDescent="0.25">
      <c r="T4" s="208" t="s">
        <v>322</v>
      </c>
    </row>
    <row r="5" spans="1:25" x14ac:dyDescent="0.25">
      <c r="T5" s="208" t="s">
        <v>175</v>
      </c>
    </row>
    <row r="6" spans="1:25" x14ac:dyDescent="0.25">
      <c r="T6" s="208" t="s">
        <v>314</v>
      </c>
    </row>
    <row r="7" spans="1:25" x14ac:dyDescent="0.25">
      <c r="A7" s="334" t="s">
        <v>266</v>
      </c>
      <c r="B7" s="334"/>
      <c r="C7" s="335"/>
      <c r="D7" s="334"/>
      <c r="E7" s="334"/>
      <c r="F7" s="335"/>
      <c r="G7" s="335"/>
      <c r="H7" s="334"/>
      <c r="I7" s="334"/>
      <c r="J7" s="334"/>
      <c r="K7" s="335"/>
      <c r="L7" s="334"/>
      <c r="M7" s="334"/>
      <c r="N7" s="334"/>
      <c r="O7" s="334"/>
      <c r="P7" s="335"/>
      <c r="Q7" s="335"/>
      <c r="R7" s="335"/>
      <c r="S7" s="335"/>
      <c r="T7" s="334"/>
      <c r="U7" s="334"/>
      <c r="V7" s="334"/>
    </row>
    <row r="8" spans="1:25" ht="18.75" x14ac:dyDescent="0.25">
      <c r="A8" s="265" t="s">
        <v>155</v>
      </c>
    </row>
    <row r="10" spans="1:25" ht="45" x14ac:dyDescent="0.25">
      <c r="A10" s="178" t="s">
        <v>3</v>
      </c>
      <c r="B10" s="197" t="s">
        <v>81</v>
      </c>
      <c r="C10" s="197" t="s">
        <v>152</v>
      </c>
      <c r="D10" s="197" t="s">
        <v>4</v>
      </c>
      <c r="E10" s="228" t="s">
        <v>5</v>
      </c>
      <c r="F10" s="134"/>
      <c r="G10" s="256"/>
      <c r="H10" s="256"/>
      <c r="I10" s="257"/>
      <c r="J10" s="336" t="s">
        <v>6</v>
      </c>
      <c r="K10" s="337"/>
      <c r="L10" s="337"/>
      <c r="M10" s="338"/>
      <c r="N10" s="291" t="s">
        <v>7</v>
      </c>
      <c r="O10" s="291"/>
      <c r="P10" s="291"/>
      <c r="Q10" s="291"/>
      <c r="R10" s="291"/>
      <c r="S10" s="291"/>
      <c r="T10" s="291"/>
      <c r="U10" s="291"/>
      <c r="V10" s="291"/>
    </row>
    <row r="11" spans="1:25" x14ac:dyDescent="0.25">
      <c r="A11" s="178"/>
      <c r="B11" s="197"/>
      <c r="C11" s="197"/>
      <c r="D11" s="197"/>
      <c r="E11" s="311"/>
      <c r="F11" s="312"/>
      <c r="G11" s="313"/>
      <c r="H11" s="252"/>
      <c r="I11" s="252"/>
      <c r="J11" s="253"/>
      <c r="K11" s="269"/>
      <c r="L11" s="269"/>
      <c r="M11" s="269"/>
      <c r="N11" s="336"/>
      <c r="O11" s="339"/>
      <c r="P11" s="339"/>
      <c r="Q11" s="339"/>
      <c r="R11" s="339"/>
      <c r="S11" s="339"/>
      <c r="T11" s="340"/>
      <c r="U11" s="283"/>
      <c r="V11" s="272"/>
    </row>
    <row r="12" spans="1:25" ht="82.5" customHeight="1" x14ac:dyDescent="0.25">
      <c r="A12" s="82"/>
      <c r="B12" s="82"/>
      <c r="C12" s="82"/>
      <c r="D12" s="82"/>
      <c r="E12" s="225" t="s">
        <v>183</v>
      </c>
      <c r="F12" s="184" t="s">
        <v>271</v>
      </c>
      <c r="G12" s="258" t="s">
        <v>268</v>
      </c>
      <c r="H12" s="254" t="s">
        <v>205</v>
      </c>
      <c r="I12" s="254" t="s">
        <v>267</v>
      </c>
      <c r="J12" s="253" t="s">
        <v>79</v>
      </c>
      <c r="K12" s="269" t="s">
        <v>224</v>
      </c>
      <c r="L12" s="269" t="s">
        <v>11</v>
      </c>
      <c r="M12" s="270" t="s">
        <v>12</v>
      </c>
      <c r="N12" s="341" t="s">
        <v>183</v>
      </c>
      <c r="O12" s="341"/>
      <c r="P12" s="341"/>
      <c r="Q12" s="341"/>
      <c r="R12" s="341"/>
      <c r="S12" s="341"/>
      <c r="T12" s="341"/>
      <c r="U12" s="285" t="s">
        <v>211</v>
      </c>
      <c r="V12" s="273" t="s">
        <v>267</v>
      </c>
    </row>
    <row r="13" spans="1:25" ht="81" customHeight="1" x14ac:dyDescent="0.25">
      <c r="A13" s="83" t="s">
        <v>13</v>
      </c>
      <c r="B13" s="83" t="s">
        <v>14</v>
      </c>
      <c r="C13" s="83"/>
      <c r="D13" s="197" t="s">
        <v>15</v>
      </c>
      <c r="E13" s="83" t="s">
        <v>16</v>
      </c>
      <c r="F13" s="83" t="s">
        <v>16</v>
      </c>
      <c r="G13" s="42" t="s">
        <v>16</v>
      </c>
      <c r="H13" s="42" t="s">
        <v>16</v>
      </c>
      <c r="I13" s="42" t="s">
        <v>16</v>
      </c>
      <c r="J13" s="253" t="s">
        <v>17</v>
      </c>
      <c r="K13" s="269" t="s">
        <v>17</v>
      </c>
      <c r="L13" s="269" t="s">
        <v>17</v>
      </c>
      <c r="M13" s="269" t="s">
        <v>17</v>
      </c>
      <c r="N13" s="283" t="s">
        <v>85</v>
      </c>
      <c r="O13" s="283" t="s">
        <v>83</v>
      </c>
      <c r="P13" s="47" t="s">
        <v>228</v>
      </c>
      <c r="Q13" s="283" t="s">
        <v>84</v>
      </c>
      <c r="R13" s="47" t="s">
        <v>227</v>
      </c>
      <c r="S13" s="47" t="s">
        <v>254</v>
      </c>
      <c r="T13" s="283" t="s">
        <v>12</v>
      </c>
      <c r="U13" s="283" t="s">
        <v>17</v>
      </c>
      <c r="V13" s="272" t="s">
        <v>17</v>
      </c>
      <c r="W13" s="85"/>
    </row>
    <row r="14" spans="1:25" ht="21.6" customHeight="1" x14ac:dyDescent="0.25">
      <c r="A14" s="188" t="s">
        <v>18</v>
      </c>
      <c r="B14" s="82"/>
      <c r="C14" s="82"/>
      <c r="D14" s="82"/>
      <c r="E14" s="72"/>
      <c r="F14" s="72"/>
      <c r="G14" s="205"/>
      <c r="H14" s="205"/>
      <c r="I14" s="205"/>
      <c r="J14" s="46"/>
      <c r="K14" s="46"/>
      <c r="L14" s="46"/>
      <c r="M14" s="259"/>
      <c r="N14" s="220">
        <f>N15+N23</f>
        <v>6374737</v>
      </c>
      <c r="O14" s="220">
        <f>O15+O23</f>
        <v>2581995.0026960801</v>
      </c>
      <c r="P14" s="220">
        <f>P15</f>
        <v>831158</v>
      </c>
      <c r="Q14" s="220">
        <f>Q15+Q23+Q22</f>
        <v>4126506.7000280004</v>
      </c>
      <c r="R14" s="220">
        <f>R15</f>
        <v>2298049</v>
      </c>
      <c r="S14" s="220">
        <f>S24</f>
        <v>1504511.8</v>
      </c>
      <c r="T14" s="220">
        <f>T15+T23+T24</f>
        <v>17716957.502724081</v>
      </c>
      <c r="U14" s="220">
        <f>U15+U23+U24</f>
        <v>16756218.829960002</v>
      </c>
      <c r="V14" s="220">
        <f>V15+V23+V24</f>
        <v>16756218.829960002</v>
      </c>
      <c r="W14" s="80">
        <v>4126506.7</v>
      </c>
      <c r="X14" s="85">
        <f>W14-Q14</f>
        <v>-2.8000213205814362E-5</v>
      </c>
      <c r="Y14" s="80">
        <f>X14/I23</f>
        <v>-2.3728994242215561E-7</v>
      </c>
    </row>
    <row r="15" spans="1:25" ht="85.5" customHeight="1" x14ac:dyDescent="0.25">
      <c r="A15" s="193" t="s">
        <v>248</v>
      </c>
      <c r="B15" s="84" t="s">
        <v>76</v>
      </c>
      <c r="C15" s="84"/>
      <c r="D15" s="82"/>
      <c r="E15" s="72"/>
      <c r="F15" s="72"/>
      <c r="G15" s="205"/>
      <c r="H15" s="205"/>
      <c r="I15" s="205"/>
      <c r="J15" s="46"/>
      <c r="K15" s="46"/>
      <c r="L15" s="46"/>
      <c r="M15" s="46"/>
      <c r="N15" s="46">
        <f>N16+N17+N19+N18+N26</f>
        <v>6374737</v>
      </c>
      <c r="O15" s="46">
        <f>O16+O17+O19+O18+O26+O25</f>
        <v>2581995.0026960801</v>
      </c>
      <c r="P15" s="46">
        <f>P21</f>
        <v>831158</v>
      </c>
      <c r="Q15" s="46">
        <f>Q16+Q17+Q18+Q19</f>
        <v>2925385.5000680001</v>
      </c>
      <c r="R15" s="46">
        <f>R20+R22</f>
        <v>2298049</v>
      </c>
      <c r="S15" s="46"/>
      <c r="T15" s="46">
        <f>T16+T17+T19+T18+T20+T21+T26+T22+T25</f>
        <v>15011324.502764082</v>
      </c>
      <c r="U15" s="46">
        <f>U16+U17+U19+U18+U20+U21+U26+U22+U25-0.01</f>
        <v>14050585.83</v>
      </c>
      <c r="V15" s="46">
        <f>V16+V17+V19+V18+V20+V21+V26+V22+V25-0.01</f>
        <v>14050585.83</v>
      </c>
      <c r="W15" s="85">
        <f>T15-U15</f>
        <v>960738.67276408151</v>
      </c>
      <c r="X15" s="85"/>
    </row>
    <row r="16" spans="1:25" ht="15.75" customHeight="1" x14ac:dyDescent="0.25">
      <c r="A16" s="83"/>
      <c r="B16" s="97" t="s">
        <v>276</v>
      </c>
      <c r="C16" s="332" t="s">
        <v>279</v>
      </c>
      <c r="D16" s="86" t="s">
        <v>20</v>
      </c>
      <c r="E16" s="229">
        <v>20</v>
      </c>
      <c r="F16" s="229">
        <v>20</v>
      </c>
      <c r="G16" s="218">
        <v>19</v>
      </c>
      <c r="H16" s="218">
        <v>19</v>
      </c>
      <c r="I16" s="218">
        <v>19</v>
      </c>
      <c r="J16" s="46">
        <v>49378.38</v>
      </c>
      <c r="K16" s="46">
        <f>12142.68*1.802017</f>
        <v>21881.31578556</v>
      </c>
      <c r="L16" s="46">
        <f>20321.6+4469.806526</f>
        <v>24791.406525999999</v>
      </c>
      <c r="M16" s="46">
        <f>J16+K16+L16</f>
        <v>96051.102311560011</v>
      </c>
      <c r="N16" s="46">
        <f>G16*J16-0.22</f>
        <v>938189</v>
      </c>
      <c r="O16" s="46">
        <f>G16*K16</f>
        <v>415744.99992564</v>
      </c>
      <c r="P16" s="46"/>
      <c r="Q16" s="46">
        <f>G16*L16</f>
        <v>471036.723994</v>
      </c>
      <c r="R16" s="46"/>
      <c r="S16" s="46">
        <v>0</v>
      </c>
      <c r="T16" s="46">
        <f>SUM(N16:Q16)</f>
        <v>1824970.7239196398</v>
      </c>
      <c r="U16" s="46">
        <v>1740044.4</v>
      </c>
      <c r="V16" s="46">
        <f>U16</f>
        <v>1740044.4</v>
      </c>
      <c r="X16" s="85"/>
    </row>
    <row r="17" spans="1:25" ht="15.75" customHeight="1" x14ac:dyDescent="0.25">
      <c r="A17" s="88"/>
      <c r="B17" s="97" t="s">
        <v>274</v>
      </c>
      <c r="C17" s="344"/>
      <c r="D17" s="198" t="s">
        <v>20</v>
      </c>
      <c r="E17" s="229">
        <v>61</v>
      </c>
      <c r="F17" s="229">
        <v>61</v>
      </c>
      <c r="G17" s="218">
        <v>60</v>
      </c>
      <c r="H17" s="218">
        <v>60</v>
      </c>
      <c r="I17" s="218">
        <v>60</v>
      </c>
      <c r="J17" s="46">
        <v>39098.57</v>
      </c>
      <c r="K17" s="46">
        <f>12142.68*1.802017</f>
        <v>21881.31578556</v>
      </c>
      <c r="L17" s="46">
        <f t="shared" ref="L17:L19" si="0">20321.6+4469.806526</f>
        <v>24791.406525999999</v>
      </c>
      <c r="M17" s="46">
        <f t="shared" ref="M17:M85" si="1">J17+K17+L17</f>
        <v>85771.292311559999</v>
      </c>
      <c r="N17" s="46">
        <f>G17*J17-0.2</f>
        <v>2345914</v>
      </c>
      <c r="O17" s="46">
        <f>G17*K17+0.05</f>
        <v>1312878.9971336001</v>
      </c>
      <c r="P17" s="46"/>
      <c r="Q17" s="46">
        <f>G17*L17</f>
        <v>1487484.3915599999</v>
      </c>
      <c r="R17" s="46"/>
      <c r="S17" s="46">
        <v>0</v>
      </c>
      <c r="T17" s="46">
        <f>SUM(N17:Q17)</f>
        <v>5146277.3886936</v>
      </c>
      <c r="U17" s="46">
        <v>4878089.1500000004</v>
      </c>
      <c r="V17" s="46">
        <f>U17</f>
        <v>4878089.1500000004</v>
      </c>
      <c r="X17" s="85"/>
    </row>
    <row r="18" spans="1:25" ht="120" customHeight="1" x14ac:dyDescent="0.25">
      <c r="A18" s="88"/>
      <c r="B18" s="93" t="s">
        <v>273</v>
      </c>
      <c r="C18" s="333"/>
      <c r="D18" s="198" t="s">
        <v>20</v>
      </c>
      <c r="E18" s="229">
        <v>22</v>
      </c>
      <c r="F18" s="229">
        <v>22</v>
      </c>
      <c r="G18" s="218">
        <v>22</v>
      </c>
      <c r="H18" s="218">
        <v>22</v>
      </c>
      <c r="I18" s="218">
        <v>22</v>
      </c>
      <c r="J18" s="260">
        <v>77037.7</v>
      </c>
      <c r="K18" s="46">
        <f>12142.68*1.802017</f>
        <v>21881.31578556</v>
      </c>
      <c r="L18" s="46">
        <f t="shared" si="0"/>
        <v>24791.406525999999</v>
      </c>
      <c r="M18" s="46">
        <f t="shared" si="1"/>
        <v>123710.42231155999</v>
      </c>
      <c r="N18" s="46">
        <f>G18*J18+0.6</f>
        <v>1694830</v>
      </c>
      <c r="O18" s="46">
        <f>G18*K18+0.05</f>
        <v>481388.99728231999</v>
      </c>
      <c r="P18" s="46"/>
      <c r="Q18" s="46">
        <f>G18*L18</f>
        <v>545410.94357200002</v>
      </c>
      <c r="R18" s="46"/>
      <c r="S18" s="46">
        <v>0</v>
      </c>
      <c r="T18" s="46">
        <f>SUM(N18:Q18)</f>
        <v>2721629.9408543203</v>
      </c>
      <c r="U18" s="46">
        <v>2623293.5499999998</v>
      </c>
      <c r="V18" s="46">
        <f>U18</f>
        <v>2623293.5499999998</v>
      </c>
      <c r="X18" s="85"/>
    </row>
    <row r="19" spans="1:25" ht="138.75" customHeight="1" x14ac:dyDescent="0.25">
      <c r="A19" s="88"/>
      <c r="B19" s="97" t="s">
        <v>274</v>
      </c>
      <c r="C19" s="93" t="s">
        <v>278</v>
      </c>
      <c r="D19" s="198" t="s">
        <v>20</v>
      </c>
      <c r="E19" s="229">
        <v>17</v>
      </c>
      <c r="F19" s="229">
        <v>17</v>
      </c>
      <c r="G19" s="218">
        <v>17</v>
      </c>
      <c r="H19" s="218">
        <v>17</v>
      </c>
      <c r="I19" s="218">
        <v>17</v>
      </c>
      <c r="J19" s="261">
        <v>75101.539999999994</v>
      </c>
      <c r="K19" s="46">
        <f>12142.68*1.802017</f>
        <v>21881.31578556</v>
      </c>
      <c r="L19" s="46">
        <f t="shared" si="0"/>
        <v>24791.406525999999</v>
      </c>
      <c r="M19" s="46">
        <f t="shared" si="1"/>
        <v>121774.26231155999</v>
      </c>
      <c r="N19" s="46">
        <f>G19*J19-0.18</f>
        <v>1276726</v>
      </c>
      <c r="O19" s="46">
        <f>G19*K19-0.37+0.01</f>
        <v>371982.00835452002</v>
      </c>
      <c r="P19" s="46"/>
      <c r="Q19" s="46">
        <f>G19*L19-0.47</f>
        <v>421453.44094200002</v>
      </c>
      <c r="R19" s="46"/>
      <c r="S19" s="46">
        <v>0</v>
      </c>
      <c r="T19" s="46">
        <f t="shared" ref="T19:T173" si="2">SUM(N19:Q19)</f>
        <v>2070161.4492965201</v>
      </c>
      <c r="U19" s="46">
        <v>1994174.74</v>
      </c>
      <c r="V19" s="46">
        <f>U19</f>
        <v>1994174.74</v>
      </c>
      <c r="X19" s="85"/>
    </row>
    <row r="20" spans="1:25" s="203" customFormat="1" x14ac:dyDescent="0.25">
      <c r="A20" s="50"/>
      <c r="B20" s="231" t="s">
        <v>225</v>
      </c>
      <c r="C20" s="217" t="s">
        <v>219</v>
      </c>
      <c r="D20" s="49" t="s">
        <v>20</v>
      </c>
      <c r="E20" s="236">
        <v>12</v>
      </c>
      <c r="F20" s="236">
        <v>12</v>
      </c>
      <c r="G20" s="218">
        <v>12</v>
      </c>
      <c r="H20" s="218">
        <v>12</v>
      </c>
      <c r="I20" s="218">
        <v>12</v>
      </c>
      <c r="J20" s="46">
        <v>0</v>
      </c>
      <c r="K20" s="46"/>
      <c r="L20" s="46">
        <v>0</v>
      </c>
      <c r="M20" s="46">
        <f t="shared" si="1"/>
        <v>0</v>
      </c>
      <c r="N20" s="237"/>
      <c r="O20" s="46"/>
      <c r="P20" s="46"/>
      <c r="Q20" s="46"/>
      <c r="R20" s="46">
        <v>2097393</v>
      </c>
      <c r="S20" s="46"/>
      <c r="T20" s="46">
        <f>R20</f>
        <v>2097393</v>
      </c>
      <c r="U20" s="46">
        <f>R20</f>
        <v>2097393</v>
      </c>
      <c r="V20" s="46">
        <f>R20</f>
        <v>2097393</v>
      </c>
    </row>
    <row r="21" spans="1:25" s="203" customFormat="1" x14ac:dyDescent="0.25">
      <c r="A21" s="50"/>
      <c r="B21" s="231" t="s">
        <v>225</v>
      </c>
      <c r="C21" s="217" t="s">
        <v>226</v>
      </c>
      <c r="D21" s="49" t="s">
        <v>20</v>
      </c>
      <c r="E21" s="229">
        <v>7</v>
      </c>
      <c r="F21" s="229">
        <v>7</v>
      </c>
      <c r="G21" s="218">
        <v>7</v>
      </c>
      <c r="H21" s="218">
        <v>7</v>
      </c>
      <c r="I21" s="218">
        <v>7</v>
      </c>
      <c r="J21" s="46">
        <v>0</v>
      </c>
      <c r="K21" s="46"/>
      <c r="L21" s="46">
        <v>0</v>
      </c>
      <c r="M21" s="46">
        <f t="shared" si="1"/>
        <v>0</v>
      </c>
      <c r="N21" s="237"/>
      <c r="O21" s="46"/>
      <c r="P21" s="46">
        <f>717591+113567</f>
        <v>831158</v>
      </c>
      <c r="Q21" s="46"/>
      <c r="R21" s="46"/>
      <c r="S21" s="46"/>
      <c r="T21" s="46">
        <f>N21+O21+P21+Q21</f>
        <v>831158</v>
      </c>
      <c r="U21" s="46">
        <f>N21+O21+P21+Q21-113567</f>
        <v>717591</v>
      </c>
      <c r="V21" s="46">
        <f>U21</f>
        <v>717591</v>
      </c>
    </row>
    <row r="22" spans="1:25" s="203" customFormat="1" ht="28.5" x14ac:dyDescent="0.25">
      <c r="A22" s="50"/>
      <c r="B22" s="84" t="s">
        <v>295</v>
      </c>
      <c r="C22" s="217" t="s">
        <v>219</v>
      </c>
      <c r="D22" s="49" t="s">
        <v>20</v>
      </c>
      <c r="E22" s="218"/>
      <c r="F22" s="218"/>
      <c r="G22" s="218">
        <v>12</v>
      </c>
      <c r="H22" s="218">
        <v>12</v>
      </c>
      <c r="I22" s="218">
        <v>12</v>
      </c>
      <c r="J22" s="46">
        <v>0</v>
      </c>
      <c r="K22" s="46"/>
      <c r="L22" s="46">
        <v>0</v>
      </c>
      <c r="M22" s="46">
        <f t="shared" si="1"/>
        <v>0</v>
      </c>
      <c r="N22" s="237"/>
      <c r="O22" s="46"/>
      <c r="P22" s="237"/>
      <c r="Q22" s="46"/>
      <c r="R22" s="46">
        <v>200656</v>
      </c>
      <c r="S22" s="46"/>
      <c r="T22" s="46">
        <f>R22</f>
        <v>200656</v>
      </c>
      <c r="U22" s="46"/>
      <c r="V22" s="46"/>
    </row>
    <row r="23" spans="1:25" ht="63" customHeight="1" x14ac:dyDescent="0.25">
      <c r="A23" s="193" t="s">
        <v>249</v>
      </c>
      <c r="B23" s="127" t="s">
        <v>28</v>
      </c>
      <c r="C23" s="127" t="s">
        <v>219</v>
      </c>
      <c r="D23" s="82"/>
      <c r="E23" s="229">
        <f>E19+E18+E17+E16</f>
        <v>120</v>
      </c>
      <c r="F23" s="229">
        <f>F19+F18+F17+F16</f>
        <v>120</v>
      </c>
      <c r="G23" s="218">
        <f>G19+G18+G17+G16</f>
        <v>118</v>
      </c>
      <c r="H23" s="218">
        <f>H19+H18+H17+H16</f>
        <v>118</v>
      </c>
      <c r="I23" s="218">
        <f>I19+I18+I17+I16</f>
        <v>118</v>
      </c>
      <c r="J23" s="46">
        <v>0</v>
      </c>
      <c r="K23" s="46"/>
      <c r="L23" s="46">
        <v>10178.99322</v>
      </c>
      <c r="M23" s="46">
        <f>J23+K23+L23</f>
        <v>10178.99322</v>
      </c>
      <c r="N23" s="237">
        <f t="shared" ref="N23" si="3">E23*J23</f>
        <v>0</v>
      </c>
      <c r="O23" s="46"/>
      <c r="P23" s="46"/>
      <c r="Q23" s="46">
        <f>G23*L23</f>
        <v>1201121.1999600001</v>
      </c>
      <c r="R23" s="46"/>
      <c r="S23" s="46">
        <v>0</v>
      </c>
      <c r="T23" s="46">
        <f>SUM(N23:Q23)</f>
        <v>1201121.1999600001</v>
      </c>
      <c r="U23" s="46">
        <f>T23</f>
        <v>1201121.1999600001</v>
      </c>
      <c r="V23" s="46">
        <f>U23</f>
        <v>1201121.1999600001</v>
      </c>
    </row>
    <row r="24" spans="1:25" ht="17.25" customHeight="1" x14ac:dyDescent="0.25">
      <c r="A24" s="187"/>
      <c r="B24" s="127" t="s">
        <v>28</v>
      </c>
      <c r="C24" s="127" t="s">
        <v>220</v>
      </c>
      <c r="D24" s="82"/>
      <c r="E24" s="87"/>
      <c r="F24" s="87"/>
      <c r="G24" s="218">
        <v>118</v>
      </c>
      <c r="H24" s="218">
        <v>118</v>
      </c>
      <c r="I24" s="218">
        <v>118</v>
      </c>
      <c r="J24" s="46"/>
      <c r="K24" s="46"/>
      <c r="L24" s="46">
        <v>12750.1</v>
      </c>
      <c r="M24" s="46">
        <f>J24+K24+L24</f>
        <v>12750.1</v>
      </c>
      <c r="N24" s="237"/>
      <c r="O24" s="46"/>
      <c r="P24" s="46"/>
      <c r="Q24" s="46"/>
      <c r="R24" s="46"/>
      <c r="S24" s="46">
        <f>G23*L24</f>
        <v>1504511.8</v>
      </c>
      <c r="T24" s="46">
        <f>S24</f>
        <v>1504511.8</v>
      </c>
      <c r="U24" s="46">
        <f>S24</f>
        <v>1504511.8</v>
      </c>
      <c r="V24" s="46">
        <f>S24</f>
        <v>1504511.8</v>
      </c>
    </row>
    <row r="25" spans="1:25" s="203" customFormat="1" x14ac:dyDescent="0.25">
      <c r="A25" s="50"/>
      <c r="B25" s="231"/>
      <c r="C25" s="217" t="s">
        <v>226</v>
      </c>
      <c r="D25" s="45"/>
      <c r="E25" s="218"/>
      <c r="F25" s="218"/>
      <c r="G25" s="218"/>
      <c r="H25" s="218"/>
      <c r="I25" s="218"/>
      <c r="J25" s="46"/>
      <c r="K25" s="46"/>
      <c r="L25" s="46"/>
      <c r="M25" s="46">
        <f t="shared" si="1"/>
        <v>0</v>
      </c>
      <c r="N25" s="237"/>
      <c r="O25" s="46"/>
      <c r="P25" s="237"/>
      <c r="Q25" s="46"/>
      <c r="R25" s="46"/>
      <c r="S25" s="46"/>
      <c r="T25" s="46">
        <f>O25</f>
        <v>0</v>
      </c>
      <c r="U25" s="46">
        <f t="shared" ref="U25:V25" si="4">T25</f>
        <v>0</v>
      </c>
      <c r="V25" s="46">
        <f t="shared" si="4"/>
        <v>0</v>
      </c>
    </row>
    <row r="26" spans="1:25" ht="71.25" x14ac:dyDescent="0.25">
      <c r="A26" s="212"/>
      <c r="B26" s="128" t="s">
        <v>321</v>
      </c>
      <c r="C26" s="217" t="s">
        <v>226</v>
      </c>
      <c r="D26" s="82"/>
      <c r="E26" s="87"/>
      <c r="F26" s="87"/>
      <c r="G26" s="218"/>
      <c r="H26" s="218"/>
      <c r="I26" s="218"/>
      <c r="J26" s="46"/>
      <c r="K26" s="46"/>
      <c r="L26" s="46"/>
      <c r="M26" s="46">
        <f t="shared" si="1"/>
        <v>0</v>
      </c>
      <c r="N26" s="237">
        <v>119078</v>
      </c>
      <c r="O26" s="46"/>
      <c r="P26" s="237"/>
      <c r="Q26" s="46"/>
      <c r="R26" s="46"/>
      <c r="S26" s="46"/>
      <c r="T26" s="46">
        <f>N26</f>
        <v>119078</v>
      </c>
      <c r="U26" s="46"/>
      <c r="V26" s="46"/>
    </row>
    <row r="27" spans="1:25" x14ac:dyDescent="0.25">
      <c r="A27" s="89" t="s">
        <v>29</v>
      </c>
      <c r="B27" s="198"/>
      <c r="C27" s="127"/>
      <c r="D27" s="82"/>
      <c r="E27" s="87"/>
      <c r="F27" s="87"/>
      <c r="G27" s="218"/>
      <c r="H27" s="218"/>
      <c r="I27" s="218"/>
      <c r="J27" s="46"/>
      <c r="K27" s="46"/>
      <c r="L27" s="259"/>
      <c r="M27" s="46">
        <f t="shared" si="1"/>
        <v>0</v>
      </c>
      <c r="N27" s="220">
        <f>N28+N34</f>
        <v>2274393</v>
      </c>
      <c r="O27" s="220">
        <f>O28</f>
        <v>700201.99513792002</v>
      </c>
      <c r="P27" s="220">
        <f>P28</f>
        <v>682945</v>
      </c>
      <c r="Q27" s="220">
        <f>Q28+Q32+Q34</f>
        <v>429152.36007999995</v>
      </c>
      <c r="R27" s="220">
        <f>R28</f>
        <v>1638896</v>
      </c>
      <c r="S27" s="220">
        <f>S35</f>
        <v>408003.2</v>
      </c>
      <c r="T27" s="220">
        <f>T28+T34+T35</f>
        <v>6133591.5552179208</v>
      </c>
      <c r="U27" s="220">
        <f>U28+U34+U35</f>
        <v>6530420.7300000004</v>
      </c>
      <c r="V27" s="220">
        <f>V28+V34+V35</f>
        <v>6530420.7300000004</v>
      </c>
      <c r="W27" s="80">
        <v>429152.36</v>
      </c>
      <c r="X27" s="85">
        <f>W27-Q27</f>
        <v>-7.9999968875199556E-5</v>
      </c>
      <c r="Y27" s="80">
        <f>X27/I34</f>
        <v>-2.4999990273499861E-6</v>
      </c>
    </row>
    <row r="28" spans="1:25" ht="86.25" customHeight="1" x14ac:dyDescent="0.25">
      <c r="A28" s="193" t="s">
        <v>248</v>
      </c>
      <c r="B28" s="84" t="s">
        <v>76</v>
      </c>
      <c r="C28" s="128"/>
      <c r="D28" s="82"/>
      <c r="E28" s="68"/>
      <c r="F28" s="68"/>
      <c r="G28" s="262"/>
      <c r="H28" s="262"/>
      <c r="I28" s="262"/>
      <c r="J28" s="46"/>
      <c r="K28" s="46"/>
      <c r="L28" s="46"/>
      <c r="M28" s="46">
        <f t="shared" si="1"/>
        <v>0</v>
      </c>
      <c r="N28" s="237">
        <f>SUM(N29:N37)</f>
        <v>2274393</v>
      </c>
      <c r="O28" s="46">
        <f>O29+O34+O33+O37</f>
        <v>700201.99513792002</v>
      </c>
      <c r="P28" s="237">
        <f>P31</f>
        <v>682945</v>
      </c>
      <c r="Q28" s="46">
        <f>Q29</f>
        <v>119692.03007999994</v>
      </c>
      <c r="R28" s="46">
        <f>R30+R32</f>
        <v>1638896</v>
      </c>
      <c r="S28" s="46"/>
      <c r="T28" s="46">
        <f>T29+T31+T30+T36+T37+T32+T33</f>
        <v>5416128.0252179205</v>
      </c>
      <c r="U28" s="46">
        <v>5812957.2000000002</v>
      </c>
      <c r="V28" s="46">
        <f>U28</f>
        <v>5812957.2000000002</v>
      </c>
      <c r="W28" s="85">
        <f>T28-U28</f>
        <v>-396829.17478207964</v>
      </c>
    </row>
    <row r="29" spans="1:25" ht="105.75" customHeight="1" x14ac:dyDescent="0.25">
      <c r="A29" s="83"/>
      <c r="B29" s="230" t="s">
        <v>275</v>
      </c>
      <c r="C29" s="274" t="s">
        <v>277</v>
      </c>
      <c r="D29" s="275" t="s">
        <v>31</v>
      </c>
      <c r="E29" s="276">
        <v>3</v>
      </c>
      <c r="F29" s="276">
        <v>3</v>
      </c>
      <c r="G29" s="276">
        <v>32</v>
      </c>
      <c r="H29" s="276">
        <v>32</v>
      </c>
      <c r="I29" s="276">
        <v>32</v>
      </c>
      <c r="J29" s="277">
        <v>758131.11</v>
      </c>
      <c r="K29" s="170">
        <f>12142.68*1.802017</f>
        <v>21881.31578556</v>
      </c>
      <c r="L29" s="170">
        <f>20321.6-16581.22406</f>
        <v>3740.3759399999981</v>
      </c>
      <c r="M29" s="170">
        <f t="shared" si="1"/>
        <v>783752.80172555987</v>
      </c>
      <c r="N29" s="46">
        <f>3*J29-0.33</f>
        <v>2274393</v>
      </c>
      <c r="O29" s="46">
        <f>G29*K29-0.11</f>
        <v>700201.99513792002</v>
      </c>
      <c r="P29" s="237"/>
      <c r="Q29" s="46">
        <f>G29*L29</f>
        <v>119692.03007999994</v>
      </c>
      <c r="R29" s="46"/>
      <c r="S29" s="46"/>
      <c r="T29" s="46">
        <f>SUM(N29:Q29)</f>
        <v>3094287.0252179201</v>
      </c>
      <c r="U29" s="46">
        <v>3624886.2</v>
      </c>
      <c r="V29" s="46">
        <f>U29</f>
        <v>3624886.2</v>
      </c>
    </row>
    <row r="30" spans="1:25" s="203" customFormat="1" x14ac:dyDescent="0.25">
      <c r="A30" s="50"/>
      <c r="B30" s="231" t="s">
        <v>225</v>
      </c>
      <c r="C30" s="217" t="s">
        <v>219</v>
      </c>
      <c r="D30" s="49" t="s">
        <v>20</v>
      </c>
      <c r="E30" s="236">
        <v>9</v>
      </c>
      <c r="F30" s="236">
        <v>9</v>
      </c>
      <c r="G30" s="218">
        <v>9</v>
      </c>
      <c r="H30" s="218">
        <v>9</v>
      </c>
      <c r="I30" s="218">
        <v>9</v>
      </c>
      <c r="J30" s="46"/>
      <c r="K30" s="46"/>
      <c r="L30" s="46"/>
      <c r="M30" s="46">
        <v>0</v>
      </c>
      <c r="N30" s="237"/>
      <c r="O30" s="46"/>
      <c r="P30" s="237"/>
      <c r="Q30" s="46"/>
      <c r="R30" s="46">
        <v>1505126</v>
      </c>
      <c r="S30" s="46"/>
      <c r="T30" s="46">
        <f>R30</f>
        <v>1505126</v>
      </c>
      <c r="U30" s="46">
        <f>R30</f>
        <v>1505126</v>
      </c>
      <c r="V30" s="46">
        <f>R30</f>
        <v>1505126</v>
      </c>
    </row>
    <row r="31" spans="1:25" s="203" customFormat="1" x14ac:dyDescent="0.25">
      <c r="A31" s="50"/>
      <c r="B31" s="231" t="s">
        <v>225</v>
      </c>
      <c r="C31" s="217" t="s">
        <v>226</v>
      </c>
      <c r="D31" s="49" t="s">
        <v>20</v>
      </c>
      <c r="E31" s="229">
        <v>4</v>
      </c>
      <c r="F31" s="229">
        <v>4</v>
      </c>
      <c r="G31" s="218">
        <v>4</v>
      </c>
      <c r="H31" s="218">
        <v>4</v>
      </c>
      <c r="I31" s="218">
        <v>4</v>
      </c>
      <c r="J31" s="46"/>
      <c r="K31" s="46"/>
      <c r="L31" s="46"/>
      <c r="M31" s="46">
        <v>0</v>
      </c>
      <c r="N31" s="237"/>
      <c r="O31" s="46"/>
      <c r="P31" s="237">
        <v>682945</v>
      </c>
      <c r="Q31" s="46"/>
      <c r="R31" s="46"/>
      <c r="S31" s="46"/>
      <c r="T31" s="46">
        <f>N31+O31+P31+Q31</f>
        <v>682945</v>
      </c>
      <c r="U31" s="46">
        <f>N31+O31+P31+Q31</f>
        <v>682945</v>
      </c>
      <c r="V31" s="46">
        <f>N31+O31+P31+Q31</f>
        <v>682945</v>
      </c>
    </row>
    <row r="32" spans="1:25" s="203" customFormat="1" ht="28.5" x14ac:dyDescent="0.25">
      <c r="A32" s="50"/>
      <c r="B32" s="84" t="s">
        <v>295</v>
      </c>
      <c r="C32" s="217" t="s">
        <v>219</v>
      </c>
      <c r="D32" s="50"/>
      <c r="E32" s="218"/>
      <c r="F32" s="218"/>
      <c r="G32" s="218">
        <v>9</v>
      </c>
      <c r="H32" s="218">
        <v>9</v>
      </c>
      <c r="I32" s="218">
        <v>9</v>
      </c>
      <c r="J32" s="46"/>
      <c r="K32" s="46"/>
      <c r="L32" s="46"/>
      <c r="M32" s="46">
        <f>R32</f>
        <v>133770</v>
      </c>
      <c r="N32" s="237"/>
      <c r="O32" s="46"/>
      <c r="P32" s="237"/>
      <c r="Q32" s="46"/>
      <c r="R32" s="46">
        <v>133770</v>
      </c>
      <c r="S32" s="46"/>
      <c r="T32" s="46">
        <f>R32</f>
        <v>133770</v>
      </c>
      <c r="U32" s="46"/>
      <c r="V32" s="46"/>
    </row>
    <row r="33" spans="1:25" s="203" customFormat="1" x14ac:dyDescent="0.25">
      <c r="A33" s="50"/>
      <c r="B33" s="231"/>
      <c r="C33" s="217" t="s">
        <v>226</v>
      </c>
      <c r="D33" s="45"/>
      <c r="E33" s="218"/>
      <c r="F33" s="218"/>
      <c r="G33" s="218"/>
      <c r="H33" s="218"/>
      <c r="I33" s="218"/>
      <c r="J33" s="46"/>
      <c r="K33" s="46"/>
      <c r="L33" s="46"/>
      <c r="M33" s="46">
        <f t="shared" si="1"/>
        <v>0</v>
      </c>
      <c r="N33" s="237"/>
      <c r="O33" s="46"/>
      <c r="P33" s="237"/>
      <c r="Q33" s="46"/>
      <c r="R33" s="46"/>
      <c r="S33" s="46"/>
      <c r="T33" s="46">
        <f>O33</f>
        <v>0</v>
      </c>
      <c r="U33" s="46">
        <f t="shared" ref="U33:V37" si="5">T33</f>
        <v>0</v>
      </c>
      <c r="V33" s="46">
        <f t="shared" si="5"/>
        <v>0</v>
      </c>
    </row>
    <row r="34" spans="1:25" ht="71.25" customHeight="1" x14ac:dyDescent="0.25">
      <c r="A34" s="193" t="s">
        <v>249</v>
      </c>
      <c r="B34" s="127" t="s">
        <v>28</v>
      </c>
      <c r="C34" s="127" t="s">
        <v>219</v>
      </c>
      <c r="D34" s="273" t="s">
        <v>20</v>
      </c>
      <c r="E34" s="218">
        <v>32</v>
      </c>
      <c r="F34" s="218">
        <v>32</v>
      </c>
      <c r="G34" s="218">
        <v>32</v>
      </c>
      <c r="H34" s="218">
        <v>32</v>
      </c>
      <c r="I34" s="218">
        <v>32</v>
      </c>
      <c r="J34" s="46" t="s">
        <v>23</v>
      </c>
      <c r="K34" s="46">
        <f>12142.68*1.802017</f>
        <v>21881.31578556</v>
      </c>
      <c r="L34" s="46">
        <v>9670.65</v>
      </c>
      <c r="M34" s="46">
        <f>J34+K34+L34</f>
        <v>31551.965785560002</v>
      </c>
      <c r="N34" s="237">
        <f t="shared" ref="N34" si="6">E34*J34</f>
        <v>0</v>
      </c>
      <c r="O34" s="46"/>
      <c r="P34" s="237"/>
      <c r="Q34" s="46">
        <f>G34*L34-0.47</f>
        <v>309460.33</v>
      </c>
      <c r="R34" s="46"/>
      <c r="S34" s="46"/>
      <c r="T34" s="46">
        <f>SUM(N34:Q34)</f>
        <v>309460.33</v>
      </c>
      <c r="U34" s="46">
        <f>T34</f>
        <v>309460.33</v>
      </c>
      <c r="V34" s="46">
        <f>U34</f>
        <v>309460.33</v>
      </c>
    </row>
    <row r="35" spans="1:25" x14ac:dyDescent="0.25">
      <c r="A35" s="187"/>
      <c r="B35" s="127" t="s">
        <v>28</v>
      </c>
      <c r="C35" s="127" t="s">
        <v>220</v>
      </c>
      <c r="D35" s="271" t="s">
        <v>20</v>
      </c>
      <c r="E35" s="87"/>
      <c r="F35" s="87"/>
      <c r="G35" s="218">
        <v>32</v>
      </c>
      <c r="H35" s="218">
        <v>32</v>
      </c>
      <c r="I35" s="218">
        <v>32</v>
      </c>
      <c r="J35" s="46"/>
      <c r="K35" s="46"/>
      <c r="L35" s="46">
        <v>12750.1</v>
      </c>
      <c r="M35" s="46">
        <f>J35+K35+L35</f>
        <v>12750.1</v>
      </c>
      <c r="N35" s="237"/>
      <c r="O35" s="46"/>
      <c r="P35" s="237"/>
      <c r="Q35" s="46"/>
      <c r="R35" s="46"/>
      <c r="S35" s="46">
        <f>L35*G34</f>
        <v>408003.2</v>
      </c>
      <c r="T35" s="46">
        <f>S35</f>
        <v>408003.2</v>
      </c>
      <c r="U35" s="46">
        <f>S35</f>
        <v>408003.2</v>
      </c>
      <c r="V35" s="46">
        <f>S35</f>
        <v>408003.2</v>
      </c>
    </row>
    <row r="36" spans="1:25" ht="45" hidden="1" customHeight="1" x14ac:dyDescent="0.25">
      <c r="A36" s="195"/>
      <c r="B36" s="128"/>
      <c r="C36" s="127" t="s">
        <v>226</v>
      </c>
      <c r="D36" s="198"/>
      <c r="E36" s="87"/>
      <c r="F36" s="87"/>
      <c r="G36" s="218"/>
      <c r="H36" s="218"/>
      <c r="I36" s="218"/>
      <c r="J36" s="46"/>
      <c r="K36" s="46"/>
      <c r="L36" s="46"/>
      <c r="M36" s="46">
        <f t="shared" si="1"/>
        <v>0</v>
      </c>
      <c r="N36" s="237"/>
      <c r="O36" s="46"/>
      <c r="P36" s="237"/>
      <c r="Q36" s="46"/>
      <c r="R36" s="46"/>
      <c r="S36" s="46"/>
      <c r="T36" s="46">
        <f>N36+O36+P36+Q36</f>
        <v>0</v>
      </c>
      <c r="U36" s="46">
        <f t="shared" si="5"/>
        <v>0</v>
      </c>
      <c r="V36" s="46">
        <f t="shared" si="5"/>
        <v>0</v>
      </c>
    </row>
    <row r="37" spans="1:25" ht="16.5" hidden="1" customHeight="1" x14ac:dyDescent="0.25">
      <c r="A37" s="213"/>
      <c r="B37" s="128"/>
      <c r="C37" s="127"/>
      <c r="D37" s="213"/>
      <c r="E37" s="87"/>
      <c r="F37" s="87"/>
      <c r="G37" s="218"/>
      <c r="H37" s="218"/>
      <c r="I37" s="218"/>
      <c r="J37" s="46"/>
      <c r="K37" s="46"/>
      <c r="L37" s="46"/>
      <c r="M37" s="46">
        <f t="shared" si="1"/>
        <v>0</v>
      </c>
      <c r="N37" s="237"/>
      <c r="O37" s="46"/>
      <c r="P37" s="237"/>
      <c r="Q37" s="46"/>
      <c r="R37" s="46"/>
      <c r="S37" s="46"/>
      <c r="T37" s="46">
        <f>O37</f>
        <v>0</v>
      </c>
      <c r="U37" s="46">
        <f t="shared" si="5"/>
        <v>0</v>
      </c>
      <c r="V37" s="46">
        <f t="shared" si="5"/>
        <v>0</v>
      </c>
    </row>
    <row r="38" spans="1:25" ht="15.75" customHeight="1" x14ac:dyDescent="0.25">
      <c r="A38" s="188" t="s">
        <v>35</v>
      </c>
      <c r="B38" s="198"/>
      <c r="C38" s="127"/>
      <c r="D38" s="91"/>
      <c r="E38" s="92"/>
      <c r="F38" s="92"/>
      <c r="G38" s="263"/>
      <c r="H38" s="263"/>
      <c r="I38" s="263"/>
      <c r="J38" s="220"/>
      <c r="K38" s="220"/>
      <c r="L38" s="259"/>
      <c r="M38" s="46">
        <f t="shared" si="1"/>
        <v>0</v>
      </c>
      <c r="N38" s="220">
        <f>N39+N52</f>
        <v>8765256</v>
      </c>
      <c r="O38" s="220">
        <f>O39</f>
        <v>2428826.0021971599</v>
      </c>
      <c r="P38" s="238">
        <f>P39</f>
        <v>1254663</v>
      </c>
      <c r="Q38" s="220">
        <f>Q39+Q52+Q47</f>
        <v>3446778.2800003793</v>
      </c>
      <c r="R38" s="220">
        <f>R39</f>
        <v>2295376</v>
      </c>
      <c r="S38" s="220">
        <f>S53</f>
        <v>1338760.5</v>
      </c>
      <c r="T38" s="220">
        <f>T39+T52+T53</f>
        <v>19529659.782197539</v>
      </c>
      <c r="U38" s="220">
        <f>U39+U52+U53</f>
        <v>19226047.639992502</v>
      </c>
      <c r="V38" s="220">
        <f>V39+V52+V53</f>
        <v>19226047.639992502</v>
      </c>
      <c r="W38" s="80">
        <v>3446778.28</v>
      </c>
      <c r="X38" s="85">
        <f>W38-Q38</f>
        <v>-3.795139491558075E-7</v>
      </c>
      <c r="Y38" s="80">
        <f>X38/111</f>
        <v>-3.4190445869892567E-9</v>
      </c>
    </row>
    <row r="39" spans="1:25" ht="84.75" customHeight="1" x14ac:dyDescent="0.25">
      <c r="A39" s="193" t="s">
        <v>248</v>
      </c>
      <c r="B39" s="84" t="s">
        <v>76</v>
      </c>
      <c r="C39" s="128"/>
      <c r="D39" s="82"/>
      <c r="E39" s="68"/>
      <c r="F39" s="68"/>
      <c r="G39" s="262"/>
      <c r="H39" s="262"/>
      <c r="I39" s="262"/>
      <c r="J39" s="46"/>
      <c r="K39" s="46"/>
      <c r="L39" s="46"/>
      <c r="M39" s="46">
        <f t="shared" si="1"/>
        <v>0</v>
      </c>
      <c r="N39" s="46">
        <f>SUM(N40:N54)</f>
        <v>8765256</v>
      </c>
      <c r="O39" s="46">
        <f>SUM(O40:O48)</f>
        <v>2428826.0021971599</v>
      </c>
      <c r="P39" s="237">
        <f>P46</f>
        <v>1254663</v>
      </c>
      <c r="Q39" s="46">
        <f t="shared" ref="Q39" si="7">SUM(Q40:Q44)</f>
        <v>2253367.6000078795</v>
      </c>
      <c r="R39" s="46">
        <f>R45+R47</f>
        <v>2295376</v>
      </c>
      <c r="S39" s="46"/>
      <c r="T39" s="46">
        <f>SUM(T40:T51)+T54</f>
        <v>16997488.602205038</v>
      </c>
      <c r="U39" s="46">
        <f>SUM(U40:U51)-0.01</f>
        <v>16693876.460000001</v>
      </c>
      <c r="V39" s="46">
        <f>SUM(V40:V51)-0.01</f>
        <v>16693876.460000001</v>
      </c>
      <c r="W39" s="85">
        <f>T38-U38</f>
        <v>303612.14220503718</v>
      </c>
      <c r="Y39" s="85"/>
    </row>
    <row r="40" spans="1:25" ht="52.5" customHeight="1" x14ac:dyDescent="0.25">
      <c r="A40" s="83"/>
      <c r="B40" s="97" t="s">
        <v>276</v>
      </c>
      <c r="C40" s="342" t="s">
        <v>279</v>
      </c>
      <c r="D40" s="198" t="s">
        <v>20</v>
      </c>
      <c r="E40" s="229">
        <v>18</v>
      </c>
      <c r="F40" s="229">
        <v>18</v>
      </c>
      <c r="G40" s="218">
        <v>13</v>
      </c>
      <c r="H40" s="218">
        <v>13</v>
      </c>
      <c r="I40" s="218">
        <v>13</v>
      </c>
      <c r="J40" s="46">
        <v>43138.04</v>
      </c>
      <c r="K40" s="46">
        <f>12142.68*1.802017</f>
        <v>21881.31578556</v>
      </c>
      <c r="L40" s="46">
        <f>20321.6-20.99099092</f>
        <v>20300.609009079999</v>
      </c>
      <c r="M40" s="46">
        <f t="shared" si="1"/>
        <v>85319.964794639993</v>
      </c>
      <c r="N40" s="46">
        <f>G40*J40+0.48</f>
        <v>560795</v>
      </c>
      <c r="O40" s="46">
        <f>G40*K40-0.11</f>
        <v>284456.99521228002</v>
      </c>
      <c r="P40" s="237"/>
      <c r="Q40" s="46">
        <f>G40*L40</f>
        <v>263907.91711803997</v>
      </c>
      <c r="R40" s="46"/>
      <c r="S40" s="46"/>
      <c r="T40" s="46">
        <f t="shared" si="2"/>
        <v>1109159.9123303199</v>
      </c>
      <c r="U40" s="46">
        <v>1109432.8</v>
      </c>
      <c r="V40" s="46">
        <f t="shared" ref="V40:V43" si="8">U40</f>
        <v>1109432.8</v>
      </c>
    </row>
    <row r="41" spans="1:25" ht="52.5" customHeight="1" x14ac:dyDescent="0.25">
      <c r="A41" s="83"/>
      <c r="B41" s="97" t="s">
        <v>274</v>
      </c>
      <c r="C41" s="343"/>
      <c r="D41" s="267" t="s">
        <v>20</v>
      </c>
      <c r="E41" s="229"/>
      <c r="F41" s="229"/>
      <c r="G41" s="218">
        <v>24</v>
      </c>
      <c r="H41" s="218">
        <v>24</v>
      </c>
      <c r="I41" s="218">
        <v>24</v>
      </c>
      <c r="J41" s="46">
        <v>34198.17</v>
      </c>
      <c r="K41" s="46">
        <f>12142.68*1.802017</f>
        <v>21881.31578556</v>
      </c>
      <c r="L41" s="46">
        <f t="shared" ref="L41:L44" si="9">20321.6-20.99099092</f>
        <v>20300.609009079999</v>
      </c>
      <c r="M41" s="46">
        <f t="shared" si="1"/>
        <v>76380.094794639997</v>
      </c>
      <c r="N41" s="46">
        <f>G41*J41-0.08</f>
        <v>820756</v>
      </c>
      <c r="O41" s="46">
        <f>G41*K41+0.42</f>
        <v>525151.99885344005</v>
      </c>
      <c r="P41" s="237"/>
      <c r="Q41" s="46">
        <f t="shared" ref="Q41:Q42" si="10">G41*L41</f>
        <v>487214.61621791997</v>
      </c>
      <c r="R41" s="46"/>
      <c r="S41" s="46"/>
      <c r="T41" s="46">
        <f t="shared" si="2"/>
        <v>1833122.61507136</v>
      </c>
      <c r="U41" s="46">
        <v>1833626.4</v>
      </c>
      <c r="V41" s="46">
        <f t="shared" si="8"/>
        <v>1833626.4</v>
      </c>
    </row>
    <row r="42" spans="1:25" ht="54.75" customHeight="1" x14ac:dyDescent="0.25">
      <c r="A42" s="83"/>
      <c r="B42" s="97" t="s">
        <v>317</v>
      </c>
      <c r="C42" s="342" t="s">
        <v>280</v>
      </c>
      <c r="D42" s="267" t="s">
        <v>20</v>
      </c>
      <c r="E42" s="229"/>
      <c r="F42" s="229"/>
      <c r="G42" s="218">
        <v>18</v>
      </c>
      <c r="H42" s="218">
        <v>18</v>
      </c>
      <c r="I42" s="218">
        <v>18</v>
      </c>
      <c r="J42" s="46">
        <v>142093.57999999999</v>
      </c>
      <c r="K42" s="46">
        <f>12142.68*1.802017</f>
        <v>21881.31578556</v>
      </c>
      <c r="L42" s="46">
        <f t="shared" si="9"/>
        <v>20300.609009079999</v>
      </c>
      <c r="M42" s="46">
        <f t="shared" si="1"/>
        <v>184275.50479464</v>
      </c>
      <c r="N42" s="46">
        <f>G42*J42-0.44</f>
        <v>2557684</v>
      </c>
      <c r="O42" s="46">
        <f>G42*K42-0.68</f>
        <v>393863.00414008001</v>
      </c>
      <c r="P42" s="237"/>
      <c r="Q42" s="46">
        <f t="shared" si="10"/>
        <v>365410.96216343995</v>
      </c>
      <c r="R42" s="46"/>
      <c r="S42" s="46"/>
      <c r="T42" s="46">
        <f t="shared" si="2"/>
        <v>3316957.9663035199</v>
      </c>
      <c r="U42" s="46">
        <v>3317335.8</v>
      </c>
      <c r="V42" s="46">
        <f t="shared" si="8"/>
        <v>3317335.8</v>
      </c>
    </row>
    <row r="43" spans="1:25" ht="50.25" customHeight="1" x14ac:dyDescent="0.25">
      <c r="A43" s="83"/>
      <c r="B43" s="97" t="s">
        <v>316</v>
      </c>
      <c r="C43" s="345"/>
      <c r="D43" s="198" t="s">
        <v>20</v>
      </c>
      <c r="E43" s="229">
        <v>30</v>
      </c>
      <c r="F43" s="229">
        <v>30</v>
      </c>
      <c r="G43" s="218">
        <v>13</v>
      </c>
      <c r="H43" s="218">
        <v>13</v>
      </c>
      <c r="I43" s="218">
        <v>13</v>
      </c>
      <c r="J43" s="46">
        <v>142093.57999999999</v>
      </c>
      <c r="K43" s="46">
        <f>12142.68*1.802017</f>
        <v>21881.31578556</v>
      </c>
      <c r="L43" s="46">
        <f t="shared" si="9"/>
        <v>20300.609009079999</v>
      </c>
      <c r="M43" s="46">
        <f t="shared" si="1"/>
        <v>184275.50479464</v>
      </c>
      <c r="N43" s="46">
        <f>G43*J43+0.46</f>
        <v>1847216.9999999998</v>
      </c>
      <c r="O43" s="46">
        <f>G43*K43-0.11</f>
        <v>284456.99521228002</v>
      </c>
      <c r="P43" s="237"/>
      <c r="Q43" s="46">
        <f>G43*L43</f>
        <v>263907.91711803997</v>
      </c>
      <c r="R43" s="46"/>
      <c r="S43" s="46"/>
      <c r="T43" s="46">
        <f t="shared" si="2"/>
        <v>2395581.9123303196</v>
      </c>
      <c r="U43" s="46">
        <v>2395854.7999999998</v>
      </c>
      <c r="V43" s="46">
        <f t="shared" si="8"/>
        <v>2395854.7999999998</v>
      </c>
    </row>
    <row r="44" spans="1:25" ht="105.75" customHeight="1" x14ac:dyDescent="0.25">
      <c r="A44" s="83"/>
      <c r="B44" s="93" t="s">
        <v>282</v>
      </c>
      <c r="C44" s="93" t="s">
        <v>281</v>
      </c>
      <c r="D44" s="198" t="s">
        <v>20</v>
      </c>
      <c r="E44" s="229">
        <v>67</v>
      </c>
      <c r="F44" s="229">
        <v>67</v>
      </c>
      <c r="G44" s="218">
        <v>43</v>
      </c>
      <c r="H44" s="218">
        <v>43</v>
      </c>
      <c r="I44" s="218">
        <v>43</v>
      </c>
      <c r="J44" s="261">
        <v>65511.03</v>
      </c>
      <c r="K44" s="46">
        <f>12142.68*1.802017</f>
        <v>21881.31578556</v>
      </c>
      <c r="L44" s="46">
        <f t="shared" si="9"/>
        <v>20300.609009079999</v>
      </c>
      <c r="M44" s="46">
        <f t="shared" si="1"/>
        <v>107692.95479464</v>
      </c>
      <c r="N44" s="46">
        <f>G44*J44-0.29</f>
        <v>2816974</v>
      </c>
      <c r="O44" s="46">
        <f>G44*K44+0.43</f>
        <v>940897.00877908</v>
      </c>
      <c r="P44" s="237"/>
      <c r="Q44" s="46">
        <f>G44*L44</f>
        <v>872926.18739043991</v>
      </c>
      <c r="R44" s="46"/>
      <c r="S44" s="46"/>
      <c r="T44" s="46">
        <f t="shared" si="2"/>
        <v>4630797.1961695198</v>
      </c>
      <c r="U44" s="46">
        <v>4631699.67</v>
      </c>
      <c r="V44" s="46">
        <f>U44</f>
        <v>4631699.67</v>
      </c>
    </row>
    <row r="45" spans="1:25" s="203" customFormat="1" x14ac:dyDescent="0.25">
      <c r="A45" s="42"/>
      <c r="B45" s="231" t="s">
        <v>225</v>
      </c>
      <c r="C45" s="217" t="s">
        <v>219</v>
      </c>
      <c r="D45" s="49" t="s">
        <v>20</v>
      </c>
      <c r="E45" s="236">
        <v>11</v>
      </c>
      <c r="F45" s="236">
        <v>11</v>
      </c>
      <c r="G45" s="218">
        <v>11</v>
      </c>
      <c r="H45" s="218">
        <v>11</v>
      </c>
      <c r="I45" s="218">
        <v>11</v>
      </c>
      <c r="J45" s="46"/>
      <c r="K45" s="46"/>
      <c r="L45" s="46"/>
      <c r="M45" s="46">
        <v>0</v>
      </c>
      <c r="N45" s="237"/>
      <c r="O45" s="46"/>
      <c r="P45" s="237"/>
      <c r="Q45" s="46"/>
      <c r="R45" s="46">
        <v>2111441</v>
      </c>
      <c r="S45" s="46"/>
      <c r="T45" s="46">
        <f>R45</f>
        <v>2111441</v>
      </c>
      <c r="U45" s="46">
        <f>R45</f>
        <v>2111441</v>
      </c>
      <c r="V45" s="46">
        <f>R45</f>
        <v>2111441</v>
      </c>
    </row>
    <row r="46" spans="1:25" s="203" customFormat="1" x14ac:dyDescent="0.25">
      <c r="A46" s="42"/>
      <c r="B46" s="231" t="s">
        <v>225</v>
      </c>
      <c r="C46" s="217" t="s">
        <v>226</v>
      </c>
      <c r="D46" s="49" t="s">
        <v>20</v>
      </c>
      <c r="E46" s="229">
        <v>10</v>
      </c>
      <c r="F46" s="229">
        <v>10</v>
      </c>
      <c r="G46" s="218">
        <v>10</v>
      </c>
      <c r="H46" s="218">
        <v>10</v>
      </c>
      <c r="I46" s="218">
        <v>10</v>
      </c>
      <c r="J46" s="46"/>
      <c r="K46" s="46"/>
      <c r="L46" s="46"/>
      <c r="M46" s="46">
        <v>0</v>
      </c>
      <c r="N46" s="237"/>
      <c r="O46" s="46"/>
      <c r="P46" s="237">
        <v>1254663</v>
      </c>
      <c r="Q46" s="46"/>
      <c r="R46" s="46"/>
      <c r="S46" s="46"/>
      <c r="T46" s="46">
        <f>P46</f>
        <v>1254663</v>
      </c>
      <c r="U46" s="46">
        <f>P46</f>
        <v>1254663</v>
      </c>
      <c r="V46" s="46">
        <f>P46</f>
        <v>1254663</v>
      </c>
    </row>
    <row r="47" spans="1:25" s="203" customFormat="1" ht="28.5" x14ac:dyDescent="0.25">
      <c r="A47" s="42"/>
      <c r="B47" s="84" t="s">
        <v>295</v>
      </c>
      <c r="C47" s="217" t="s">
        <v>219</v>
      </c>
      <c r="D47" s="49"/>
      <c r="E47" s="218"/>
      <c r="F47" s="218"/>
      <c r="G47" s="218">
        <v>11</v>
      </c>
      <c r="H47" s="218">
        <v>11</v>
      </c>
      <c r="I47" s="218">
        <v>11</v>
      </c>
      <c r="J47" s="46"/>
      <c r="K47" s="46"/>
      <c r="L47" s="46"/>
      <c r="M47" s="46">
        <v>0</v>
      </c>
      <c r="N47" s="237"/>
      <c r="O47" s="46"/>
      <c r="P47" s="237"/>
      <c r="Q47" s="46"/>
      <c r="R47" s="46">
        <v>183935</v>
      </c>
      <c r="S47" s="46"/>
      <c r="T47" s="46">
        <f>R47</f>
        <v>183935</v>
      </c>
      <c r="U47" s="46"/>
      <c r="V47" s="46"/>
    </row>
    <row r="48" spans="1:25" s="203" customFormat="1" hidden="1" x14ac:dyDescent="0.25">
      <c r="A48" s="50"/>
      <c r="B48" s="231" t="s">
        <v>264</v>
      </c>
      <c r="C48" s="217" t="s">
        <v>226</v>
      </c>
      <c r="D48" s="45"/>
      <c r="E48" s="218"/>
      <c r="F48" s="218"/>
      <c r="G48" s="218"/>
      <c r="H48" s="218"/>
      <c r="I48" s="218"/>
      <c r="J48" s="46"/>
      <c r="K48" s="46"/>
      <c r="L48" s="46"/>
      <c r="M48" s="46">
        <f t="shared" si="1"/>
        <v>0</v>
      </c>
      <c r="N48" s="237"/>
      <c r="O48" s="46"/>
      <c r="P48" s="237"/>
      <c r="Q48" s="46"/>
      <c r="R48" s="46"/>
      <c r="S48" s="46"/>
      <c r="T48" s="46">
        <f>O48</f>
        <v>0</v>
      </c>
      <c r="U48" s="46">
        <f t="shared" ref="U48:V49" si="11">T48</f>
        <v>0</v>
      </c>
      <c r="V48" s="46">
        <f t="shared" si="11"/>
        <v>0</v>
      </c>
    </row>
    <row r="49" spans="1:25" s="203" customFormat="1" x14ac:dyDescent="0.25">
      <c r="A49" s="50"/>
      <c r="B49" s="231" t="s">
        <v>265</v>
      </c>
      <c r="C49" s="217" t="s">
        <v>226</v>
      </c>
      <c r="D49" s="45"/>
      <c r="E49" s="218"/>
      <c r="F49" s="218"/>
      <c r="G49" s="218"/>
      <c r="H49" s="218"/>
      <c r="I49" s="218"/>
      <c r="J49" s="46"/>
      <c r="K49" s="46"/>
      <c r="L49" s="46"/>
      <c r="M49" s="46">
        <v>0</v>
      </c>
      <c r="N49" s="237">
        <v>39823</v>
      </c>
      <c r="O49" s="46"/>
      <c r="P49" s="237"/>
      <c r="Q49" s="46"/>
      <c r="R49" s="46"/>
      <c r="S49" s="46"/>
      <c r="T49" s="46">
        <f>N49</f>
        <v>39823</v>
      </c>
      <c r="U49" s="46">
        <f t="shared" si="11"/>
        <v>39823</v>
      </c>
      <c r="V49" s="46">
        <f t="shared" si="11"/>
        <v>39823</v>
      </c>
    </row>
    <row r="50" spans="1:25" ht="44.25" hidden="1" customHeight="1" x14ac:dyDescent="0.25">
      <c r="A50" s="83"/>
      <c r="B50" s="128"/>
      <c r="C50" s="127" t="s">
        <v>226</v>
      </c>
      <c r="D50" s="198"/>
      <c r="E50" s="87"/>
      <c r="F50" s="87"/>
      <c r="G50" s="218"/>
      <c r="H50" s="218"/>
      <c r="I50" s="218"/>
      <c r="J50" s="46"/>
      <c r="K50" s="46"/>
      <c r="L50" s="46"/>
      <c r="M50" s="46">
        <f t="shared" si="1"/>
        <v>0</v>
      </c>
      <c r="N50" s="237"/>
      <c r="O50" s="46"/>
      <c r="P50" s="237"/>
      <c r="Q50" s="46"/>
      <c r="R50" s="46"/>
      <c r="S50" s="46"/>
      <c r="T50" s="46">
        <f>N50</f>
        <v>0</v>
      </c>
      <c r="U50" s="46">
        <f t="shared" ref="U50:V52" si="12">T50</f>
        <v>0</v>
      </c>
      <c r="V50" s="46">
        <f t="shared" si="12"/>
        <v>0</v>
      </c>
    </row>
    <row r="51" spans="1:25" hidden="1" x14ac:dyDescent="0.25">
      <c r="A51" s="83"/>
      <c r="B51" s="128"/>
      <c r="C51" s="127"/>
      <c r="D51" s="213"/>
      <c r="E51" s="87"/>
      <c r="F51" s="87"/>
      <c r="G51" s="218"/>
      <c r="H51" s="218"/>
      <c r="I51" s="218"/>
      <c r="J51" s="46"/>
      <c r="K51" s="46"/>
      <c r="L51" s="46"/>
      <c r="M51" s="46">
        <f t="shared" si="1"/>
        <v>0</v>
      </c>
      <c r="N51" s="237"/>
      <c r="O51" s="46"/>
      <c r="P51" s="237"/>
      <c r="Q51" s="46"/>
      <c r="R51" s="46"/>
      <c r="S51" s="46"/>
      <c r="T51" s="46">
        <f>O51</f>
        <v>0</v>
      </c>
      <c r="U51" s="46">
        <f t="shared" si="12"/>
        <v>0</v>
      </c>
      <c r="V51" s="46">
        <f t="shared" si="12"/>
        <v>0</v>
      </c>
    </row>
    <row r="52" spans="1:25" ht="64.5" customHeight="1" x14ac:dyDescent="0.25">
      <c r="A52" s="193" t="s">
        <v>249</v>
      </c>
      <c r="B52" s="198" t="s">
        <v>28</v>
      </c>
      <c r="C52" s="127" t="s">
        <v>219</v>
      </c>
      <c r="D52" s="198" t="s">
        <v>20</v>
      </c>
      <c r="E52" s="229">
        <v>115</v>
      </c>
      <c r="F52" s="87">
        <v>115</v>
      </c>
      <c r="G52" s="218">
        <v>111</v>
      </c>
      <c r="H52" s="218">
        <v>111</v>
      </c>
      <c r="I52" s="218">
        <v>111</v>
      </c>
      <c r="J52" s="46" t="s">
        <v>23</v>
      </c>
      <c r="K52" s="46"/>
      <c r="L52" s="46">
        <v>10751.447567499999</v>
      </c>
      <c r="M52" s="46">
        <f t="shared" si="1"/>
        <v>10751.447567499999</v>
      </c>
      <c r="N52" s="237">
        <f t="shared" ref="N52:N112" si="13">E52*J52</f>
        <v>0</v>
      </c>
      <c r="O52" s="46"/>
      <c r="P52" s="237"/>
      <c r="Q52" s="46">
        <f>G52*L52</f>
        <v>1193410.6799925</v>
      </c>
      <c r="R52" s="46"/>
      <c r="S52" s="46"/>
      <c r="T52" s="46">
        <f>SUM(N52:Q52)</f>
        <v>1193410.6799925</v>
      </c>
      <c r="U52" s="46">
        <f t="shared" si="12"/>
        <v>1193410.6799925</v>
      </c>
      <c r="V52" s="46">
        <f t="shared" si="12"/>
        <v>1193410.6799925</v>
      </c>
    </row>
    <row r="53" spans="1:25" x14ac:dyDescent="0.25">
      <c r="A53" s="86"/>
      <c r="B53" s="198" t="s">
        <v>28</v>
      </c>
      <c r="C53" s="127" t="s">
        <v>220</v>
      </c>
      <c r="D53" s="198"/>
      <c r="E53" s="87"/>
      <c r="F53" s="87"/>
      <c r="G53" s="218">
        <v>105</v>
      </c>
      <c r="H53" s="218">
        <v>105</v>
      </c>
      <c r="I53" s="218">
        <v>105</v>
      </c>
      <c r="J53" s="46"/>
      <c r="K53" s="46"/>
      <c r="L53" s="46">
        <v>12750.1</v>
      </c>
      <c r="M53" s="46">
        <f t="shared" si="1"/>
        <v>12750.1</v>
      </c>
      <c r="N53" s="237"/>
      <c r="O53" s="46"/>
      <c r="P53" s="237"/>
      <c r="Q53" s="46"/>
      <c r="R53" s="46"/>
      <c r="S53" s="46">
        <f>G53*L53</f>
        <v>1338760.5</v>
      </c>
      <c r="T53" s="46">
        <f>S53</f>
        <v>1338760.5</v>
      </c>
      <c r="U53" s="46">
        <f>S53</f>
        <v>1338760.5</v>
      </c>
      <c r="V53" s="46">
        <f>S53</f>
        <v>1338760.5</v>
      </c>
    </row>
    <row r="54" spans="1:25" ht="71.25" x14ac:dyDescent="0.25">
      <c r="A54" s="86"/>
      <c r="B54" s="128" t="s">
        <v>321</v>
      </c>
      <c r="C54" s="217" t="s">
        <v>226</v>
      </c>
      <c r="D54" s="281"/>
      <c r="E54" s="87"/>
      <c r="F54" s="87"/>
      <c r="G54" s="218"/>
      <c r="H54" s="218"/>
      <c r="I54" s="218"/>
      <c r="J54" s="46"/>
      <c r="K54" s="46"/>
      <c r="L54" s="46"/>
      <c r="M54" s="46"/>
      <c r="N54" s="237">
        <v>122007</v>
      </c>
      <c r="O54" s="46"/>
      <c r="P54" s="237"/>
      <c r="Q54" s="46"/>
      <c r="R54" s="46"/>
      <c r="S54" s="46"/>
      <c r="T54" s="46">
        <f>N54</f>
        <v>122007</v>
      </c>
      <c r="U54" s="46"/>
      <c r="V54" s="46"/>
    </row>
    <row r="55" spans="1:25" x14ac:dyDescent="0.25">
      <c r="A55" s="188" t="s">
        <v>40</v>
      </c>
      <c r="B55" s="94"/>
      <c r="C55" s="94"/>
      <c r="D55" s="94"/>
      <c r="E55" s="92"/>
      <c r="F55" s="92"/>
      <c r="G55" s="263"/>
      <c r="H55" s="263"/>
      <c r="I55" s="263"/>
      <c r="J55" s="220"/>
      <c r="K55" s="220"/>
      <c r="L55" s="220"/>
      <c r="M55" s="46">
        <f t="shared" si="1"/>
        <v>0</v>
      </c>
      <c r="N55" s="220">
        <f>N56+N67</f>
        <v>6538672</v>
      </c>
      <c r="O55" s="220">
        <f>O56+O67</f>
        <v>2494469.9995538401</v>
      </c>
      <c r="P55" s="220">
        <f>P56</f>
        <v>644437</v>
      </c>
      <c r="Q55" s="220">
        <f>Q56+Q67+Q62</f>
        <v>3416765.0299997199</v>
      </c>
      <c r="R55" s="220">
        <f>R56</f>
        <v>2399458</v>
      </c>
      <c r="S55" s="220">
        <f>S68</f>
        <v>1415261.1</v>
      </c>
      <c r="T55" s="220">
        <f>T56+T67+T68</f>
        <v>16909063.12955356</v>
      </c>
      <c r="U55" s="220">
        <f>U56+U67+U68</f>
        <v>16637032.889999999</v>
      </c>
      <c r="V55" s="220">
        <f>V56+V67+V68</f>
        <v>16637032.889999999</v>
      </c>
      <c r="W55" s="85">
        <v>3416765.03</v>
      </c>
      <c r="X55" s="85">
        <f>W55-Q55</f>
        <v>2.7986243367195129E-7</v>
      </c>
      <c r="Y55" s="80">
        <f>X55/I67</f>
        <v>2.454933628701327E-9</v>
      </c>
    </row>
    <row r="56" spans="1:25" ht="84" customHeight="1" x14ac:dyDescent="0.25">
      <c r="A56" s="193" t="s">
        <v>248</v>
      </c>
      <c r="B56" s="84" t="s">
        <v>76</v>
      </c>
      <c r="C56" s="128"/>
      <c r="D56" s="95"/>
      <c r="E56" s="68"/>
      <c r="F56" s="68"/>
      <c r="G56" s="262"/>
      <c r="H56" s="262"/>
      <c r="I56" s="262"/>
      <c r="J56" s="46"/>
      <c r="K56" s="46"/>
      <c r="L56" s="46"/>
      <c r="M56" s="46">
        <f t="shared" si="1"/>
        <v>0</v>
      </c>
      <c r="N56" s="46">
        <f>SUM(N57:N69)</f>
        <v>6538672</v>
      </c>
      <c r="O56" s="46">
        <f>SUM(O57:O66)</f>
        <v>2494469.9995538401</v>
      </c>
      <c r="P56" s="46">
        <f>P61</f>
        <v>644437</v>
      </c>
      <c r="Q56" s="46">
        <f t="shared" ref="Q56" si="14">SUM(Q57:Q59)</f>
        <v>2314310.9299997198</v>
      </c>
      <c r="R56" s="46">
        <f>R60+R62</f>
        <v>2399458</v>
      </c>
      <c r="S56" s="46"/>
      <c r="T56" s="46">
        <f>SUM(T57:T66)+T69</f>
        <v>14391347.929553559</v>
      </c>
      <c r="U56" s="46">
        <f t="shared" ref="U56:V56" si="15">SUM(U57:U66)</f>
        <v>14119317.689999999</v>
      </c>
      <c r="V56" s="46">
        <f t="shared" si="15"/>
        <v>14119317.689999999</v>
      </c>
      <c r="W56" s="85">
        <f>T55-U55</f>
        <v>272030.23955356143</v>
      </c>
    </row>
    <row r="57" spans="1:25" ht="56.25" customHeight="1" x14ac:dyDescent="0.25">
      <c r="A57" s="83"/>
      <c r="B57" s="97" t="s">
        <v>276</v>
      </c>
      <c r="C57" s="332" t="s">
        <v>279</v>
      </c>
      <c r="D57" s="198" t="s">
        <v>20</v>
      </c>
      <c r="E57" s="229">
        <v>22</v>
      </c>
      <c r="F57" s="229">
        <v>22</v>
      </c>
      <c r="G57" s="218">
        <v>19</v>
      </c>
      <c r="H57" s="218">
        <v>19</v>
      </c>
      <c r="I57" s="218">
        <v>19</v>
      </c>
      <c r="J57" s="46">
        <v>43138.04</v>
      </c>
      <c r="K57" s="46">
        <f>12142.68*1.802017</f>
        <v>21881.31578556</v>
      </c>
      <c r="L57" s="46">
        <f>20321.6-20.62280702</f>
        <v>20300.977192979997</v>
      </c>
      <c r="M57" s="46">
        <f t="shared" si="1"/>
        <v>85320.332978539998</v>
      </c>
      <c r="N57" s="46">
        <f>G57*J57+0.24</f>
        <v>819623</v>
      </c>
      <c r="O57" s="46">
        <f>G57*K57</f>
        <v>415744.99992564</v>
      </c>
      <c r="P57" s="237"/>
      <c r="Q57" s="46">
        <f>G57*L57</f>
        <v>385718.56666661997</v>
      </c>
      <c r="R57" s="46"/>
      <c r="S57" s="46"/>
      <c r="T57" s="46">
        <f t="shared" si="2"/>
        <v>1621086.5665922598</v>
      </c>
      <c r="U57" s="46">
        <v>1621478.16</v>
      </c>
      <c r="V57" s="46">
        <f>U57</f>
        <v>1621478.16</v>
      </c>
    </row>
    <row r="58" spans="1:25" ht="54" customHeight="1" x14ac:dyDescent="0.25">
      <c r="A58" s="88"/>
      <c r="B58" s="97" t="s">
        <v>274</v>
      </c>
      <c r="C58" s="333"/>
      <c r="D58" s="86" t="s">
        <v>20</v>
      </c>
      <c r="E58" s="229">
        <v>21</v>
      </c>
      <c r="F58" s="229">
        <v>21</v>
      </c>
      <c r="G58" s="218">
        <v>19</v>
      </c>
      <c r="H58" s="218">
        <v>19</v>
      </c>
      <c r="I58" s="218">
        <v>19</v>
      </c>
      <c r="J58" s="46">
        <v>34198.17</v>
      </c>
      <c r="K58" s="46">
        <f>12142.68*1.802017</f>
        <v>21881.31578556</v>
      </c>
      <c r="L58" s="46">
        <f t="shared" ref="L58:L59" si="16">20321.6-20.62280702</f>
        <v>20300.977192979997</v>
      </c>
      <c r="M58" s="46">
        <f t="shared" si="1"/>
        <v>76380.462978539988</v>
      </c>
      <c r="N58" s="46">
        <f>G58*J58-0.23</f>
        <v>649765</v>
      </c>
      <c r="O58" s="46">
        <f>G58*K58</f>
        <v>415744.99992564</v>
      </c>
      <c r="P58" s="237"/>
      <c r="Q58" s="46">
        <f>G58*L58</f>
        <v>385718.56666661997</v>
      </c>
      <c r="R58" s="46"/>
      <c r="S58" s="46"/>
      <c r="T58" s="46">
        <f t="shared" si="2"/>
        <v>1451228.5665922598</v>
      </c>
      <c r="U58" s="46">
        <v>1451620.4</v>
      </c>
      <c r="V58" s="46">
        <f>U58</f>
        <v>1451620.4</v>
      </c>
    </row>
    <row r="59" spans="1:25" ht="120" x14ac:dyDescent="0.25">
      <c r="A59" s="88"/>
      <c r="B59" s="97" t="s">
        <v>274</v>
      </c>
      <c r="C59" s="93" t="s">
        <v>278</v>
      </c>
      <c r="D59" s="198" t="s">
        <v>20</v>
      </c>
      <c r="E59" s="229">
        <v>71</v>
      </c>
      <c r="F59" s="229">
        <v>71</v>
      </c>
      <c r="G59" s="218">
        <v>76</v>
      </c>
      <c r="H59" s="218">
        <v>76</v>
      </c>
      <c r="I59" s="218">
        <v>76</v>
      </c>
      <c r="J59" s="261">
        <v>65511.03</v>
      </c>
      <c r="K59" s="46">
        <f>12142.68*1.802017</f>
        <v>21881.31578556</v>
      </c>
      <c r="L59" s="46">
        <f t="shared" si="16"/>
        <v>20300.977192979997</v>
      </c>
      <c r="M59" s="46">
        <f t="shared" si="1"/>
        <v>107693.32297854</v>
      </c>
      <c r="N59" s="46">
        <f>G59*J59-0.28</f>
        <v>4978838</v>
      </c>
      <c r="O59" s="46">
        <f>G59*K59</f>
        <v>1662979.99970256</v>
      </c>
      <c r="P59" s="237"/>
      <c r="Q59" s="46">
        <f>G59*L59-0.47</f>
        <v>1542873.7966664799</v>
      </c>
      <c r="R59" s="46"/>
      <c r="S59" s="46"/>
      <c r="T59" s="46">
        <f t="shared" si="2"/>
        <v>8184691.7963690395</v>
      </c>
      <c r="U59" s="46">
        <v>8186259.1299999999</v>
      </c>
      <c r="V59" s="46">
        <f>U59</f>
        <v>8186259.1299999999</v>
      </c>
    </row>
    <row r="60" spans="1:25" s="203" customFormat="1" x14ac:dyDescent="0.25">
      <c r="A60" s="49"/>
      <c r="B60" s="231" t="s">
        <v>225</v>
      </c>
      <c r="C60" s="217" t="s">
        <v>219</v>
      </c>
      <c r="D60" s="226" t="s">
        <v>20</v>
      </c>
      <c r="E60" s="236">
        <v>11</v>
      </c>
      <c r="F60" s="236">
        <v>11</v>
      </c>
      <c r="G60" s="218">
        <v>11</v>
      </c>
      <c r="H60" s="218">
        <v>11</v>
      </c>
      <c r="I60" s="218">
        <v>11</v>
      </c>
      <c r="J60" s="46"/>
      <c r="K60" s="46"/>
      <c r="L60" s="46"/>
      <c r="M60" s="46">
        <f t="shared" si="1"/>
        <v>0</v>
      </c>
      <c r="N60" s="237"/>
      <c r="O60" s="46"/>
      <c r="P60" s="237"/>
      <c r="Q60" s="46"/>
      <c r="R60" s="46">
        <v>2215523</v>
      </c>
      <c r="S60" s="46"/>
      <c r="T60" s="46">
        <f>R60</f>
        <v>2215523</v>
      </c>
      <c r="U60" s="46">
        <f>R60</f>
        <v>2215523</v>
      </c>
      <c r="V60" s="46">
        <f>R60</f>
        <v>2215523</v>
      </c>
    </row>
    <row r="61" spans="1:25" s="203" customFormat="1" x14ac:dyDescent="0.25">
      <c r="A61" s="49"/>
      <c r="B61" s="231" t="s">
        <v>225</v>
      </c>
      <c r="C61" s="217" t="s">
        <v>226</v>
      </c>
      <c r="D61" s="226" t="s">
        <v>20</v>
      </c>
      <c r="E61" s="229">
        <v>6</v>
      </c>
      <c r="F61" s="229">
        <v>6</v>
      </c>
      <c r="G61" s="218">
        <v>6</v>
      </c>
      <c r="H61" s="218">
        <v>6</v>
      </c>
      <c r="I61" s="218">
        <v>6</v>
      </c>
      <c r="J61" s="46"/>
      <c r="K61" s="46"/>
      <c r="L61" s="46"/>
      <c r="M61" s="46">
        <f t="shared" si="1"/>
        <v>0</v>
      </c>
      <c r="N61" s="237"/>
      <c r="O61" s="46"/>
      <c r="P61" s="237">
        <v>644437</v>
      </c>
      <c r="Q61" s="46"/>
      <c r="R61" s="46"/>
      <c r="S61" s="46"/>
      <c r="T61" s="46">
        <f>P61</f>
        <v>644437</v>
      </c>
      <c r="U61" s="46">
        <f>P61</f>
        <v>644437</v>
      </c>
      <c r="V61" s="46">
        <f>P61</f>
        <v>644437</v>
      </c>
    </row>
    <row r="62" spans="1:25" s="203" customFormat="1" ht="28.5" x14ac:dyDescent="0.25">
      <c r="A62" s="49"/>
      <c r="B62" s="84" t="s">
        <v>295</v>
      </c>
      <c r="C62" s="217" t="s">
        <v>219</v>
      </c>
      <c r="D62" s="50"/>
      <c r="E62" s="218"/>
      <c r="F62" s="218"/>
      <c r="G62" s="218"/>
      <c r="H62" s="218"/>
      <c r="I62" s="218"/>
      <c r="J62" s="46"/>
      <c r="K62" s="46"/>
      <c r="L62" s="46"/>
      <c r="M62" s="46">
        <f t="shared" si="1"/>
        <v>0</v>
      </c>
      <c r="N62" s="237"/>
      <c r="O62" s="46"/>
      <c r="P62" s="237"/>
      <c r="Q62" s="46"/>
      <c r="R62" s="46">
        <v>183935</v>
      </c>
      <c r="S62" s="46"/>
      <c r="T62" s="46">
        <f>R62</f>
        <v>183935</v>
      </c>
      <c r="U62" s="46"/>
      <c r="V62" s="210"/>
    </row>
    <row r="63" spans="1:25" s="203" customFormat="1" hidden="1" x14ac:dyDescent="0.25">
      <c r="A63" s="50"/>
      <c r="B63" s="231" t="s">
        <v>264</v>
      </c>
      <c r="C63" s="217" t="s">
        <v>226</v>
      </c>
      <c r="D63" s="45"/>
      <c r="E63" s="218"/>
      <c r="F63" s="218"/>
      <c r="G63" s="218"/>
      <c r="H63" s="218"/>
      <c r="I63" s="218"/>
      <c r="J63" s="46"/>
      <c r="K63" s="46"/>
      <c r="L63" s="46"/>
      <c r="M63" s="46">
        <f t="shared" si="1"/>
        <v>0</v>
      </c>
      <c r="N63" s="237"/>
      <c r="O63" s="46"/>
      <c r="P63" s="237"/>
      <c r="Q63" s="46"/>
      <c r="R63" s="46"/>
      <c r="S63" s="46"/>
      <c r="T63" s="46">
        <f>O63</f>
        <v>0</v>
      </c>
      <c r="U63" s="46">
        <f t="shared" ref="U63:V64" si="17">T63</f>
        <v>0</v>
      </c>
      <c r="V63" s="46">
        <f>U63</f>
        <v>0</v>
      </c>
    </row>
    <row r="64" spans="1:25" s="203" customFormat="1" hidden="1" x14ac:dyDescent="0.25">
      <c r="A64" s="50"/>
      <c r="B64" s="231" t="s">
        <v>265</v>
      </c>
      <c r="C64" s="217" t="s">
        <v>226</v>
      </c>
      <c r="D64" s="45"/>
      <c r="E64" s="218"/>
      <c r="F64" s="218"/>
      <c r="G64" s="218"/>
      <c r="H64" s="218"/>
      <c r="I64" s="218"/>
      <c r="J64" s="46"/>
      <c r="K64" s="46"/>
      <c r="L64" s="46"/>
      <c r="M64" s="46">
        <f t="shared" si="1"/>
        <v>0</v>
      </c>
      <c r="N64" s="237"/>
      <c r="O64" s="46"/>
      <c r="P64" s="237"/>
      <c r="Q64" s="46"/>
      <c r="R64" s="46"/>
      <c r="S64" s="46"/>
      <c r="T64" s="46">
        <f>N64</f>
        <v>0</v>
      </c>
      <c r="U64" s="46">
        <f t="shared" si="17"/>
        <v>0</v>
      </c>
      <c r="V64" s="46">
        <f t="shared" si="17"/>
        <v>0</v>
      </c>
    </row>
    <row r="65" spans="1:25" ht="45.75" hidden="1" customHeight="1" x14ac:dyDescent="0.25">
      <c r="A65" s="88"/>
      <c r="B65" s="128" t="s">
        <v>257</v>
      </c>
      <c r="C65" s="127" t="s">
        <v>226</v>
      </c>
      <c r="D65" s="198"/>
      <c r="E65" s="87"/>
      <c r="F65" s="87"/>
      <c r="G65" s="218"/>
      <c r="H65" s="218"/>
      <c r="I65" s="218"/>
      <c r="J65" s="46"/>
      <c r="K65" s="46"/>
      <c r="L65" s="46"/>
      <c r="M65" s="46">
        <f t="shared" si="1"/>
        <v>0</v>
      </c>
      <c r="N65" s="237"/>
      <c r="O65" s="46"/>
      <c r="P65" s="237"/>
      <c r="Q65" s="46"/>
      <c r="R65" s="46"/>
      <c r="S65" s="46"/>
      <c r="T65" s="46">
        <f>N65</f>
        <v>0</v>
      </c>
      <c r="U65" s="46">
        <f t="shared" ref="U65:V67" si="18">T65</f>
        <v>0</v>
      </c>
      <c r="V65" s="46">
        <f t="shared" si="18"/>
        <v>0</v>
      </c>
    </row>
    <row r="66" spans="1:25" hidden="1" x14ac:dyDescent="0.25">
      <c r="A66" s="88"/>
      <c r="B66" s="128" t="s">
        <v>260</v>
      </c>
      <c r="C66" s="127"/>
      <c r="D66" s="213"/>
      <c r="E66" s="87"/>
      <c r="F66" s="87"/>
      <c r="G66" s="218"/>
      <c r="H66" s="218"/>
      <c r="I66" s="218"/>
      <c r="J66" s="46"/>
      <c r="K66" s="46"/>
      <c r="L66" s="46"/>
      <c r="M66" s="46">
        <f t="shared" si="1"/>
        <v>0</v>
      </c>
      <c r="N66" s="237"/>
      <c r="O66" s="46"/>
      <c r="P66" s="237"/>
      <c r="Q66" s="46"/>
      <c r="R66" s="46"/>
      <c r="S66" s="46"/>
      <c r="T66" s="46">
        <f>O66</f>
        <v>0</v>
      </c>
      <c r="U66" s="46">
        <f t="shared" si="18"/>
        <v>0</v>
      </c>
      <c r="V66" s="46">
        <f t="shared" si="18"/>
        <v>0</v>
      </c>
    </row>
    <row r="67" spans="1:25" ht="63" customHeight="1" x14ac:dyDescent="0.25">
      <c r="A67" s="193" t="s">
        <v>249</v>
      </c>
      <c r="B67" s="198" t="s">
        <v>28</v>
      </c>
      <c r="C67" s="127" t="s">
        <v>219</v>
      </c>
      <c r="D67" s="86" t="s">
        <v>20</v>
      </c>
      <c r="E67" s="229">
        <f>E59+E58+E57</f>
        <v>114</v>
      </c>
      <c r="F67" s="229">
        <f t="shared" ref="F67:I67" si="19">F59+F58+F57</f>
        <v>114</v>
      </c>
      <c r="G67" s="218">
        <f t="shared" si="19"/>
        <v>114</v>
      </c>
      <c r="H67" s="218">
        <f t="shared" si="19"/>
        <v>114</v>
      </c>
      <c r="I67" s="218">
        <f t="shared" si="19"/>
        <v>114</v>
      </c>
      <c r="J67" s="46" t="s">
        <v>23</v>
      </c>
      <c r="K67" s="46"/>
      <c r="L67" s="46">
        <v>9670.65</v>
      </c>
      <c r="M67" s="46">
        <f t="shared" si="1"/>
        <v>9670.65</v>
      </c>
      <c r="N67" s="237">
        <f>G67*J67</f>
        <v>0</v>
      </c>
      <c r="O67" s="46">
        <f t="shared" ref="O67" si="20">G67*K67</f>
        <v>0</v>
      </c>
      <c r="P67" s="237"/>
      <c r="Q67" s="46">
        <f>E67*L67</f>
        <v>1102454.0999999999</v>
      </c>
      <c r="R67" s="46"/>
      <c r="S67" s="46"/>
      <c r="T67" s="46">
        <f>SUM(N67:Q67)</f>
        <v>1102454.0999999999</v>
      </c>
      <c r="U67" s="46">
        <f t="shared" si="18"/>
        <v>1102454.0999999999</v>
      </c>
      <c r="V67" s="46">
        <f t="shared" si="18"/>
        <v>1102454.0999999999</v>
      </c>
    </row>
    <row r="68" spans="1:25" x14ac:dyDescent="0.25">
      <c r="A68" s="86"/>
      <c r="B68" s="198" t="s">
        <v>28</v>
      </c>
      <c r="C68" s="127" t="s">
        <v>220</v>
      </c>
      <c r="D68" s="86"/>
      <c r="E68" s="87"/>
      <c r="F68" s="87"/>
      <c r="G68" s="218">
        <v>111</v>
      </c>
      <c r="H68" s="218">
        <v>111</v>
      </c>
      <c r="I68" s="218">
        <v>111</v>
      </c>
      <c r="J68" s="46"/>
      <c r="K68" s="46"/>
      <c r="L68" s="46">
        <v>12750.1</v>
      </c>
      <c r="M68" s="46">
        <f t="shared" si="1"/>
        <v>12750.1</v>
      </c>
      <c r="N68" s="237"/>
      <c r="O68" s="46"/>
      <c r="P68" s="237"/>
      <c r="Q68" s="46"/>
      <c r="R68" s="46"/>
      <c r="S68" s="46">
        <f>L68*G68</f>
        <v>1415261.1</v>
      </c>
      <c r="T68" s="46">
        <f>S68</f>
        <v>1415261.1</v>
      </c>
      <c r="U68" s="46">
        <f>S68</f>
        <v>1415261.1</v>
      </c>
      <c r="V68" s="46">
        <f>S68</f>
        <v>1415261.1</v>
      </c>
    </row>
    <row r="69" spans="1:25" ht="71.25" x14ac:dyDescent="0.25">
      <c r="A69" s="86"/>
      <c r="B69" s="128" t="s">
        <v>321</v>
      </c>
      <c r="C69" s="217" t="s">
        <v>226</v>
      </c>
      <c r="D69" s="86"/>
      <c r="E69" s="87"/>
      <c r="F69" s="87"/>
      <c r="G69" s="218"/>
      <c r="H69" s="218"/>
      <c r="I69" s="218"/>
      <c r="J69" s="46"/>
      <c r="K69" s="46"/>
      <c r="L69" s="46"/>
      <c r="M69" s="46"/>
      <c r="N69" s="237">
        <v>90446</v>
      </c>
      <c r="O69" s="46"/>
      <c r="P69" s="237"/>
      <c r="Q69" s="46"/>
      <c r="R69" s="46"/>
      <c r="S69" s="46"/>
      <c r="T69" s="46">
        <f>N69</f>
        <v>90446</v>
      </c>
      <c r="U69" s="46"/>
      <c r="V69" s="46"/>
    </row>
    <row r="70" spans="1:25" x14ac:dyDescent="0.25">
      <c r="A70" s="188" t="s">
        <v>44</v>
      </c>
      <c r="B70" s="94"/>
      <c r="C70" s="94"/>
      <c r="D70" s="94"/>
      <c r="E70" s="92"/>
      <c r="F70" s="92"/>
      <c r="G70" s="263"/>
      <c r="H70" s="263"/>
      <c r="I70" s="263"/>
      <c r="J70" s="220"/>
      <c r="K70" s="220"/>
      <c r="L70" s="220"/>
      <c r="M70" s="46">
        <f t="shared" si="1"/>
        <v>0</v>
      </c>
      <c r="N70" s="220">
        <f>N71+N82</f>
        <v>12795212</v>
      </c>
      <c r="O70" s="220">
        <f>O71+O82</f>
        <v>4748244.9954665201</v>
      </c>
      <c r="P70" s="220">
        <f>P71</f>
        <v>944082</v>
      </c>
      <c r="Q70" s="220">
        <f>Q71+Q82+Q78</f>
        <v>6593759.5299996696</v>
      </c>
      <c r="R70" s="220">
        <f>R71</f>
        <v>3985033</v>
      </c>
      <c r="S70" s="220">
        <f>S83</f>
        <v>2703021.2</v>
      </c>
      <c r="T70" s="220">
        <f>T71+T82+T83</f>
        <v>31769352.725466188</v>
      </c>
      <c r="U70" s="220">
        <f>U71+U82+U83</f>
        <v>31275001.649994999</v>
      </c>
      <c r="V70" s="220">
        <f>V71+V82+V83</f>
        <v>31275001.649994999</v>
      </c>
      <c r="W70" s="214">
        <v>6593759.5300000003</v>
      </c>
      <c r="X70" s="85">
        <f>W70-Q70</f>
        <v>3.3061951398849487E-7</v>
      </c>
      <c r="Y70" s="80">
        <f>X70/I82</f>
        <v>1.5235922303617274E-9</v>
      </c>
    </row>
    <row r="71" spans="1:25" ht="85.5" customHeight="1" x14ac:dyDescent="0.25">
      <c r="A71" s="193" t="s">
        <v>248</v>
      </c>
      <c r="B71" s="84" t="s">
        <v>76</v>
      </c>
      <c r="C71" s="128"/>
      <c r="D71" s="95"/>
      <c r="E71" s="68"/>
      <c r="F71" s="68"/>
      <c r="G71" s="262"/>
      <c r="H71" s="262"/>
      <c r="I71" s="262"/>
      <c r="J71" s="46"/>
      <c r="K71" s="46"/>
      <c r="L71" s="46"/>
      <c r="M71" s="46">
        <f t="shared" si="1"/>
        <v>0</v>
      </c>
      <c r="N71" s="46">
        <f>SUM(N72:N84)</f>
        <v>12795212</v>
      </c>
      <c r="O71" s="46">
        <f>SUM(O72:O81)</f>
        <v>4748244.9954665201</v>
      </c>
      <c r="P71" s="237">
        <f>P77</f>
        <v>944082</v>
      </c>
      <c r="Q71" s="46">
        <f>SUM(Q72:Q75)</f>
        <v>4405252.2000046698</v>
      </c>
      <c r="R71" s="46">
        <f>R76+R78</f>
        <v>3985033</v>
      </c>
      <c r="S71" s="46"/>
      <c r="T71" s="46">
        <f>SUM(T72:T81)+T84</f>
        <v>26877824.19547119</v>
      </c>
      <c r="U71" s="46">
        <f>SUM(U72:U81)+0.01</f>
        <v>26383473.120000001</v>
      </c>
      <c r="V71" s="46">
        <f>SUM(V72:V81)+0.01</f>
        <v>26383473.120000001</v>
      </c>
      <c r="W71" s="85">
        <f>T70-U70</f>
        <v>494351.07547118887</v>
      </c>
    </row>
    <row r="72" spans="1:25" ht="51.75" customHeight="1" x14ac:dyDescent="0.25">
      <c r="A72" s="83"/>
      <c r="B72" s="97" t="s">
        <v>276</v>
      </c>
      <c r="C72" s="342" t="s">
        <v>283</v>
      </c>
      <c r="D72" s="198" t="s">
        <v>20</v>
      </c>
      <c r="E72" s="229">
        <v>35</v>
      </c>
      <c r="F72" s="87">
        <v>35</v>
      </c>
      <c r="G72" s="218">
        <v>29</v>
      </c>
      <c r="H72" s="218">
        <v>29</v>
      </c>
      <c r="I72" s="218">
        <v>29</v>
      </c>
      <c r="J72" s="46">
        <v>43138.04</v>
      </c>
      <c r="K72" s="46">
        <f>12142.68*1.802017</f>
        <v>21881.31578556</v>
      </c>
      <c r="L72" s="46">
        <f>20321.6-20.89861749</f>
        <v>20300.70138251</v>
      </c>
      <c r="M72" s="46">
        <f t="shared" si="1"/>
        <v>85320.057168069994</v>
      </c>
      <c r="N72" s="46">
        <f>G72*J72-0.16</f>
        <v>1251003</v>
      </c>
      <c r="O72" s="46">
        <f>G72*K72-0.16</f>
        <v>634557.99778124003</v>
      </c>
      <c r="P72" s="237"/>
      <c r="Q72" s="46">
        <f>G72*L72</f>
        <v>588720.34009278996</v>
      </c>
      <c r="R72" s="46"/>
      <c r="S72" s="46"/>
      <c r="T72" s="46">
        <f>SUM(N72:Q72)</f>
        <v>2474281.3378740298</v>
      </c>
      <c r="U72" s="46">
        <v>2474887.4</v>
      </c>
      <c r="V72" s="46">
        <f>U72</f>
        <v>2474887.4</v>
      </c>
    </row>
    <row r="73" spans="1:25" ht="51" customHeight="1" x14ac:dyDescent="0.25">
      <c r="A73" s="88"/>
      <c r="B73" s="97" t="s">
        <v>274</v>
      </c>
      <c r="C73" s="343"/>
      <c r="D73" s="86" t="s">
        <v>20</v>
      </c>
      <c r="E73" s="229">
        <v>85</v>
      </c>
      <c r="F73" s="87">
        <v>85</v>
      </c>
      <c r="G73" s="218">
        <v>89</v>
      </c>
      <c r="H73" s="218">
        <v>89</v>
      </c>
      <c r="I73" s="218">
        <v>89</v>
      </c>
      <c r="J73" s="46">
        <v>34198.17</v>
      </c>
      <c r="K73" s="46">
        <f>12142.68*1.802017</f>
        <v>21881.31578556</v>
      </c>
      <c r="L73" s="46">
        <f t="shared" ref="L73:L75" si="21">20321.6-20.89861749</f>
        <v>20300.70138251</v>
      </c>
      <c r="M73" s="46">
        <f t="shared" si="1"/>
        <v>76380.187168069999</v>
      </c>
      <c r="N73" s="46">
        <f>G73*J73-0.13</f>
        <v>3043637</v>
      </c>
      <c r="O73" s="46">
        <f>G73*K73-0.1</f>
        <v>1947437.00491484</v>
      </c>
      <c r="P73" s="237"/>
      <c r="Q73" s="46">
        <f t="shared" ref="Q73:Q74" si="22">G73*L73</f>
        <v>1806762.42304339</v>
      </c>
      <c r="R73" s="46"/>
      <c r="S73" s="46"/>
      <c r="T73" s="46">
        <f t="shared" si="2"/>
        <v>6797836.4279582296</v>
      </c>
      <c r="U73" s="46">
        <v>6799696.4000000004</v>
      </c>
      <c r="V73" s="46">
        <f>U73</f>
        <v>6799696.4000000004</v>
      </c>
    </row>
    <row r="74" spans="1:25" ht="105" x14ac:dyDescent="0.25">
      <c r="A74" s="83"/>
      <c r="B74" s="97" t="s">
        <v>274</v>
      </c>
      <c r="C74" s="93" t="s">
        <v>284</v>
      </c>
      <c r="D74" s="198" t="s">
        <v>20</v>
      </c>
      <c r="E74" s="229">
        <v>25</v>
      </c>
      <c r="F74" s="87">
        <v>25</v>
      </c>
      <c r="G74" s="218">
        <v>24</v>
      </c>
      <c r="H74" s="218">
        <v>24</v>
      </c>
      <c r="I74" s="218">
        <v>24</v>
      </c>
      <c r="J74" s="46">
        <v>142093.57999999999</v>
      </c>
      <c r="K74" s="46">
        <f>12142.68*1.802017</f>
        <v>21881.31578556</v>
      </c>
      <c r="L74" s="46">
        <f t="shared" si="21"/>
        <v>20300.70138251</v>
      </c>
      <c r="M74" s="46">
        <f t="shared" si="1"/>
        <v>184275.59716806997</v>
      </c>
      <c r="N74" s="46">
        <f>G74*J74+0.08</f>
        <v>3410246</v>
      </c>
      <c r="O74" s="46">
        <f>G74*K74</f>
        <v>525151.57885344001</v>
      </c>
      <c r="P74" s="237"/>
      <c r="Q74" s="46">
        <f t="shared" si="22"/>
        <v>487216.83318024001</v>
      </c>
      <c r="R74" s="46"/>
      <c r="S74" s="46"/>
      <c r="T74" s="46">
        <f t="shared" si="2"/>
        <v>4422614.4120336799</v>
      </c>
      <c r="U74" s="46">
        <v>4423115.9000000004</v>
      </c>
      <c r="V74" s="46">
        <f>U74</f>
        <v>4423115.9000000004</v>
      </c>
    </row>
    <row r="75" spans="1:25" ht="120" x14ac:dyDescent="0.25">
      <c r="A75" s="83"/>
      <c r="B75" s="97" t="s">
        <v>272</v>
      </c>
      <c r="C75" s="93" t="s">
        <v>285</v>
      </c>
      <c r="D75" s="198" t="s">
        <v>20</v>
      </c>
      <c r="E75" s="229">
        <v>75</v>
      </c>
      <c r="F75" s="87">
        <v>75</v>
      </c>
      <c r="G75" s="218">
        <f t="shared" ref="G75" si="23">(E75*8+F75*4)/12</f>
        <v>75</v>
      </c>
      <c r="H75" s="218">
        <v>75</v>
      </c>
      <c r="I75" s="218">
        <v>75</v>
      </c>
      <c r="J75" s="261">
        <v>65511.03</v>
      </c>
      <c r="K75" s="46">
        <f>12142.68*1.802017</f>
        <v>21881.31578556</v>
      </c>
      <c r="L75" s="46">
        <f t="shared" si="21"/>
        <v>20300.70138251</v>
      </c>
      <c r="M75" s="46">
        <f t="shared" si="1"/>
        <v>107693.04716807</v>
      </c>
      <c r="N75" s="46">
        <f>G75*J75-0.25</f>
        <v>4913327</v>
      </c>
      <c r="O75" s="46">
        <f>G75*K75-0.27</f>
        <v>1641098.4139169999</v>
      </c>
      <c r="P75" s="237"/>
      <c r="Q75" s="46">
        <f>G75*L75</f>
        <v>1522552.6036882501</v>
      </c>
      <c r="R75" s="46"/>
      <c r="S75" s="46"/>
      <c r="T75" s="46">
        <f t="shared" si="2"/>
        <v>8076978.0176052498</v>
      </c>
      <c r="U75" s="46">
        <v>8078545.4100000001</v>
      </c>
      <c r="V75" s="46">
        <f>U75</f>
        <v>8078545.4100000001</v>
      </c>
    </row>
    <row r="76" spans="1:25" s="203" customFormat="1" x14ac:dyDescent="0.25">
      <c r="A76" s="42"/>
      <c r="B76" s="231" t="s">
        <v>225</v>
      </c>
      <c r="C76" s="217" t="s">
        <v>219</v>
      </c>
      <c r="D76" s="226" t="s">
        <v>20</v>
      </c>
      <c r="E76" s="236">
        <v>22</v>
      </c>
      <c r="F76" s="236">
        <v>22</v>
      </c>
      <c r="G76" s="218">
        <v>22</v>
      </c>
      <c r="H76" s="218">
        <v>22</v>
      </c>
      <c r="I76" s="218">
        <v>22</v>
      </c>
      <c r="J76" s="46"/>
      <c r="K76" s="46"/>
      <c r="L76" s="46"/>
      <c r="M76" s="46">
        <f t="shared" si="1"/>
        <v>0</v>
      </c>
      <c r="N76" s="237"/>
      <c r="O76" s="46"/>
      <c r="P76" s="237"/>
      <c r="Q76" s="46"/>
      <c r="R76" s="46">
        <v>3663146</v>
      </c>
      <c r="S76" s="46"/>
      <c r="T76" s="46">
        <f>R76</f>
        <v>3663146</v>
      </c>
      <c r="U76" s="46">
        <f>R76</f>
        <v>3663146</v>
      </c>
      <c r="V76" s="46">
        <f>R76</f>
        <v>3663146</v>
      </c>
    </row>
    <row r="77" spans="1:25" s="203" customFormat="1" x14ac:dyDescent="0.25">
      <c r="A77" s="42"/>
      <c r="B77" s="231" t="s">
        <v>225</v>
      </c>
      <c r="C77" s="217" t="s">
        <v>226</v>
      </c>
      <c r="D77" s="226" t="s">
        <v>20</v>
      </c>
      <c r="E77" s="229">
        <v>13</v>
      </c>
      <c r="F77" s="229">
        <v>13</v>
      </c>
      <c r="G77" s="218">
        <v>13</v>
      </c>
      <c r="H77" s="218">
        <v>13</v>
      </c>
      <c r="I77" s="218">
        <v>13</v>
      </c>
      <c r="J77" s="46"/>
      <c r="K77" s="46"/>
      <c r="L77" s="46"/>
      <c r="M77" s="46">
        <f t="shared" si="1"/>
        <v>0</v>
      </c>
      <c r="N77" s="237"/>
      <c r="O77" s="46"/>
      <c r="P77" s="237">
        <v>944082</v>
      </c>
      <c r="Q77" s="46"/>
      <c r="R77" s="46"/>
      <c r="S77" s="46"/>
      <c r="T77" s="46">
        <f>P77</f>
        <v>944082</v>
      </c>
      <c r="U77" s="46">
        <f>P77</f>
        <v>944082</v>
      </c>
      <c r="V77" s="46">
        <f>P77</f>
        <v>944082</v>
      </c>
    </row>
    <row r="78" spans="1:25" s="203" customFormat="1" ht="28.5" x14ac:dyDescent="0.25">
      <c r="A78" s="42"/>
      <c r="B78" s="84" t="s">
        <v>295</v>
      </c>
      <c r="C78" s="217" t="s">
        <v>219</v>
      </c>
      <c r="D78" s="247" t="s">
        <v>20</v>
      </c>
      <c r="E78" s="218"/>
      <c r="F78" s="218"/>
      <c r="G78" s="218">
        <v>22</v>
      </c>
      <c r="H78" s="218">
        <v>22</v>
      </c>
      <c r="I78" s="218">
        <v>22</v>
      </c>
      <c r="J78" s="46"/>
      <c r="K78" s="46"/>
      <c r="L78" s="46"/>
      <c r="M78" s="46">
        <f t="shared" si="1"/>
        <v>0</v>
      </c>
      <c r="N78" s="237"/>
      <c r="O78" s="46"/>
      <c r="P78" s="237"/>
      <c r="Q78" s="46"/>
      <c r="R78" s="46">
        <v>321887</v>
      </c>
      <c r="S78" s="46"/>
      <c r="T78" s="46">
        <f>R78</f>
        <v>321887</v>
      </c>
      <c r="U78" s="46"/>
      <c r="V78" s="46"/>
    </row>
    <row r="79" spans="1:25" s="203" customFormat="1" hidden="1" x14ac:dyDescent="0.25">
      <c r="A79" s="50"/>
      <c r="B79" s="231"/>
      <c r="C79" s="217" t="s">
        <v>226</v>
      </c>
      <c r="D79" s="45"/>
      <c r="E79" s="218"/>
      <c r="F79" s="218"/>
      <c r="G79" s="218"/>
      <c r="H79" s="218"/>
      <c r="I79" s="218"/>
      <c r="J79" s="46"/>
      <c r="K79" s="46"/>
      <c r="L79" s="46"/>
      <c r="M79" s="46">
        <f t="shared" si="1"/>
        <v>0</v>
      </c>
      <c r="N79" s="237"/>
      <c r="O79" s="46"/>
      <c r="P79" s="237"/>
      <c r="Q79" s="46"/>
      <c r="R79" s="46"/>
      <c r="S79" s="46"/>
      <c r="T79" s="46">
        <f>O79</f>
        <v>0</v>
      </c>
      <c r="U79" s="46">
        <f>T79</f>
        <v>0</v>
      </c>
      <c r="V79" s="46">
        <f>U79</f>
        <v>0</v>
      </c>
    </row>
    <row r="80" spans="1:25" ht="47.25" hidden="1" customHeight="1" x14ac:dyDescent="0.25">
      <c r="A80" s="83"/>
      <c r="B80" s="128"/>
      <c r="C80" s="127" t="s">
        <v>226</v>
      </c>
      <c r="D80" s="198"/>
      <c r="E80" s="87"/>
      <c r="F80" s="87"/>
      <c r="G80" s="218"/>
      <c r="H80" s="218"/>
      <c r="I80" s="218"/>
      <c r="J80" s="46"/>
      <c r="K80" s="46"/>
      <c r="L80" s="46"/>
      <c r="M80" s="46">
        <f t="shared" si="1"/>
        <v>0</v>
      </c>
      <c r="N80" s="237"/>
      <c r="O80" s="46"/>
      <c r="P80" s="237"/>
      <c r="Q80" s="46"/>
      <c r="R80" s="46"/>
      <c r="S80" s="46"/>
      <c r="T80" s="46">
        <f>N80</f>
        <v>0</v>
      </c>
      <c r="U80" s="46">
        <f t="shared" ref="U80:V82" si="24">T80</f>
        <v>0</v>
      </c>
      <c r="V80" s="46">
        <f t="shared" si="24"/>
        <v>0</v>
      </c>
    </row>
    <row r="81" spans="1:25" hidden="1" x14ac:dyDescent="0.25">
      <c r="A81" s="83"/>
      <c r="B81" s="128"/>
      <c r="C81" s="127"/>
      <c r="D81" s="213"/>
      <c r="E81" s="87"/>
      <c r="F81" s="87"/>
      <c r="G81" s="218"/>
      <c r="H81" s="218"/>
      <c r="I81" s="218"/>
      <c r="J81" s="46"/>
      <c r="K81" s="46"/>
      <c r="L81" s="46"/>
      <c r="M81" s="46">
        <f t="shared" si="1"/>
        <v>0</v>
      </c>
      <c r="N81" s="237"/>
      <c r="O81" s="46"/>
      <c r="P81" s="237"/>
      <c r="Q81" s="46"/>
      <c r="R81" s="46"/>
      <c r="S81" s="46"/>
      <c r="T81" s="46">
        <f>O81</f>
        <v>0</v>
      </c>
      <c r="U81" s="46">
        <f t="shared" si="24"/>
        <v>0</v>
      </c>
      <c r="V81" s="46">
        <f t="shared" si="24"/>
        <v>0</v>
      </c>
    </row>
    <row r="82" spans="1:25" ht="58.5" customHeight="1" x14ac:dyDescent="0.25">
      <c r="A82" s="193" t="s">
        <v>249</v>
      </c>
      <c r="B82" s="198" t="s">
        <v>28</v>
      </c>
      <c r="C82" s="127" t="s">
        <v>219</v>
      </c>
      <c r="D82" s="86" t="s">
        <v>20</v>
      </c>
      <c r="E82" s="229">
        <f>E75+E74+E73+E72</f>
        <v>220</v>
      </c>
      <c r="F82" s="87">
        <f>F75+F74+F73+F72</f>
        <v>220</v>
      </c>
      <c r="G82" s="218">
        <v>217</v>
      </c>
      <c r="H82" s="218">
        <v>217</v>
      </c>
      <c r="I82" s="218">
        <v>217</v>
      </c>
      <c r="J82" s="46" t="s">
        <v>23</v>
      </c>
      <c r="K82" s="46"/>
      <c r="L82" s="46">
        <v>10085.287235</v>
      </c>
      <c r="M82" s="46">
        <f t="shared" si="1"/>
        <v>10085.287235</v>
      </c>
      <c r="N82" s="237">
        <f t="shared" ref="N82" si="25">G82*J82</f>
        <v>0</v>
      </c>
      <c r="O82" s="46">
        <f t="shared" ref="O82" si="26">G82*K82</f>
        <v>0</v>
      </c>
      <c r="P82" s="237"/>
      <c r="Q82" s="46">
        <f>G82*L82</f>
        <v>2188507.3299949998</v>
      </c>
      <c r="R82" s="46"/>
      <c r="S82" s="46"/>
      <c r="T82" s="46">
        <f t="shared" si="2"/>
        <v>2188507.3299949998</v>
      </c>
      <c r="U82" s="46">
        <f t="shared" si="24"/>
        <v>2188507.3299949998</v>
      </c>
      <c r="V82" s="46">
        <f t="shared" si="24"/>
        <v>2188507.3299949998</v>
      </c>
    </row>
    <row r="83" spans="1:25" ht="42" customHeight="1" x14ac:dyDescent="0.25">
      <c r="A83" s="86"/>
      <c r="B83" s="198" t="s">
        <v>28</v>
      </c>
      <c r="C83" s="127" t="s">
        <v>220</v>
      </c>
      <c r="D83" s="86"/>
      <c r="E83" s="87"/>
      <c r="F83" s="87"/>
      <c r="G83" s="218">
        <v>212</v>
      </c>
      <c r="H83" s="218">
        <v>212</v>
      </c>
      <c r="I83" s="218">
        <v>212</v>
      </c>
      <c r="J83" s="46"/>
      <c r="K83" s="46"/>
      <c r="L83" s="46">
        <v>12750.1</v>
      </c>
      <c r="M83" s="46">
        <f t="shared" si="1"/>
        <v>12750.1</v>
      </c>
      <c r="N83" s="237"/>
      <c r="O83" s="46"/>
      <c r="P83" s="237"/>
      <c r="Q83" s="46"/>
      <c r="R83" s="46"/>
      <c r="S83" s="46">
        <f>L83*G83</f>
        <v>2703021.2</v>
      </c>
      <c r="T83" s="46">
        <f>S83</f>
        <v>2703021.2</v>
      </c>
      <c r="U83" s="46">
        <f>S83</f>
        <v>2703021.2</v>
      </c>
      <c r="V83" s="46">
        <f>S83</f>
        <v>2703021.2</v>
      </c>
    </row>
    <row r="84" spans="1:25" ht="42" customHeight="1" x14ac:dyDescent="0.25">
      <c r="A84" s="86"/>
      <c r="B84" s="128" t="s">
        <v>321</v>
      </c>
      <c r="C84" s="217" t="s">
        <v>226</v>
      </c>
      <c r="D84" s="86"/>
      <c r="E84" s="87"/>
      <c r="F84" s="87"/>
      <c r="G84" s="218"/>
      <c r="H84" s="218"/>
      <c r="I84" s="218"/>
      <c r="J84" s="46"/>
      <c r="K84" s="46"/>
      <c r="L84" s="46"/>
      <c r="M84" s="46"/>
      <c r="N84" s="237">
        <v>176999</v>
      </c>
      <c r="O84" s="46"/>
      <c r="P84" s="237"/>
      <c r="Q84" s="46"/>
      <c r="R84" s="46"/>
      <c r="S84" s="46"/>
      <c r="T84" s="46">
        <f>N84</f>
        <v>176999</v>
      </c>
      <c r="U84" s="46"/>
      <c r="V84" s="46"/>
    </row>
    <row r="85" spans="1:25" x14ac:dyDescent="0.25">
      <c r="A85" s="188" t="s">
        <v>49</v>
      </c>
      <c r="B85" s="94"/>
      <c r="C85" s="94"/>
      <c r="D85" s="94"/>
      <c r="E85" s="92"/>
      <c r="F85" s="92"/>
      <c r="G85" s="263"/>
      <c r="H85" s="263"/>
      <c r="I85" s="263"/>
      <c r="J85" s="220"/>
      <c r="K85" s="220"/>
      <c r="L85" s="220"/>
      <c r="M85" s="46">
        <f t="shared" si="1"/>
        <v>0</v>
      </c>
      <c r="N85" s="220">
        <f>N86+N97</f>
        <v>6438300</v>
      </c>
      <c r="O85" s="220">
        <f>O86+O97</f>
        <v>2406943.9964116002</v>
      </c>
      <c r="P85" s="238">
        <f>P86</f>
        <v>692994</v>
      </c>
      <c r="Q85" s="220">
        <f>Q86+Q97+Q92</f>
        <v>3236853.5300002</v>
      </c>
      <c r="R85" s="220">
        <f>R86</f>
        <v>2529760</v>
      </c>
      <c r="S85" s="220">
        <f>S98</f>
        <v>1377010.8</v>
      </c>
      <c r="T85" s="220">
        <f>T86+T97+T98</f>
        <v>16681862.326411799</v>
      </c>
      <c r="U85" s="220">
        <f>U86+U97+U98</f>
        <v>16166574.329999</v>
      </c>
      <c r="V85" s="220">
        <f>V86+V97+V98</f>
        <v>16166574.329999</v>
      </c>
      <c r="W85" s="80">
        <v>3236853.53</v>
      </c>
      <c r="X85" s="85">
        <f>W85-Q85</f>
        <v>-2.0023435354232788E-7</v>
      </c>
      <c r="Y85" s="80">
        <f>X85/I97</f>
        <v>-1.8203123049302535E-9</v>
      </c>
    </row>
    <row r="86" spans="1:25" ht="84.75" customHeight="1" x14ac:dyDescent="0.25">
      <c r="A86" s="193" t="s">
        <v>248</v>
      </c>
      <c r="B86" s="84" t="s">
        <v>76</v>
      </c>
      <c r="C86" s="128"/>
      <c r="D86" s="95"/>
      <c r="E86" s="68"/>
      <c r="F86" s="68"/>
      <c r="G86" s="262"/>
      <c r="H86" s="262"/>
      <c r="I86" s="262"/>
      <c r="J86" s="46"/>
      <c r="K86" s="46"/>
      <c r="L86" s="46"/>
      <c r="M86" s="46">
        <f t="shared" ref="M86:M154" si="27">J86+K86+L86</f>
        <v>0</v>
      </c>
      <c r="N86" s="46">
        <f>SUM(N87:N99)</f>
        <v>6438300</v>
      </c>
      <c r="O86" s="46">
        <f>SUM(O87:O96)</f>
        <v>2406943.9964116002</v>
      </c>
      <c r="P86" s="239">
        <f>P91</f>
        <v>692994</v>
      </c>
      <c r="Q86" s="46">
        <f>SUM(Q87:Q89)</f>
        <v>2233067.0000012</v>
      </c>
      <c r="R86" s="46">
        <f>R90+R92</f>
        <v>2529760</v>
      </c>
      <c r="S86" s="46"/>
      <c r="T86" s="46">
        <f>SUM(T87:T96)+T99</f>
        <v>14301064.996412799</v>
      </c>
      <c r="U86" s="46">
        <f>SUM(U87:U96)+0.01</f>
        <v>13785777</v>
      </c>
      <c r="V86" s="46">
        <f>SUM(V87:V96)+0.01</f>
        <v>13785777</v>
      </c>
      <c r="W86" s="85">
        <f>T85-U85</f>
        <v>515287.99641279876</v>
      </c>
    </row>
    <row r="87" spans="1:25" ht="51" customHeight="1" x14ac:dyDescent="0.25">
      <c r="A87" s="83"/>
      <c r="B87" s="97" t="s">
        <v>286</v>
      </c>
      <c r="C87" s="332" t="s">
        <v>283</v>
      </c>
      <c r="D87" s="198" t="s">
        <v>20</v>
      </c>
      <c r="E87" s="229">
        <v>20</v>
      </c>
      <c r="F87" s="229">
        <v>20</v>
      </c>
      <c r="G87" s="218">
        <v>18</v>
      </c>
      <c r="H87" s="218">
        <v>18</v>
      </c>
      <c r="I87" s="218">
        <v>18</v>
      </c>
      <c r="J87" s="46">
        <v>43138.04</v>
      </c>
      <c r="K87" s="46">
        <f>12142.68*1.802017</f>
        <v>21881.31578556</v>
      </c>
      <c r="L87" s="46">
        <f>20321.6-20.99090908</f>
        <v>20300.609090919999</v>
      </c>
      <c r="M87" s="46">
        <f t="shared" si="27"/>
        <v>85319.964876479993</v>
      </c>
      <c r="N87" s="46">
        <f>G87*J87</f>
        <v>776484.72</v>
      </c>
      <c r="O87" s="46">
        <f>G87*K87</f>
        <v>393863.68414008</v>
      </c>
      <c r="P87" s="237"/>
      <c r="Q87" s="46">
        <f>G87*L87</f>
        <v>365410.96363656002</v>
      </c>
      <c r="R87" s="46"/>
      <c r="S87" s="46"/>
      <c r="T87" s="46">
        <f>SUM(N87:Q87)</f>
        <v>1535759.3677766398</v>
      </c>
      <c r="U87" s="46">
        <v>1536137.2</v>
      </c>
      <c r="V87" s="46">
        <f>U87</f>
        <v>1536137.2</v>
      </c>
    </row>
    <row r="88" spans="1:25" ht="54" customHeight="1" x14ac:dyDescent="0.25">
      <c r="A88" s="88"/>
      <c r="B88" s="97" t="s">
        <v>272</v>
      </c>
      <c r="C88" s="333"/>
      <c r="D88" s="86" t="s">
        <v>20</v>
      </c>
      <c r="E88" s="229">
        <v>23</v>
      </c>
      <c r="F88" s="229">
        <v>23</v>
      </c>
      <c r="G88" s="218">
        <v>17</v>
      </c>
      <c r="H88" s="218">
        <v>17</v>
      </c>
      <c r="I88" s="218">
        <v>17</v>
      </c>
      <c r="J88" s="46">
        <v>34198.17</v>
      </c>
      <c r="K88" s="46">
        <f>12142.68*1.802017</f>
        <v>21881.31578556</v>
      </c>
      <c r="L88" s="46">
        <f t="shared" ref="L88:L89" si="28">20321.6-20.99090908</f>
        <v>20300.609090919999</v>
      </c>
      <c r="M88" s="46">
        <f t="shared" si="27"/>
        <v>76380.094876479998</v>
      </c>
      <c r="N88" s="46">
        <f>G88*J88</f>
        <v>581368.89</v>
      </c>
      <c r="O88" s="46">
        <f>G88*K88</f>
        <v>371982.36835452</v>
      </c>
      <c r="P88" s="237"/>
      <c r="Q88" s="46">
        <f>G88*L88</f>
        <v>345110.35454564</v>
      </c>
      <c r="R88" s="46"/>
      <c r="S88" s="46"/>
      <c r="T88" s="46">
        <f>SUM(N88:Q88)</f>
        <v>1298461.61290016</v>
      </c>
      <c r="U88" s="46">
        <v>1298818.46</v>
      </c>
      <c r="V88" s="46">
        <f>U88</f>
        <v>1298818.46</v>
      </c>
    </row>
    <row r="89" spans="1:25" ht="120" x14ac:dyDescent="0.25">
      <c r="A89" s="88"/>
      <c r="B89" s="97" t="s">
        <v>274</v>
      </c>
      <c r="C89" s="93" t="s">
        <v>287</v>
      </c>
      <c r="D89" s="86" t="s">
        <v>20</v>
      </c>
      <c r="E89" s="229">
        <v>65</v>
      </c>
      <c r="F89" s="229">
        <v>65</v>
      </c>
      <c r="G89" s="218">
        <v>75</v>
      </c>
      <c r="H89" s="218">
        <v>75</v>
      </c>
      <c r="I89" s="218">
        <v>75</v>
      </c>
      <c r="J89" s="261">
        <v>65511.03</v>
      </c>
      <c r="K89" s="46">
        <f>12142.68*1.802017</f>
        <v>21881.31578556</v>
      </c>
      <c r="L89" s="46">
        <f t="shared" si="28"/>
        <v>20300.609090919999</v>
      </c>
      <c r="M89" s="46">
        <f t="shared" si="27"/>
        <v>107692.95487648</v>
      </c>
      <c r="N89" s="46">
        <f>G89*J89-0.86</f>
        <v>4913326.3899999997</v>
      </c>
      <c r="O89" s="46">
        <f>G89*K89-0.74</f>
        <v>1641097.943917</v>
      </c>
      <c r="P89" s="237"/>
      <c r="Q89" s="46">
        <f>G89*L89</f>
        <v>1522545.681819</v>
      </c>
      <c r="R89" s="46"/>
      <c r="S89" s="46"/>
      <c r="T89" s="46">
        <f>SUM(N89:Q89)</f>
        <v>8076970.0157359997</v>
      </c>
      <c r="U89" s="46">
        <v>8078544.3300000001</v>
      </c>
      <c r="V89" s="46">
        <f>U89</f>
        <v>8078544.3300000001</v>
      </c>
    </row>
    <row r="90" spans="1:25" s="203" customFormat="1" x14ac:dyDescent="0.25">
      <c r="A90" s="49"/>
      <c r="B90" s="232" t="s">
        <v>225</v>
      </c>
      <c r="C90" s="217" t="s">
        <v>219</v>
      </c>
      <c r="D90" s="226" t="s">
        <v>20</v>
      </c>
      <c r="E90" s="236">
        <v>12</v>
      </c>
      <c r="F90" s="236">
        <v>12</v>
      </c>
      <c r="G90" s="218">
        <v>12</v>
      </c>
      <c r="H90" s="218">
        <v>12</v>
      </c>
      <c r="I90" s="218">
        <v>12</v>
      </c>
      <c r="J90" s="46"/>
      <c r="K90" s="46"/>
      <c r="L90" s="46"/>
      <c r="M90" s="46">
        <f t="shared" si="27"/>
        <v>0</v>
      </c>
      <c r="N90" s="237"/>
      <c r="O90" s="46"/>
      <c r="P90" s="237"/>
      <c r="Q90" s="46"/>
      <c r="R90" s="46">
        <v>2388760</v>
      </c>
      <c r="S90" s="46"/>
      <c r="T90" s="46">
        <f>R90</f>
        <v>2388760</v>
      </c>
      <c r="U90" s="46">
        <f>R90</f>
        <v>2388760</v>
      </c>
      <c r="V90" s="46">
        <f>R90</f>
        <v>2388760</v>
      </c>
    </row>
    <row r="91" spans="1:25" s="203" customFormat="1" x14ac:dyDescent="0.25">
      <c r="A91" s="49"/>
      <c r="B91" s="232" t="s">
        <v>225</v>
      </c>
      <c r="C91" s="217" t="s">
        <v>226</v>
      </c>
      <c r="D91" s="226" t="s">
        <v>20</v>
      </c>
      <c r="E91" s="229">
        <v>6</v>
      </c>
      <c r="F91" s="229">
        <v>6</v>
      </c>
      <c r="G91" s="218">
        <v>6</v>
      </c>
      <c r="H91" s="218">
        <v>6</v>
      </c>
      <c r="I91" s="218">
        <v>6</v>
      </c>
      <c r="J91" s="46"/>
      <c r="K91" s="46"/>
      <c r="L91" s="46"/>
      <c r="M91" s="46">
        <f t="shared" si="27"/>
        <v>0</v>
      </c>
      <c r="N91" s="237"/>
      <c r="O91" s="46"/>
      <c r="P91" s="237">
        <f>405485+287509</f>
        <v>692994</v>
      </c>
      <c r="Q91" s="46"/>
      <c r="R91" s="46"/>
      <c r="S91" s="46"/>
      <c r="T91" s="46">
        <f>P91</f>
        <v>692994</v>
      </c>
      <c r="U91" s="46">
        <f>P91-287509</f>
        <v>405485</v>
      </c>
      <c r="V91" s="46">
        <f>U91</f>
        <v>405485</v>
      </c>
    </row>
    <row r="92" spans="1:25" s="203" customFormat="1" ht="28.5" x14ac:dyDescent="0.25">
      <c r="A92" s="49"/>
      <c r="B92" s="84" t="s">
        <v>295</v>
      </c>
      <c r="C92" s="217" t="s">
        <v>219</v>
      </c>
      <c r="D92" s="247" t="s">
        <v>20</v>
      </c>
      <c r="E92" s="218"/>
      <c r="F92" s="218"/>
      <c r="G92" s="218">
        <v>12</v>
      </c>
      <c r="H92" s="218">
        <v>12</v>
      </c>
      <c r="I92" s="218">
        <v>12</v>
      </c>
      <c r="J92" s="46"/>
      <c r="K92" s="46"/>
      <c r="L92" s="46"/>
      <c r="M92" s="46">
        <f t="shared" si="27"/>
        <v>0</v>
      </c>
      <c r="N92" s="237"/>
      <c r="O92" s="46"/>
      <c r="P92" s="237"/>
      <c r="Q92" s="46"/>
      <c r="R92" s="46">
        <v>141000</v>
      </c>
      <c r="S92" s="46"/>
      <c r="T92" s="46">
        <f>R92</f>
        <v>141000</v>
      </c>
      <c r="U92" s="46"/>
      <c r="V92" s="46"/>
    </row>
    <row r="93" spans="1:25" s="203" customFormat="1" hidden="1" x14ac:dyDescent="0.25">
      <c r="A93" s="50"/>
      <c r="B93" s="232" t="s">
        <v>264</v>
      </c>
      <c r="C93" s="217" t="s">
        <v>226</v>
      </c>
      <c r="D93" s="45"/>
      <c r="E93" s="218"/>
      <c r="F93" s="218"/>
      <c r="G93" s="218"/>
      <c r="H93" s="218"/>
      <c r="I93" s="218"/>
      <c r="J93" s="46"/>
      <c r="K93" s="46"/>
      <c r="L93" s="46"/>
      <c r="M93" s="46">
        <f t="shared" si="27"/>
        <v>0</v>
      </c>
      <c r="N93" s="237"/>
      <c r="O93" s="46"/>
      <c r="P93" s="237"/>
      <c r="Q93" s="46"/>
      <c r="R93" s="46"/>
      <c r="S93" s="46"/>
      <c r="T93" s="46">
        <f>O93</f>
        <v>0</v>
      </c>
      <c r="U93" s="46">
        <f t="shared" ref="U93:V94" si="29">T93</f>
        <v>0</v>
      </c>
      <c r="V93" s="46">
        <f t="shared" si="29"/>
        <v>0</v>
      </c>
    </row>
    <row r="94" spans="1:25" s="203" customFormat="1" x14ac:dyDescent="0.25">
      <c r="A94" s="50"/>
      <c r="B94" s="232" t="s">
        <v>265</v>
      </c>
      <c r="C94" s="217" t="s">
        <v>226</v>
      </c>
      <c r="D94" s="45"/>
      <c r="E94" s="218"/>
      <c r="F94" s="218"/>
      <c r="G94" s="218"/>
      <c r="H94" s="218"/>
      <c r="I94" s="218"/>
      <c r="J94" s="46"/>
      <c r="K94" s="46"/>
      <c r="L94" s="46"/>
      <c r="M94" s="46">
        <f t="shared" si="27"/>
        <v>0</v>
      </c>
      <c r="N94" s="237">
        <v>78032</v>
      </c>
      <c r="O94" s="46"/>
      <c r="P94" s="237"/>
      <c r="Q94" s="46"/>
      <c r="R94" s="46"/>
      <c r="S94" s="46"/>
      <c r="T94" s="46">
        <f>N94</f>
        <v>78032</v>
      </c>
      <c r="U94" s="46">
        <f t="shared" si="29"/>
        <v>78032</v>
      </c>
      <c r="V94" s="46">
        <f t="shared" si="29"/>
        <v>78032</v>
      </c>
    </row>
    <row r="95" spans="1:25" ht="43.5" hidden="1" customHeight="1" x14ac:dyDescent="0.25">
      <c r="A95" s="88"/>
      <c r="B95" s="233" t="s">
        <v>257</v>
      </c>
      <c r="C95" s="127" t="s">
        <v>226</v>
      </c>
      <c r="D95" s="198"/>
      <c r="E95" s="87"/>
      <c r="F95" s="87"/>
      <c r="G95" s="218"/>
      <c r="H95" s="218"/>
      <c r="I95" s="218"/>
      <c r="J95" s="46"/>
      <c r="K95" s="46"/>
      <c r="L95" s="46"/>
      <c r="M95" s="46">
        <f t="shared" si="27"/>
        <v>0</v>
      </c>
      <c r="N95" s="237"/>
      <c r="O95" s="46"/>
      <c r="P95" s="237"/>
      <c r="Q95" s="46"/>
      <c r="R95" s="46"/>
      <c r="S95" s="46"/>
      <c r="T95" s="46">
        <f>N95</f>
        <v>0</v>
      </c>
      <c r="U95" s="46">
        <f t="shared" ref="U95:V97" si="30">T95</f>
        <v>0</v>
      </c>
      <c r="V95" s="46">
        <f t="shared" si="30"/>
        <v>0</v>
      </c>
    </row>
    <row r="96" spans="1:25" hidden="1" x14ac:dyDescent="0.25">
      <c r="A96" s="88"/>
      <c r="B96" s="233" t="s">
        <v>260</v>
      </c>
      <c r="C96" s="127"/>
      <c r="D96" s="213"/>
      <c r="E96" s="87"/>
      <c r="F96" s="87"/>
      <c r="G96" s="218"/>
      <c r="H96" s="218"/>
      <c r="I96" s="218"/>
      <c r="J96" s="46"/>
      <c r="K96" s="46"/>
      <c r="L96" s="46"/>
      <c r="M96" s="46">
        <f t="shared" si="27"/>
        <v>0</v>
      </c>
      <c r="N96" s="237"/>
      <c r="O96" s="46"/>
      <c r="P96" s="237"/>
      <c r="Q96" s="46"/>
      <c r="R96" s="46"/>
      <c r="S96" s="46"/>
      <c r="T96" s="46">
        <f>O96</f>
        <v>0</v>
      </c>
      <c r="U96" s="46">
        <f t="shared" si="30"/>
        <v>0</v>
      </c>
      <c r="V96" s="46">
        <f t="shared" si="30"/>
        <v>0</v>
      </c>
    </row>
    <row r="97" spans="1:25" ht="61.5" customHeight="1" x14ac:dyDescent="0.25">
      <c r="A97" s="93" t="s">
        <v>249</v>
      </c>
      <c r="B97" s="198" t="s">
        <v>28</v>
      </c>
      <c r="C97" s="127" t="s">
        <v>219</v>
      </c>
      <c r="D97" s="86" t="s">
        <v>20</v>
      </c>
      <c r="E97" s="229">
        <v>108</v>
      </c>
      <c r="F97" s="229">
        <v>108</v>
      </c>
      <c r="G97" s="218">
        <v>110</v>
      </c>
      <c r="H97" s="218">
        <v>110</v>
      </c>
      <c r="I97" s="218">
        <v>110</v>
      </c>
      <c r="J97" s="46" t="s">
        <v>23</v>
      </c>
      <c r="K97" s="46"/>
      <c r="L97" s="46">
        <v>9125.3320908999995</v>
      </c>
      <c r="M97" s="46">
        <f t="shared" si="27"/>
        <v>9125.3320908999995</v>
      </c>
      <c r="N97" s="237">
        <f t="shared" ref="N97" si="31">G97*J97</f>
        <v>0</v>
      </c>
      <c r="O97" s="46"/>
      <c r="P97" s="237"/>
      <c r="Q97" s="46">
        <f>G97*L97</f>
        <v>1003786.5299989999</v>
      </c>
      <c r="R97" s="46"/>
      <c r="S97" s="46"/>
      <c r="T97" s="46">
        <f t="shared" si="2"/>
        <v>1003786.5299989999</v>
      </c>
      <c r="U97" s="46">
        <f t="shared" si="30"/>
        <v>1003786.5299989999</v>
      </c>
      <c r="V97" s="46">
        <f t="shared" si="30"/>
        <v>1003786.5299989999</v>
      </c>
    </row>
    <row r="98" spans="1:25" ht="16.5" customHeight="1" x14ac:dyDescent="0.25">
      <c r="A98" s="86"/>
      <c r="B98" s="198" t="s">
        <v>28</v>
      </c>
      <c r="C98" s="127" t="s">
        <v>220</v>
      </c>
      <c r="D98" s="86"/>
      <c r="E98" s="87"/>
      <c r="F98" s="87"/>
      <c r="G98" s="218">
        <v>108</v>
      </c>
      <c r="H98" s="218">
        <v>108</v>
      </c>
      <c r="I98" s="218">
        <v>108</v>
      </c>
      <c r="J98" s="46"/>
      <c r="K98" s="46"/>
      <c r="L98" s="46">
        <v>12750.1</v>
      </c>
      <c r="M98" s="46">
        <f t="shared" si="27"/>
        <v>12750.1</v>
      </c>
      <c r="N98" s="237"/>
      <c r="O98" s="46"/>
      <c r="P98" s="237"/>
      <c r="Q98" s="46"/>
      <c r="R98" s="46"/>
      <c r="S98" s="46">
        <f>L98*G98</f>
        <v>1377010.8</v>
      </c>
      <c r="T98" s="46">
        <f>S98</f>
        <v>1377010.8</v>
      </c>
      <c r="U98" s="46">
        <f>S98</f>
        <v>1377010.8</v>
      </c>
      <c r="V98" s="46">
        <f>S98</f>
        <v>1377010.8</v>
      </c>
    </row>
    <row r="99" spans="1:25" ht="83.25" customHeight="1" x14ac:dyDescent="0.25">
      <c r="A99" s="86"/>
      <c r="B99" s="128" t="s">
        <v>321</v>
      </c>
      <c r="C99" s="217" t="s">
        <v>226</v>
      </c>
      <c r="D99" s="86"/>
      <c r="E99" s="87"/>
      <c r="F99" s="87"/>
      <c r="G99" s="218"/>
      <c r="H99" s="218"/>
      <c r="I99" s="218"/>
      <c r="J99" s="46"/>
      <c r="K99" s="46"/>
      <c r="L99" s="46"/>
      <c r="M99" s="46"/>
      <c r="N99" s="237">
        <v>89088</v>
      </c>
      <c r="O99" s="46"/>
      <c r="P99" s="237"/>
      <c r="Q99" s="46"/>
      <c r="R99" s="46"/>
      <c r="S99" s="46"/>
      <c r="T99" s="46">
        <f>N99</f>
        <v>89088</v>
      </c>
      <c r="U99" s="46"/>
      <c r="V99" s="46"/>
    </row>
    <row r="100" spans="1:25" x14ac:dyDescent="0.25">
      <c r="A100" s="188" t="s">
        <v>53</v>
      </c>
      <c r="B100" s="94"/>
      <c r="C100" s="94"/>
      <c r="D100" s="94"/>
      <c r="E100" s="92"/>
      <c r="F100" s="92"/>
      <c r="G100" s="263"/>
      <c r="H100" s="263"/>
      <c r="I100" s="263"/>
      <c r="J100" s="220"/>
      <c r="K100" s="220"/>
      <c r="L100" s="220"/>
      <c r="M100" s="46">
        <f t="shared" si="27"/>
        <v>0</v>
      </c>
      <c r="N100" s="220">
        <f>N101+N112</f>
        <v>8146223</v>
      </c>
      <c r="O100" s="220">
        <f>O101+O112</f>
        <v>3632298.00040296</v>
      </c>
      <c r="P100" s="220">
        <f>P101</f>
        <v>1017381</v>
      </c>
      <c r="Q100" s="220">
        <f>Q101+Q112+Q107</f>
        <v>5005252.2799543999</v>
      </c>
      <c r="R100" s="220">
        <f>R101</f>
        <v>5616753</v>
      </c>
      <c r="S100" s="220">
        <f>S113</f>
        <v>2078266.3</v>
      </c>
      <c r="T100" s="220">
        <f>T101+T112+T113</f>
        <v>25496173.580357362</v>
      </c>
      <c r="U100" s="220">
        <f t="shared" ref="U100:V100" si="32">U101+U112+U113</f>
        <v>24721060.899984401</v>
      </c>
      <c r="V100" s="220">
        <f t="shared" si="32"/>
        <v>24721060.899984401</v>
      </c>
      <c r="W100" s="80">
        <v>5005252.28</v>
      </c>
      <c r="X100" s="85">
        <f>W100-Q100</f>
        <v>4.5600347220897675E-5</v>
      </c>
      <c r="Y100" s="124">
        <f>X100/I112</f>
        <v>2.7470088687287754E-7</v>
      </c>
    </row>
    <row r="101" spans="1:25" ht="84.75" customHeight="1" x14ac:dyDescent="0.25">
      <c r="A101" s="193" t="s">
        <v>248</v>
      </c>
      <c r="B101" s="84" t="s">
        <v>76</v>
      </c>
      <c r="C101" s="128"/>
      <c r="D101" s="95"/>
      <c r="E101" s="68"/>
      <c r="F101" s="68"/>
      <c r="G101" s="262"/>
      <c r="H101" s="262"/>
      <c r="I101" s="262"/>
      <c r="J101" s="46"/>
      <c r="K101" s="46"/>
      <c r="L101" s="46"/>
      <c r="M101" s="46">
        <f t="shared" si="27"/>
        <v>0</v>
      </c>
      <c r="N101" s="46">
        <f>SUM(N102:N114)</f>
        <v>8146223</v>
      </c>
      <c r="O101" s="46">
        <f>SUM(O102:O111)</f>
        <v>3632298.00040296</v>
      </c>
      <c r="P101" s="237">
        <f>P106</f>
        <v>1017381</v>
      </c>
      <c r="Q101" s="46">
        <f>SUM(Q102:Q104)</f>
        <v>3369932.5999699999</v>
      </c>
      <c r="R101" s="46">
        <f>R105+R107</f>
        <v>5616753</v>
      </c>
      <c r="S101" s="46"/>
      <c r="T101" s="46">
        <f>SUM(T102:T111)+T114</f>
        <v>21782587.600372959</v>
      </c>
      <c r="U101" s="46">
        <f t="shared" ref="U101:V101" si="33">SUM(U102:U111)</f>
        <v>21007474.920000002</v>
      </c>
      <c r="V101" s="46">
        <f t="shared" si="33"/>
        <v>21007474.920000002</v>
      </c>
      <c r="W101" s="85">
        <f>T100-U100</f>
        <v>775112.68037296087</v>
      </c>
    </row>
    <row r="102" spans="1:25" ht="55.5" customHeight="1" x14ac:dyDescent="0.25">
      <c r="A102" s="83"/>
      <c r="B102" s="97" t="s">
        <v>276</v>
      </c>
      <c r="C102" s="342" t="s">
        <v>283</v>
      </c>
      <c r="D102" s="198" t="s">
        <v>20</v>
      </c>
      <c r="E102" s="229">
        <v>31</v>
      </c>
      <c r="F102" s="229">
        <v>31</v>
      </c>
      <c r="G102" s="218">
        <v>29</v>
      </c>
      <c r="H102" s="218">
        <v>29</v>
      </c>
      <c r="I102" s="218">
        <v>29</v>
      </c>
      <c r="J102" s="46">
        <v>43138.04</v>
      </c>
      <c r="K102" s="46">
        <f>12142.68*1.802017</f>
        <v>21881.31578556</v>
      </c>
      <c r="L102" s="46">
        <f>20321.6-20.801205</f>
        <v>20300.798794999999</v>
      </c>
      <c r="M102" s="46">
        <f t="shared" si="27"/>
        <v>85320.154580560004</v>
      </c>
      <c r="N102" s="46">
        <f>G102*J102-0.16</f>
        <v>1251003</v>
      </c>
      <c r="O102" s="46">
        <f>G102*K102-0.16</f>
        <v>634557.99778124003</v>
      </c>
      <c r="P102" s="237"/>
      <c r="Q102" s="46">
        <f>G102*L102</f>
        <v>588723.16505499999</v>
      </c>
      <c r="R102" s="46"/>
      <c r="S102" s="46"/>
      <c r="T102" s="46">
        <f t="shared" si="2"/>
        <v>2474284.1628362397</v>
      </c>
      <c r="U102" s="46">
        <v>2474887.7200000002</v>
      </c>
      <c r="V102" s="46">
        <f>U102</f>
        <v>2474887.7200000002</v>
      </c>
    </row>
    <row r="103" spans="1:25" ht="53.25" customHeight="1" x14ac:dyDescent="0.25">
      <c r="A103" s="88"/>
      <c r="B103" s="97" t="s">
        <v>274</v>
      </c>
      <c r="C103" s="343"/>
      <c r="D103" s="86" t="s">
        <v>20</v>
      </c>
      <c r="E103" s="229">
        <v>64</v>
      </c>
      <c r="F103" s="229">
        <v>64</v>
      </c>
      <c r="G103" s="218">
        <v>70</v>
      </c>
      <c r="H103" s="218">
        <v>70</v>
      </c>
      <c r="I103" s="218">
        <v>70</v>
      </c>
      <c r="J103" s="46">
        <v>34198.17</v>
      </c>
      <c r="K103" s="46">
        <f>12142.68*1.802017</f>
        <v>21881.31578556</v>
      </c>
      <c r="L103" s="46">
        <f t="shared" ref="L103:L104" si="34">20321.6-20.801205</f>
        <v>20300.798794999999</v>
      </c>
      <c r="M103" s="46">
        <f t="shared" si="27"/>
        <v>76380.284580559994</v>
      </c>
      <c r="N103" s="46">
        <f>G103*J103+0.1</f>
        <v>2393872</v>
      </c>
      <c r="O103" s="46">
        <f>G103*K103-0.1</f>
        <v>1531692.0049891998</v>
      </c>
      <c r="P103" s="237"/>
      <c r="Q103" s="46">
        <f t="shared" ref="Q103" si="35">G103*L103</f>
        <v>1421055.9156499999</v>
      </c>
      <c r="R103" s="46"/>
      <c r="S103" s="46"/>
      <c r="T103" s="46">
        <f t="shared" si="2"/>
        <v>5346619.9206392001</v>
      </c>
      <c r="U103" s="46">
        <v>5348076</v>
      </c>
      <c r="V103" s="46">
        <f>U103</f>
        <v>5348076</v>
      </c>
    </row>
    <row r="104" spans="1:25" ht="120" x14ac:dyDescent="0.25">
      <c r="A104" s="88"/>
      <c r="B104" s="97" t="s">
        <v>274</v>
      </c>
      <c r="C104" s="93" t="s">
        <v>285</v>
      </c>
      <c r="D104" s="198" t="s">
        <v>20</v>
      </c>
      <c r="E104" s="229">
        <v>72</v>
      </c>
      <c r="F104" s="229">
        <v>72</v>
      </c>
      <c r="G104" s="218">
        <v>67</v>
      </c>
      <c r="H104" s="218">
        <v>67</v>
      </c>
      <c r="I104" s="218">
        <v>67</v>
      </c>
      <c r="J104" s="261">
        <v>65511.03</v>
      </c>
      <c r="K104" s="46">
        <f>12142.68*1.802017</f>
        <v>21881.31578556</v>
      </c>
      <c r="L104" s="46">
        <f t="shared" si="34"/>
        <v>20300.798794999999</v>
      </c>
      <c r="M104" s="46">
        <f t="shared" si="27"/>
        <v>107693.14458055999</v>
      </c>
      <c r="N104" s="46">
        <f>G104*J104-0.01</f>
        <v>4389239</v>
      </c>
      <c r="O104" s="46">
        <f t="shared" ref="O104" si="36">G104*K104-0.16</f>
        <v>1466047.99763252</v>
      </c>
      <c r="P104" s="237"/>
      <c r="Q104" s="46">
        <f>G104*L104</f>
        <v>1360153.519265</v>
      </c>
      <c r="R104" s="46"/>
      <c r="S104" s="46"/>
      <c r="T104" s="46">
        <f t="shared" si="2"/>
        <v>7215440.5168975201</v>
      </c>
      <c r="U104" s="46">
        <v>7216834.2000000002</v>
      </c>
      <c r="V104" s="46">
        <f>U104</f>
        <v>7216834.2000000002</v>
      </c>
      <c r="W104" s="85">
        <f>T104-U104</f>
        <v>-1393.6831024801359</v>
      </c>
    </row>
    <row r="105" spans="1:25" s="203" customFormat="1" x14ac:dyDescent="0.25">
      <c r="A105" s="49"/>
      <c r="B105" s="231" t="s">
        <v>225</v>
      </c>
      <c r="C105" s="217" t="s">
        <v>219</v>
      </c>
      <c r="D105" s="226" t="s">
        <v>20</v>
      </c>
      <c r="E105" s="236">
        <v>26</v>
      </c>
      <c r="F105" s="236">
        <v>26</v>
      </c>
      <c r="G105" s="218">
        <v>26</v>
      </c>
      <c r="H105" s="218">
        <v>26</v>
      </c>
      <c r="I105" s="218">
        <v>26</v>
      </c>
      <c r="J105" s="46"/>
      <c r="K105" s="46"/>
      <c r="L105" s="46"/>
      <c r="M105" s="46">
        <f t="shared" si="27"/>
        <v>0</v>
      </c>
      <c r="N105" s="237"/>
      <c r="O105" s="46"/>
      <c r="P105" s="237"/>
      <c r="Q105" s="46"/>
      <c r="R105" s="46">
        <v>5181997</v>
      </c>
      <c r="S105" s="46"/>
      <c r="T105" s="46">
        <f>R105</f>
        <v>5181997</v>
      </c>
      <c r="U105" s="46">
        <f>R105</f>
        <v>5181997</v>
      </c>
      <c r="V105" s="46">
        <f>R105</f>
        <v>5181997</v>
      </c>
    </row>
    <row r="106" spans="1:25" s="203" customFormat="1" x14ac:dyDescent="0.25">
      <c r="A106" s="49"/>
      <c r="B106" s="231" t="s">
        <v>225</v>
      </c>
      <c r="C106" s="217" t="s">
        <v>226</v>
      </c>
      <c r="D106" s="226" t="s">
        <v>20</v>
      </c>
      <c r="E106" s="229">
        <v>9</v>
      </c>
      <c r="F106" s="229">
        <v>9</v>
      </c>
      <c r="G106" s="218">
        <v>9</v>
      </c>
      <c r="H106" s="218">
        <v>9</v>
      </c>
      <c r="I106" s="218">
        <v>9</v>
      </c>
      <c r="J106" s="46"/>
      <c r="K106" s="46"/>
      <c r="L106" s="46"/>
      <c r="M106" s="46">
        <f t="shared" si="27"/>
        <v>0</v>
      </c>
      <c r="N106" s="237"/>
      <c r="O106" s="46"/>
      <c r="P106" s="237">
        <f>784680+232701</f>
        <v>1017381</v>
      </c>
      <c r="Q106" s="46"/>
      <c r="R106" s="46"/>
      <c r="S106" s="46"/>
      <c r="T106" s="46">
        <f>P106</f>
        <v>1017381</v>
      </c>
      <c r="U106" s="46">
        <f>P106-231701</f>
        <v>785680</v>
      </c>
      <c r="V106" s="46">
        <f>U106</f>
        <v>785680</v>
      </c>
    </row>
    <row r="107" spans="1:25" s="203" customFormat="1" ht="28.5" x14ac:dyDescent="0.25">
      <c r="A107" s="49"/>
      <c r="B107" s="84" t="s">
        <v>295</v>
      </c>
      <c r="C107" s="217" t="s">
        <v>219</v>
      </c>
      <c r="D107" s="50"/>
      <c r="E107" s="218"/>
      <c r="F107" s="218"/>
      <c r="G107" s="218">
        <v>26</v>
      </c>
      <c r="H107" s="218">
        <v>26</v>
      </c>
      <c r="I107" s="218">
        <v>26</v>
      </c>
      <c r="J107" s="46"/>
      <c r="K107" s="46"/>
      <c r="L107" s="46"/>
      <c r="M107" s="46">
        <f t="shared" si="27"/>
        <v>0</v>
      </c>
      <c r="N107" s="237"/>
      <c r="O107" s="46"/>
      <c r="P107" s="237"/>
      <c r="Q107" s="46"/>
      <c r="R107" s="46">
        <v>434756</v>
      </c>
      <c r="S107" s="46"/>
      <c r="T107" s="46">
        <f>R107</f>
        <v>434756</v>
      </c>
      <c r="U107" s="46"/>
      <c r="V107" s="46"/>
    </row>
    <row r="108" spans="1:25" s="203" customFormat="1" ht="13.5" hidden="1" customHeight="1" x14ac:dyDescent="0.25">
      <c r="A108" s="50"/>
      <c r="B108" s="231"/>
      <c r="C108" s="217" t="s">
        <v>226</v>
      </c>
      <c r="D108" s="45"/>
      <c r="E108" s="218"/>
      <c r="F108" s="218"/>
      <c r="G108" s="218"/>
      <c r="H108" s="218"/>
      <c r="I108" s="218"/>
      <c r="J108" s="46"/>
      <c r="K108" s="46"/>
      <c r="L108" s="46"/>
      <c r="M108" s="46">
        <f t="shared" si="27"/>
        <v>0</v>
      </c>
      <c r="N108" s="237"/>
      <c r="O108" s="46"/>
      <c r="P108" s="237"/>
      <c r="Q108" s="46"/>
      <c r="R108" s="46"/>
      <c r="S108" s="46"/>
      <c r="T108" s="46">
        <f>O108</f>
        <v>0</v>
      </c>
      <c r="U108" s="46">
        <f t="shared" ref="U108:V109" si="37">T108</f>
        <v>0</v>
      </c>
      <c r="V108" s="46">
        <f t="shared" si="37"/>
        <v>0</v>
      </c>
    </row>
    <row r="109" spans="1:25" s="203" customFormat="1" hidden="1" x14ac:dyDescent="0.25">
      <c r="A109" s="50"/>
      <c r="B109" s="231"/>
      <c r="C109" s="217" t="s">
        <v>226</v>
      </c>
      <c r="D109" s="45"/>
      <c r="E109" s="218"/>
      <c r="F109" s="218"/>
      <c r="G109" s="218"/>
      <c r="H109" s="218"/>
      <c r="I109" s="218"/>
      <c r="J109" s="46"/>
      <c r="K109" s="46"/>
      <c r="L109" s="46"/>
      <c r="M109" s="46">
        <f t="shared" si="27"/>
        <v>0</v>
      </c>
      <c r="N109" s="237"/>
      <c r="O109" s="46"/>
      <c r="P109" s="237"/>
      <c r="Q109" s="46"/>
      <c r="R109" s="46"/>
      <c r="S109" s="46"/>
      <c r="T109" s="46">
        <f>N109</f>
        <v>0</v>
      </c>
      <c r="U109" s="46">
        <f t="shared" si="37"/>
        <v>0</v>
      </c>
      <c r="V109" s="46">
        <f t="shared" si="37"/>
        <v>0</v>
      </c>
    </row>
    <row r="110" spans="1:25" ht="45.75" hidden="1" customHeight="1" x14ac:dyDescent="0.25">
      <c r="A110" s="88"/>
      <c r="B110" s="128"/>
      <c r="C110" s="127" t="s">
        <v>226</v>
      </c>
      <c r="D110" s="198"/>
      <c r="E110" s="87"/>
      <c r="F110" s="87"/>
      <c r="G110" s="218"/>
      <c r="H110" s="218"/>
      <c r="I110" s="218"/>
      <c r="J110" s="46"/>
      <c r="K110" s="46"/>
      <c r="L110" s="46"/>
      <c r="M110" s="46">
        <f t="shared" si="27"/>
        <v>0</v>
      </c>
      <c r="N110" s="237"/>
      <c r="O110" s="46"/>
      <c r="P110" s="237"/>
      <c r="Q110" s="46"/>
      <c r="R110" s="46"/>
      <c r="S110" s="46"/>
      <c r="T110" s="46">
        <f>N110</f>
        <v>0</v>
      </c>
      <c r="U110" s="46">
        <f t="shared" ref="U110:V112" si="38">T110</f>
        <v>0</v>
      </c>
      <c r="V110" s="46">
        <f t="shared" si="38"/>
        <v>0</v>
      </c>
    </row>
    <row r="111" spans="1:25" hidden="1" x14ac:dyDescent="0.25">
      <c r="A111" s="88"/>
      <c r="B111" s="128"/>
      <c r="C111" s="127"/>
      <c r="D111" s="213"/>
      <c r="E111" s="87"/>
      <c r="F111" s="87"/>
      <c r="G111" s="218"/>
      <c r="H111" s="218"/>
      <c r="I111" s="218"/>
      <c r="J111" s="46"/>
      <c r="K111" s="46"/>
      <c r="L111" s="46"/>
      <c r="M111" s="46">
        <f t="shared" si="27"/>
        <v>0</v>
      </c>
      <c r="N111" s="237"/>
      <c r="O111" s="46"/>
      <c r="P111" s="237"/>
      <c r="Q111" s="46"/>
      <c r="R111" s="46"/>
      <c r="S111" s="46"/>
      <c r="T111" s="46">
        <f>O111</f>
        <v>0</v>
      </c>
      <c r="U111" s="46">
        <f t="shared" si="38"/>
        <v>0</v>
      </c>
      <c r="V111" s="46">
        <f t="shared" si="38"/>
        <v>0</v>
      </c>
    </row>
    <row r="112" spans="1:25" ht="60" customHeight="1" x14ac:dyDescent="0.25">
      <c r="A112" s="193" t="s">
        <v>249</v>
      </c>
      <c r="B112" s="198" t="s">
        <v>28</v>
      </c>
      <c r="C112" s="127" t="s">
        <v>219</v>
      </c>
      <c r="D112" s="86" t="s">
        <v>20</v>
      </c>
      <c r="E112" s="229">
        <f>E104+E103+E102</f>
        <v>167</v>
      </c>
      <c r="F112" s="229">
        <f t="shared" ref="F112:I112" si="39">F104+F103+F102</f>
        <v>167</v>
      </c>
      <c r="G112" s="218">
        <f t="shared" si="39"/>
        <v>166</v>
      </c>
      <c r="H112" s="218">
        <f t="shared" si="39"/>
        <v>166</v>
      </c>
      <c r="I112" s="218">
        <f t="shared" si="39"/>
        <v>166</v>
      </c>
      <c r="J112" s="46" t="s">
        <v>23</v>
      </c>
      <c r="K112" s="46"/>
      <c r="L112" s="46">
        <v>9851.3233734000005</v>
      </c>
      <c r="M112" s="46">
        <f t="shared" si="27"/>
        <v>9851.3233734000005</v>
      </c>
      <c r="N112" s="237">
        <f t="shared" si="13"/>
        <v>0</v>
      </c>
      <c r="O112" s="46">
        <f t="shared" ref="O112" si="40">G112*K112</f>
        <v>0</v>
      </c>
      <c r="P112" s="237"/>
      <c r="Q112" s="46">
        <f>G112*L112</f>
        <v>1635319.6799844</v>
      </c>
      <c r="R112" s="46"/>
      <c r="S112" s="46"/>
      <c r="T112" s="46">
        <f t="shared" si="2"/>
        <v>1635319.6799844</v>
      </c>
      <c r="U112" s="46">
        <f t="shared" si="38"/>
        <v>1635319.6799844</v>
      </c>
      <c r="V112" s="46">
        <f t="shared" si="38"/>
        <v>1635319.6799844</v>
      </c>
    </row>
    <row r="113" spans="1:25" x14ac:dyDescent="0.25">
      <c r="A113" s="86"/>
      <c r="B113" s="198" t="s">
        <v>28</v>
      </c>
      <c r="C113" s="127" t="s">
        <v>220</v>
      </c>
      <c r="D113" s="86"/>
      <c r="E113" s="87"/>
      <c r="F113" s="87"/>
      <c r="G113" s="218">
        <v>163</v>
      </c>
      <c r="H113" s="218">
        <v>163</v>
      </c>
      <c r="I113" s="218">
        <v>163</v>
      </c>
      <c r="J113" s="46"/>
      <c r="K113" s="46"/>
      <c r="L113" s="46">
        <v>12750.1</v>
      </c>
      <c r="M113" s="46">
        <f t="shared" si="27"/>
        <v>12750.1</v>
      </c>
      <c r="N113" s="237"/>
      <c r="O113" s="46"/>
      <c r="P113" s="237"/>
      <c r="Q113" s="46"/>
      <c r="R113" s="46"/>
      <c r="S113" s="46">
        <f>L113*G113</f>
        <v>2078266.3</v>
      </c>
      <c r="T113" s="46">
        <f>S113:S115</f>
        <v>2078266.3</v>
      </c>
      <c r="U113" s="46">
        <f>S113</f>
        <v>2078266.3</v>
      </c>
      <c r="V113" s="46">
        <f>S113</f>
        <v>2078266.3</v>
      </c>
    </row>
    <row r="114" spans="1:25" ht="71.25" x14ac:dyDescent="0.25">
      <c r="A114" s="86"/>
      <c r="B114" s="128" t="s">
        <v>321</v>
      </c>
      <c r="C114" s="217" t="s">
        <v>226</v>
      </c>
      <c r="D114" s="86"/>
      <c r="E114" s="87"/>
      <c r="F114" s="87"/>
      <c r="G114" s="218"/>
      <c r="H114" s="218"/>
      <c r="I114" s="218"/>
      <c r="J114" s="46"/>
      <c r="K114" s="46"/>
      <c r="L114" s="46"/>
      <c r="M114" s="46"/>
      <c r="N114" s="237">
        <v>112109</v>
      </c>
      <c r="O114" s="46"/>
      <c r="P114" s="237"/>
      <c r="Q114" s="46"/>
      <c r="R114" s="46"/>
      <c r="S114" s="46"/>
      <c r="T114" s="46">
        <f>N114</f>
        <v>112109</v>
      </c>
      <c r="U114" s="46"/>
      <c r="V114" s="46"/>
    </row>
    <row r="115" spans="1:25" x14ac:dyDescent="0.25">
      <c r="A115" s="188" t="s">
        <v>57</v>
      </c>
      <c r="B115" s="94"/>
      <c r="C115" s="94"/>
      <c r="D115" s="94"/>
      <c r="E115" s="92"/>
      <c r="F115" s="92"/>
      <c r="G115" s="263"/>
      <c r="H115" s="263"/>
      <c r="I115" s="263"/>
      <c r="J115" s="220"/>
      <c r="K115" s="220"/>
      <c r="L115" s="220"/>
      <c r="M115" s="46">
        <f t="shared" si="27"/>
        <v>0</v>
      </c>
      <c r="N115" s="220">
        <f>N116+N129</f>
        <v>6672883.9999999991</v>
      </c>
      <c r="O115" s="220">
        <f>O116+O129</f>
        <v>2581995.0026960801</v>
      </c>
      <c r="P115" s="238">
        <f>P116</f>
        <v>651161</v>
      </c>
      <c r="Q115" s="220">
        <f>Q116+Q129+Q124</f>
        <v>3536630.0299994997</v>
      </c>
      <c r="R115" s="220">
        <f>R116</f>
        <v>2598068</v>
      </c>
      <c r="S115" s="220">
        <f>S130</f>
        <v>1504511.8</v>
      </c>
      <c r="T115" s="220">
        <f>T116+T129+T130</f>
        <v>17545249.832695577</v>
      </c>
      <c r="U115" s="220">
        <f>U116+U129+U130</f>
        <v>17254764.830000002</v>
      </c>
      <c r="V115" s="220">
        <f>V116+V129+V130</f>
        <v>17254764.830000002</v>
      </c>
      <c r="W115" s="80">
        <v>3536630.03</v>
      </c>
      <c r="X115" s="85">
        <f>W115-Q115</f>
        <v>5.0012022256851196E-7</v>
      </c>
      <c r="Y115" s="80">
        <f>X115/I129</f>
        <v>4.2383069709195928E-9</v>
      </c>
    </row>
    <row r="116" spans="1:25" ht="87" customHeight="1" x14ac:dyDescent="0.25">
      <c r="A116" s="193" t="s">
        <v>248</v>
      </c>
      <c r="B116" s="84" t="s">
        <v>76</v>
      </c>
      <c r="C116" s="128"/>
      <c r="D116" s="95"/>
      <c r="E116" s="68"/>
      <c r="F116" s="68"/>
      <c r="G116" s="262"/>
      <c r="H116" s="262"/>
      <c r="I116" s="262"/>
      <c r="J116" s="46"/>
      <c r="K116" s="46"/>
      <c r="L116" s="46"/>
      <c r="M116" s="46">
        <f t="shared" si="27"/>
        <v>0</v>
      </c>
      <c r="N116" s="46">
        <f>SUM(N117:N131)</f>
        <v>6672883.9999999991</v>
      </c>
      <c r="O116" s="46">
        <f>SUM(O117:O128)</f>
        <v>2581995.0026960801</v>
      </c>
      <c r="P116" s="237">
        <f>P123</f>
        <v>651161</v>
      </c>
      <c r="Q116" s="46">
        <f>SUM(Q117:Q120)</f>
        <v>2395493.7999994997</v>
      </c>
      <c r="R116" s="46">
        <f>R122+R124</f>
        <v>2598068</v>
      </c>
      <c r="S116" s="46"/>
      <c r="T116" s="46">
        <f>SUM(T117:T128)+T131</f>
        <v>14899601.802695578</v>
      </c>
      <c r="U116" s="46">
        <f t="shared" ref="U116:V116" si="41">SUM(U117:U128)</f>
        <v>14609116.800000001</v>
      </c>
      <c r="V116" s="46">
        <f t="shared" si="41"/>
        <v>14609116.800000001</v>
      </c>
      <c r="W116" s="85">
        <f>T115-U115</f>
        <v>290485.00269557536</v>
      </c>
    </row>
    <row r="117" spans="1:25" ht="43.5" customHeight="1" x14ac:dyDescent="0.25">
      <c r="A117" s="266"/>
      <c r="B117" s="97" t="s">
        <v>276</v>
      </c>
      <c r="C117" s="332" t="s">
        <v>283</v>
      </c>
      <c r="D117" s="267" t="s">
        <v>20</v>
      </c>
      <c r="E117" s="68"/>
      <c r="F117" s="68"/>
      <c r="G117" s="218">
        <v>1</v>
      </c>
      <c r="H117" s="218">
        <v>1</v>
      </c>
      <c r="I117" s="218">
        <v>1</v>
      </c>
      <c r="J117" s="46">
        <v>43138.04</v>
      </c>
      <c r="K117" s="46">
        <f>12142.68*1.802017</f>
        <v>21881.31578556</v>
      </c>
      <c r="L117" s="46">
        <f>20321.6-20.80508475</f>
        <v>20300.794915249997</v>
      </c>
      <c r="M117" s="46">
        <f t="shared" si="27"/>
        <v>85320.150700810002</v>
      </c>
      <c r="N117" s="46">
        <f>G117*J117-0.04</f>
        <v>43138</v>
      </c>
      <c r="O117" s="46">
        <f>G117*K117-0.32</f>
        <v>21880.995785560001</v>
      </c>
      <c r="P117" s="237"/>
      <c r="Q117" s="46">
        <f>H117*L117</f>
        <v>20300.794915249997</v>
      </c>
      <c r="R117" s="46"/>
      <c r="S117" s="46"/>
      <c r="T117" s="46">
        <f>N117+O117+P117+Q117+R117</f>
        <v>85319.790700810001</v>
      </c>
      <c r="U117" s="46">
        <v>85340.6</v>
      </c>
      <c r="V117" s="46">
        <f t="shared" ref="V117:V119" si="42">U117</f>
        <v>85340.6</v>
      </c>
    </row>
    <row r="118" spans="1:25" ht="63" customHeight="1" x14ac:dyDescent="0.25">
      <c r="A118" s="83"/>
      <c r="B118" s="97" t="s">
        <v>274</v>
      </c>
      <c r="C118" s="345"/>
      <c r="D118" s="198" t="s">
        <v>20</v>
      </c>
      <c r="E118" s="229">
        <v>45</v>
      </c>
      <c r="F118" s="87">
        <v>45</v>
      </c>
      <c r="G118" s="218">
        <v>44</v>
      </c>
      <c r="H118" s="218">
        <v>44</v>
      </c>
      <c r="I118" s="218">
        <v>44</v>
      </c>
      <c r="J118" s="46">
        <v>34198.17</v>
      </c>
      <c r="K118" s="46">
        <f>12142.68*1.802017</f>
        <v>21881.31578556</v>
      </c>
      <c r="L118" s="46">
        <f t="shared" ref="L118:L120" si="43">20321.6-20.80508475</f>
        <v>20300.794915249997</v>
      </c>
      <c r="M118" s="46">
        <f t="shared" si="27"/>
        <v>76380.280700809992</v>
      </c>
      <c r="N118" s="46">
        <f>G118*J118+0.52</f>
        <v>1504720</v>
      </c>
      <c r="O118" s="46">
        <f>G118*K118+0.11</f>
        <v>962778.00456464</v>
      </c>
      <c r="P118" s="237"/>
      <c r="Q118" s="46">
        <f>G118*L118</f>
        <v>893234.97627099988</v>
      </c>
      <c r="R118" s="46"/>
      <c r="S118" s="46"/>
      <c r="T118" s="46">
        <f t="shared" si="2"/>
        <v>3360732.9808356399</v>
      </c>
      <c r="U118" s="46">
        <v>3361648.4</v>
      </c>
      <c r="V118" s="46">
        <f t="shared" si="42"/>
        <v>3361648.4</v>
      </c>
    </row>
    <row r="119" spans="1:25" ht="120" x14ac:dyDescent="0.25">
      <c r="A119" s="83"/>
      <c r="B119" s="97" t="s">
        <v>274</v>
      </c>
      <c r="C119" s="93" t="s">
        <v>278</v>
      </c>
      <c r="D119" s="198" t="s">
        <v>20</v>
      </c>
      <c r="E119" s="234">
        <v>73</v>
      </c>
      <c r="F119" s="229">
        <v>73</v>
      </c>
      <c r="G119" s="218">
        <v>73</v>
      </c>
      <c r="H119" s="218">
        <v>73</v>
      </c>
      <c r="I119" s="218">
        <v>73</v>
      </c>
      <c r="J119" s="261">
        <v>65511.03</v>
      </c>
      <c r="K119" s="46">
        <f>12142.68*1.802017</f>
        <v>21881.31578556</v>
      </c>
      <c r="L119" s="46">
        <f t="shared" si="43"/>
        <v>20300.794915249997</v>
      </c>
      <c r="M119" s="46">
        <f t="shared" si="27"/>
        <v>107693.14070080999</v>
      </c>
      <c r="N119" s="46">
        <f>G119*J119-0.19</f>
        <v>4782304.9999999991</v>
      </c>
      <c r="O119" s="46">
        <f>G119*K119-0.05</f>
        <v>1597336.00234588</v>
      </c>
      <c r="P119" s="237"/>
      <c r="Q119" s="46">
        <f>G119*L119</f>
        <v>1481958.0288132497</v>
      </c>
      <c r="R119" s="46"/>
      <c r="S119" s="46"/>
      <c r="T119" s="46">
        <f>SUM(N119:Q119)</f>
        <v>7861599.0311591281</v>
      </c>
      <c r="U119" s="46">
        <v>7863117.7999999998</v>
      </c>
      <c r="V119" s="46">
        <f t="shared" si="42"/>
        <v>7863117.7999999998</v>
      </c>
    </row>
    <row r="120" spans="1:25" ht="79.5" customHeight="1" x14ac:dyDescent="0.25">
      <c r="A120" s="227"/>
      <c r="B120" s="97" t="s">
        <v>181</v>
      </c>
      <c r="C120" s="227" t="s">
        <v>291</v>
      </c>
      <c r="D120" s="235"/>
      <c r="E120" s="229">
        <v>45</v>
      </c>
      <c r="F120" s="229">
        <v>45</v>
      </c>
      <c r="G120" s="218">
        <v>45</v>
      </c>
      <c r="H120" s="218">
        <v>45</v>
      </c>
      <c r="I120" s="218">
        <v>45</v>
      </c>
      <c r="J120" s="261">
        <v>1554.8</v>
      </c>
      <c r="K120" s="46">
        <v>21881.32</v>
      </c>
      <c r="L120" s="46">
        <f t="shared" si="43"/>
        <v>20300.794915249997</v>
      </c>
      <c r="M120" s="46">
        <f t="shared" si="27"/>
        <v>43736.914915249996</v>
      </c>
      <c r="N120" s="46">
        <f>G120*J120</f>
        <v>69966</v>
      </c>
      <c r="O120" s="46"/>
      <c r="P120" s="237"/>
      <c r="Q120" s="46"/>
      <c r="R120" s="46"/>
      <c r="S120" s="46"/>
      <c r="T120" s="46">
        <f>SUM(N120:Q120)</f>
        <v>69966</v>
      </c>
      <c r="U120" s="46">
        <f>T120</f>
        <v>69966</v>
      </c>
      <c r="V120" s="46">
        <f>U120</f>
        <v>69966</v>
      </c>
    </row>
    <row r="121" spans="1:25" ht="79.5" customHeight="1" x14ac:dyDescent="0.25">
      <c r="A121" s="227"/>
      <c r="B121" s="97" t="s">
        <v>181</v>
      </c>
      <c r="C121" s="227" t="s">
        <v>292</v>
      </c>
      <c r="D121" s="235"/>
      <c r="E121" s="229">
        <v>73</v>
      </c>
      <c r="F121" s="229">
        <v>73</v>
      </c>
      <c r="G121" s="218">
        <v>73</v>
      </c>
      <c r="H121" s="218">
        <v>73</v>
      </c>
      <c r="I121" s="218">
        <v>73</v>
      </c>
      <c r="J121" s="261">
        <v>2073.06</v>
      </c>
      <c r="K121" s="46">
        <f>12142.68*1.802017</f>
        <v>21881.31578556</v>
      </c>
      <c r="L121" s="46">
        <v>20321.599999999999</v>
      </c>
      <c r="M121" s="46">
        <f t="shared" si="27"/>
        <v>44275.975785560004</v>
      </c>
      <c r="N121" s="46">
        <f>G121*J121-0.38</f>
        <v>151333</v>
      </c>
      <c r="O121" s="46"/>
      <c r="P121" s="237"/>
      <c r="Q121" s="46"/>
      <c r="R121" s="46"/>
      <c r="S121" s="46"/>
      <c r="T121" s="46">
        <f>SUM(N121:Q121)</f>
        <v>151333</v>
      </c>
      <c r="U121" s="46">
        <f>T121</f>
        <v>151333</v>
      </c>
      <c r="V121" s="46">
        <f>U121</f>
        <v>151333</v>
      </c>
    </row>
    <row r="122" spans="1:25" s="203" customFormat="1" x14ac:dyDescent="0.25">
      <c r="A122" s="42"/>
      <c r="B122" s="231" t="s">
        <v>225</v>
      </c>
      <c r="C122" s="217" t="s">
        <v>219</v>
      </c>
      <c r="D122" s="226" t="s">
        <v>20</v>
      </c>
      <c r="E122" s="236">
        <v>12</v>
      </c>
      <c r="F122" s="236">
        <v>12</v>
      </c>
      <c r="G122" s="218">
        <v>12</v>
      </c>
      <c r="H122" s="218">
        <v>12</v>
      </c>
      <c r="I122" s="218">
        <v>12</v>
      </c>
      <c r="J122" s="46"/>
      <c r="K122" s="46"/>
      <c r="L122" s="46"/>
      <c r="M122" s="46">
        <f t="shared" si="27"/>
        <v>0</v>
      </c>
      <c r="N122" s="237"/>
      <c r="O122" s="46"/>
      <c r="P122" s="237"/>
      <c r="Q122" s="46"/>
      <c r="R122" s="46">
        <v>2397412</v>
      </c>
      <c r="S122" s="46"/>
      <c r="T122" s="46">
        <f>R122</f>
        <v>2397412</v>
      </c>
      <c r="U122" s="46">
        <f>R122</f>
        <v>2397412</v>
      </c>
      <c r="V122" s="46">
        <f>R122</f>
        <v>2397412</v>
      </c>
    </row>
    <row r="123" spans="1:25" s="203" customFormat="1" x14ac:dyDescent="0.25">
      <c r="A123" s="42"/>
      <c r="B123" s="231" t="s">
        <v>225</v>
      </c>
      <c r="C123" s="217" t="s">
        <v>226</v>
      </c>
      <c r="D123" s="226" t="s">
        <v>20</v>
      </c>
      <c r="E123" s="229">
        <v>8</v>
      </c>
      <c r="F123" s="229">
        <v>8</v>
      </c>
      <c r="G123" s="218">
        <v>8</v>
      </c>
      <c r="H123" s="218">
        <v>8</v>
      </c>
      <c r="I123" s="218">
        <v>8</v>
      </c>
      <c r="J123" s="46"/>
      <c r="K123" s="46"/>
      <c r="L123" s="46"/>
      <c r="M123" s="46">
        <f t="shared" si="27"/>
        <v>0</v>
      </c>
      <c r="N123" s="237"/>
      <c r="O123" s="46"/>
      <c r="P123" s="46">
        <v>651161</v>
      </c>
      <c r="Q123" s="46"/>
      <c r="R123" s="46"/>
      <c r="S123" s="46"/>
      <c r="T123" s="46">
        <f>P123</f>
        <v>651161</v>
      </c>
      <c r="U123" s="46">
        <f>P123</f>
        <v>651161</v>
      </c>
      <c r="V123" s="46">
        <f>P123</f>
        <v>651161</v>
      </c>
    </row>
    <row r="124" spans="1:25" s="203" customFormat="1" ht="28.5" x14ac:dyDescent="0.25">
      <c r="A124" s="42"/>
      <c r="B124" s="84" t="s">
        <v>295</v>
      </c>
      <c r="C124" s="217" t="s">
        <v>219</v>
      </c>
      <c r="D124" s="44"/>
      <c r="E124" s="218"/>
      <c r="F124" s="218"/>
      <c r="G124" s="218">
        <v>12</v>
      </c>
      <c r="H124" s="218">
        <v>12</v>
      </c>
      <c r="I124" s="218">
        <v>12</v>
      </c>
      <c r="J124" s="46"/>
      <c r="K124" s="46"/>
      <c r="L124" s="46"/>
      <c r="M124" s="46">
        <f t="shared" si="27"/>
        <v>0</v>
      </c>
      <c r="N124" s="237"/>
      <c r="O124" s="46"/>
      <c r="P124" s="237"/>
      <c r="Q124" s="46"/>
      <c r="R124" s="46">
        <v>200656</v>
      </c>
      <c r="S124" s="46"/>
      <c r="T124" s="46">
        <f>R124</f>
        <v>200656</v>
      </c>
      <c r="U124" s="46"/>
      <c r="V124" s="46"/>
    </row>
    <row r="125" spans="1:25" s="203" customFormat="1" hidden="1" x14ac:dyDescent="0.25">
      <c r="A125" s="50"/>
      <c r="B125" s="231"/>
      <c r="C125" s="217" t="s">
        <v>226</v>
      </c>
      <c r="D125" s="45"/>
      <c r="E125" s="218"/>
      <c r="F125" s="218"/>
      <c r="G125" s="218"/>
      <c r="H125" s="218"/>
      <c r="I125" s="218"/>
      <c r="J125" s="46"/>
      <c r="K125" s="46"/>
      <c r="L125" s="46"/>
      <c r="M125" s="46">
        <f t="shared" si="27"/>
        <v>0</v>
      </c>
      <c r="N125" s="237"/>
      <c r="O125" s="46"/>
      <c r="P125" s="237"/>
      <c r="Q125" s="46"/>
      <c r="R125" s="46"/>
      <c r="S125" s="46"/>
      <c r="T125" s="46">
        <f>O125</f>
        <v>0</v>
      </c>
      <c r="U125" s="46">
        <f t="shared" ref="U125:V126" si="44">T125</f>
        <v>0</v>
      </c>
      <c r="V125" s="46">
        <f t="shared" si="44"/>
        <v>0</v>
      </c>
    </row>
    <row r="126" spans="1:25" s="203" customFormat="1" x14ac:dyDescent="0.25">
      <c r="A126" s="50"/>
      <c r="B126" s="231" t="s">
        <v>265</v>
      </c>
      <c r="C126" s="217" t="s">
        <v>226</v>
      </c>
      <c r="D126" s="45"/>
      <c r="E126" s="218"/>
      <c r="F126" s="218"/>
      <c r="G126" s="218"/>
      <c r="H126" s="218"/>
      <c r="I126" s="218"/>
      <c r="J126" s="46"/>
      <c r="K126" s="46"/>
      <c r="L126" s="46"/>
      <c r="M126" s="46">
        <f t="shared" si="27"/>
        <v>0</v>
      </c>
      <c r="N126" s="237">
        <v>29138</v>
      </c>
      <c r="O126" s="46"/>
      <c r="P126" s="237"/>
      <c r="Q126" s="46"/>
      <c r="R126" s="46"/>
      <c r="S126" s="46"/>
      <c r="T126" s="46">
        <f>N126</f>
        <v>29138</v>
      </c>
      <c r="U126" s="46">
        <f t="shared" si="44"/>
        <v>29138</v>
      </c>
      <c r="V126" s="46">
        <f t="shared" si="44"/>
        <v>29138</v>
      </c>
    </row>
    <row r="127" spans="1:25" ht="42" hidden="1" customHeight="1" x14ac:dyDescent="0.25">
      <c r="A127" s="83"/>
      <c r="B127" s="128"/>
      <c r="C127" s="127" t="s">
        <v>226</v>
      </c>
      <c r="D127" s="198"/>
      <c r="E127" s="87"/>
      <c r="F127" s="87"/>
      <c r="G127" s="218"/>
      <c r="H127" s="218"/>
      <c r="I127" s="218"/>
      <c r="J127" s="46"/>
      <c r="K127" s="46"/>
      <c r="L127" s="46"/>
      <c r="M127" s="46">
        <f t="shared" si="27"/>
        <v>0</v>
      </c>
      <c r="N127" s="237"/>
      <c r="O127" s="46"/>
      <c r="P127" s="237"/>
      <c r="Q127" s="46"/>
      <c r="R127" s="46"/>
      <c r="S127" s="46"/>
      <c r="T127" s="46">
        <f>N127</f>
        <v>0</v>
      </c>
      <c r="U127" s="46">
        <f>T127</f>
        <v>0</v>
      </c>
      <c r="V127" s="46">
        <f>U127</f>
        <v>0</v>
      </c>
    </row>
    <row r="128" spans="1:25" hidden="1" x14ac:dyDescent="0.25">
      <c r="A128" s="83"/>
      <c r="B128" s="128"/>
      <c r="C128" s="127"/>
      <c r="D128" s="213"/>
      <c r="E128" s="87"/>
      <c r="F128" s="87"/>
      <c r="G128" s="218"/>
      <c r="H128" s="218"/>
      <c r="I128" s="218"/>
      <c r="J128" s="46"/>
      <c r="K128" s="46"/>
      <c r="L128" s="46"/>
      <c r="M128" s="46">
        <f t="shared" si="27"/>
        <v>0</v>
      </c>
      <c r="N128" s="237"/>
      <c r="O128" s="46"/>
      <c r="P128" s="237"/>
      <c r="Q128" s="46"/>
      <c r="R128" s="46"/>
      <c r="S128" s="46"/>
      <c r="T128" s="46">
        <f>O128</f>
        <v>0</v>
      </c>
      <c r="U128" s="46">
        <f>O128</f>
        <v>0</v>
      </c>
      <c r="V128" s="46">
        <f>U128</f>
        <v>0</v>
      </c>
    </row>
    <row r="129" spans="1:25" ht="60" x14ac:dyDescent="0.25">
      <c r="A129" s="193" t="s">
        <v>249</v>
      </c>
      <c r="B129" s="198" t="s">
        <v>28</v>
      </c>
      <c r="C129" s="127" t="s">
        <v>219</v>
      </c>
      <c r="D129" s="86" t="s">
        <v>20</v>
      </c>
      <c r="E129" s="229">
        <v>118</v>
      </c>
      <c r="F129" s="229">
        <v>118</v>
      </c>
      <c r="G129" s="218">
        <v>118</v>
      </c>
      <c r="H129" s="218">
        <v>118</v>
      </c>
      <c r="I129" s="218">
        <v>118</v>
      </c>
      <c r="J129" s="46" t="s">
        <v>23</v>
      </c>
      <c r="K129" s="46"/>
      <c r="L129" s="46">
        <v>9670.65</v>
      </c>
      <c r="M129" s="46">
        <f t="shared" si="27"/>
        <v>9670.65</v>
      </c>
      <c r="N129" s="237">
        <f t="shared" ref="N129" si="45">G129*J129</f>
        <v>0</v>
      </c>
      <c r="O129" s="46">
        <f t="shared" ref="O129" si="46">G129*K129</f>
        <v>0</v>
      </c>
      <c r="P129" s="237"/>
      <c r="Q129" s="46">
        <f>G129*L129-0.47</f>
        <v>1141136.23</v>
      </c>
      <c r="R129" s="46"/>
      <c r="S129" s="46"/>
      <c r="T129" s="46">
        <f t="shared" si="2"/>
        <v>1141136.23</v>
      </c>
      <c r="U129" s="46">
        <f>T129</f>
        <v>1141136.23</v>
      </c>
      <c r="V129" s="46">
        <f>U129</f>
        <v>1141136.23</v>
      </c>
    </row>
    <row r="130" spans="1:25" ht="18" customHeight="1" x14ac:dyDescent="0.25">
      <c r="A130" s="86"/>
      <c r="B130" s="198" t="s">
        <v>28</v>
      </c>
      <c r="C130" s="127" t="s">
        <v>220</v>
      </c>
      <c r="D130" s="86"/>
      <c r="E130" s="87"/>
      <c r="F130" s="87"/>
      <c r="G130" s="218">
        <v>118</v>
      </c>
      <c r="H130" s="218">
        <v>118</v>
      </c>
      <c r="I130" s="218">
        <v>118</v>
      </c>
      <c r="J130" s="46"/>
      <c r="K130" s="46"/>
      <c r="L130" s="46">
        <v>12750.1</v>
      </c>
      <c r="M130" s="46">
        <f t="shared" si="27"/>
        <v>12750.1</v>
      </c>
      <c r="N130" s="237"/>
      <c r="O130" s="46"/>
      <c r="P130" s="237"/>
      <c r="Q130" s="46"/>
      <c r="R130" s="46"/>
      <c r="S130" s="46">
        <f>L130*G129</f>
        <v>1504511.8</v>
      </c>
      <c r="T130" s="46">
        <f>S130</f>
        <v>1504511.8</v>
      </c>
      <c r="U130" s="46">
        <f>S130</f>
        <v>1504511.8</v>
      </c>
      <c r="V130" s="46">
        <f>S130</f>
        <v>1504511.8</v>
      </c>
    </row>
    <row r="131" spans="1:25" ht="80.25" customHeight="1" x14ac:dyDescent="0.25">
      <c r="A131" s="86"/>
      <c r="B131" s="128" t="s">
        <v>321</v>
      </c>
      <c r="C131" s="217" t="s">
        <v>226</v>
      </c>
      <c r="D131" s="86"/>
      <c r="E131" s="87"/>
      <c r="F131" s="87"/>
      <c r="G131" s="218"/>
      <c r="H131" s="218"/>
      <c r="I131" s="218"/>
      <c r="J131" s="46"/>
      <c r="K131" s="46"/>
      <c r="L131" s="46"/>
      <c r="M131" s="46"/>
      <c r="N131" s="237">
        <v>92284</v>
      </c>
      <c r="O131" s="46"/>
      <c r="P131" s="237"/>
      <c r="Q131" s="46"/>
      <c r="R131" s="46"/>
      <c r="S131" s="46"/>
      <c r="T131" s="46">
        <f>N131</f>
        <v>92284</v>
      </c>
      <c r="U131" s="46"/>
      <c r="V131" s="46"/>
    </row>
    <row r="132" spans="1:25" ht="17.25" customHeight="1" x14ac:dyDescent="0.25">
      <c r="A132" s="188" t="s">
        <v>61</v>
      </c>
      <c r="B132" s="94"/>
      <c r="C132" s="94"/>
      <c r="D132" s="94"/>
      <c r="E132" s="92"/>
      <c r="F132" s="92"/>
      <c r="G132" s="263"/>
      <c r="H132" s="263"/>
      <c r="I132" s="263"/>
      <c r="J132" s="220"/>
      <c r="K132" s="220"/>
      <c r="L132" s="220"/>
      <c r="M132" s="46">
        <f t="shared" si="27"/>
        <v>0</v>
      </c>
      <c r="N132" s="220">
        <f>N133+N145</f>
        <v>17330701</v>
      </c>
      <c r="O132" s="220">
        <f>O133+O145</f>
        <v>5251515.9985344</v>
      </c>
      <c r="P132" s="220">
        <f>P133</f>
        <v>1671519</v>
      </c>
      <c r="Q132" s="220">
        <f>Q133+Q145+Q140</f>
        <v>7193229.5300007984</v>
      </c>
      <c r="R132" s="220">
        <f>R133</f>
        <v>4840969</v>
      </c>
      <c r="S132" s="220">
        <f>S146</f>
        <v>3021773.7</v>
      </c>
      <c r="T132" s="220">
        <f>T133+T145+T146</f>
        <v>39309708.228535205</v>
      </c>
      <c r="U132" s="220">
        <f t="shared" ref="U132:V132" si="47">U133+U145+U146</f>
        <v>38196181.780000001</v>
      </c>
      <c r="V132" s="220">
        <f t="shared" si="47"/>
        <v>38196181.780000001</v>
      </c>
      <c r="W132" s="80">
        <v>7193229.5300000003</v>
      </c>
      <c r="X132" s="85">
        <f>W132-Q132</f>
        <v>-7.9814344644546509E-7</v>
      </c>
      <c r="Y132" s="80">
        <f>X132/I145</f>
        <v>-3.3255976935227712E-9</v>
      </c>
    </row>
    <row r="133" spans="1:25" ht="83.25" customHeight="1" x14ac:dyDescent="0.25">
      <c r="A133" s="193" t="s">
        <v>248</v>
      </c>
      <c r="B133" s="84" t="s">
        <v>76</v>
      </c>
      <c r="C133" s="128"/>
      <c r="D133" s="95"/>
      <c r="E133" s="68"/>
      <c r="F133" s="68"/>
      <c r="G133" s="262"/>
      <c r="H133" s="262"/>
      <c r="I133" s="262"/>
      <c r="J133" s="46"/>
      <c r="K133" s="46"/>
      <c r="L133" s="46"/>
      <c r="M133" s="46">
        <f t="shared" si="27"/>
        <v>0</v>
      </c>
      <c r="N133" s="46">
        <f>N134+N136+N137+N138+N135+N139+N140+N144+N145+N147</f>
        <v>17330701</v>
      </c>
      <c r="O133" s="46">
        <f>SUM(O134:O144)</f>
        <v>5251515.9985344</v>
      </c>
      <c r="P133" s="46">
        <f>P139</f>
        <v>1671519</v>
      </c>
      <c r="Q133" s="46">
        <f>SUM(Q134:Q137)</f>
        <v>4872274.0000007991</v>
      </c>
      <c r="R133" s="46">
        <f>R138+R140</f>
        <v>4840969</v>
      </c>
      <c r="S133" s="46"/>
      <c r="T133" s="46">
        <f>SUM(T134:T144)+T147</f>
        <v>33966978.998535201</v>
      </c>
      <c r="U133" s="46">
        <f>SUM(U134:U144)-0.01</f>
        <v>32853452.550000001</v>
      </c>
      <c r="V133" s="46">
        <f>SUM(V134:V144)-0.01</f>
        <v>32853452.550000001</v>
      </c>
      <c r="W133" s="85">
        <f>T132-U132</f>
        <v>1113526.4485352039</v>
      </c>
    </row>
    <row r="134" spans="1:25" ht="105" x14ac:dyDescent="0.25">
      <c r="A134" s="83"/>
      <c r="B134" s="97" t="s">
        <v>276</v>
      </c>
      <c r="C134" s="93" t="s">
        <v>283</v>
      </c>
      <c r="D134" s="198" t="s">
        <v>20</v>
      </c>
      <c r="E134" s="229">
        <v>35</v>
      </c>
      <c r="F134" s="87">
        <v>35</v>
      </c>
      <c r="G134" s="218">
        <v>32</v>
      </c>
      <c r="H134" s="218">
        <v>32</v>
      </c>
      <c r="I134" s="218">
        <v>32</v>
      </c>
      <c r="J134" s="46">
        <v>43138.04</v>
      </c>
      <c r="K134" s="46">
        <f>12142.68*1.802017</f>
        <v>21881.31578556</v>
      </c>
      <c r="L134" s="46">
        <f>20321.6-20.45833333</f>
        <v>20301.141666669999</v>
      </c>
      <c r="M134" s="46">
        <f t="shared" si="27"/>
        <v>85320.497452230004</v>
      </c>
      <c r="N134" s="46">
        <f>G134*J134-0.28</f>
        <v>1380417</v>
      </c>
      <c r="O134" s="46">
        <f>G134*K134-0.11</f>
        <v>700201.99513792002</v>
      </c>
      <c r="P134" s="46"/>
      <c r="Q134" s="46">
        <f>G134*L134</f>
        <v>649636.53333343996</v>
      </c>
      <c r="R134" s="46"/>
      <c r="S134" s="46"/>
      <c r="T134" s="46">
        <f>SUM(N134:Q134)</f>
        <v>2730255.52847136</v>
      </c>
      <c r="U134" s="46">
        <v>2730910.2</v>
      </c>
      <c r="V134" s="46">
        <f>U134</f>
        <v>2730910.2</v>
      </c>
    </row>
    <row r="135" spans="1:25" ht="165" x14ac:dyDescent="0.25">
      <c r="A135" s="88"/>
      <c r="B135" s="97" t="s">
        <v>274</v>
      </c>
      <c r="C135" s="93" t="s">
        <v>288</v>
      </c>
      <c r="D135" s="86" t="s">
        <v>20</v>
      </c>
      <c r="E135" s="229">
        <v>10</v>
      </c>
      <c r="F135" s="87">
        <v>10</v>
      </c>
      <c r="G135" s="218">
        <v>10</v>
      </c>
      <c r="H135" s="218">
        <v>10</v>
      </c>
      <c r="I135" s="218">
        <v>10</v>
      </c>
      <c r="J135" s="46">
        <v>229832.84</v>
      </c>
      <c r="K135" s="46">
        <f>12142.68*1.802017</f>
        <v>21881.31578556</v>
      </c>
      <c r="L135" s="46">
        <f>20321.6-20.45833333</f>
        <v>20301.141666669999</v>
      </c>
      <c r="M135" s="46">
        <f t="shared" si="27"/>
        <v>272015.29745223001</v>
      </c>
      <c r="N135" s="46">
        <f>G135*J135+0.6</f>
        <v>2298329</v>
      </c>
      <c r="O135" s="46">
        <f>G135*K135-0.15</f>
        <v>218813.00785560001</v>
      </c>
      <c r="P135" s="46"/>
      <c r="Q135" s="46">
        <f t="shared" ref="Q135:Q137" si="48">G135*L135</f>
        <v>203011.41666669998</v>
      </c>
      <c r="R135" s="46"/>
      <c r="S135" s="46"/>
      <c r="T135" s="46">
        <f t="shared" si="2"/>
        <v>2720153.4245223003</v>
      </c>
      <c r="U135" s="46">
        <v>2720357.56</v>
      </c>
      <c r="V135" s="46">
        <f>U135</f>
        <v>2720357.56</v>
      </c>
    </row>
    <row r="136" spans="1:25" ht="120" x14ac:dyDescent="0.25">
      <c r="A136" s="88"/>
      <c r="B136" s="97" t="s">
        <v>274</v>
      </c>
      <c r="C136" s="224" t="s">
        <v>285</v>
      </c>
      <c r="D136" s="198" t="s">
        <v>20</v>
      </c>
      <c r="E136" s="229">
        <v>195</v>
      </c>
      <c r="F136" s="229">
        <v>195</v>
      </c>
      <c r="G136" s="218">
        <v>198</v>
      </c>
      <c r="H136" s="218">
        <v>198</v>
      </c>
      <c r="I136" s="218">
        <v>198</v>
      </c>
      <c r="J136" s="261">
        <v>65511.03</v>
      </c>
      <c r="K136" s="46">
        <f>12142.68*1.802017</f>
        <v>21881.31578556</v>
      </c>
      <c r="L136" s="46">
        <f>20321.6-20.45833333</f>
        <v>20301.141666669999</v>
      </c>
      <c r="M136" s="46">
        <f t="shared" si="27"/>
        <v>107693.48745222999</v>
      </c>
      <c r="N136" s="46">
        <f>G136*J136+0.06</f>
        <v>12971184</v>
      </c>
      <c r="O136" s="46">
        <f>G136*K136+0.47</f>
        <v>4332500.9955408797</v>
      </c>
      <c r="P136" s="46"/>
      <c r="Q136" s="46">
        <f t="shared" si="48"/>
        <v>4019626.0500006597</v>
      </c>
      <c r="R136" s="46"/>
      <c r="S136" s="46"/>
      <c r="T136" s="46">
        <f t="shared" si="2"/>
        <v>21323311.04554154</v>
      </c>
      <c r="U136" s="46">
        <v>21327361.800000001</v>
      </c>
      <c r="V136" s="46">
        <f>U136</f>
        <v>21327361.800000001</v>
      </c>
    </row>
    <row r="137" spans="1:25" ht="75" x14ac:dyDescent="0.25">
      <c r="A137" s="83"/>
      <c r="B137" s="97" t="s">
        <v>290</v>
      </c>
      <c r="C137" s="93" t="s">
        <v>289</v>
      </c>
      <c r="D137" s="198" t="s">
        <v>20</v>
      </c>
      <c r="E137" s="229">
        <v>195</v>
      </c>
      <c r="F137" s="229">
        <v>195</v>
      </c>
      <c r="G137" s="218">
        <v>198</v>
      </c>
      <c r="H137" s="218">
        <v>198</v>
      </c>
      <c r="I137" s="218">
        <v>198</v>
      </c>
      <c r="J137" s="46">
        <v>2073.06</v>
      </c>
      <c r="K137" s="46">
        <f>12142.68*1.802017</f>
        <v>21881.31578556</v>
      </c>
      <c r="L137" s="46"/>
      <c r="M137" s="46">
        <f t="shared" si="27"/>
        <v>23954.375785560002</v>
      </c>
      <c r="N137" s="46">
        <f>G137*J137+0.12</f>
        <v>410466</v>
      </c>
      <c r="O137" s="46"/>
      <c r="P137" s="46"/>
      <c r="Q137" s="46">
        <f t="shared" si="48"/>
        <v>0</v>
      </c>
      <c r="R137" s="46"/>
      <c r="S137" s="46"/>
      <c r="T137" s="46">
        <f t="shared" si="2"/>
        <v>410466</v>
      </c>
      <c r="U137" s="46">
        <f>T137</f>
        <v>410466</v>
      </c>
      <c r="V137" s="46">
        <f>U137</f>
        <v>410466</v>
      </c>
    </row>
    <row r="138" spans="1:25" s="203" customFormat="1" x14ac:dyDescent="0.25">
      <c r="A138" s="42"/>
      <c r="B138" s="231" t="s">
        <v>225</v>
      </c>
      <c r="C138" s="217" t="s">
        <v>219</v>
      </c>
      <c r="D138" s="50" t="s">
        <v>20</v>
      </c>
      <c r="E138" s="236">
        <v>23</v>
      </c>
      <c r="F138" s="236">
        <v>23</v>
      </c>
      <c r="G138" s="218">
        <v>23</v>
      </c>
      <c r="H138" s="218">
        <v>23</v>
      </c>
      <c r="I138" s="218">
        <v>23</v>
      </c>
      <c r="J138" s="46"/>
      <c r="K138" s="46"/>
      <c r="L138" s="46"/>
      <c r="M138" s="46">
        <f t="shared" si="27"/>
        <v>0</v>
      </c>
      <c r="N138" s="46"/>
      <c r="O138" s="46"/>
      <c r="P138" s="46"/>
      <c r="Q138" s="46"/>
      <c r="R138" s="46">
        <v>4468082</v>
      </c>
      <c r="S138" s="46"/>
      <c r="T138" s="46">
        <f>R138</f>
        <v>4468082</v>
      </c>
      <c r="U138" s="46">
        <f>R138</f>
        <v>4468082</v>
      </c>
      <c r="V138" s="46">
        <f>R138</f>
        <v>4468082</v>
      </c>
    </row>
    <row r="139" spans="1:25" s="203" customFormat="1" x14ac:dyDescent="0.25">
      <c r="A139" s="42"/>
      <c r="B139" s="231" t="s">
        <v>225</v>
      </c>
      <c r="C139" s="217" t="s">
        <v>226</v>
      </c>
      <c r="D139" s="50" t="s">
        <v>20</v>
      </c>
      <c r="E139" s="229">
        <v>10</v>
      </c>
      <c r="F139" s="229">
        <v>10</v>
      </c>
      <c r="G139" s="218">
        <v>10</v>
      </c>
      <c r="H139" s="218">
        <v>10</v>
      </c>
      <c r="I139" s="218">
        <v>10</v>
      </c>
      <c r="J139" s="46"/>
      <c r="K139" s="46"/>
      <c r="L139" s="46"/>
      <c r="M139" s="46">
        <f t="shared" si="27"/>
        <v>0</v>
      </c>
      <c r="N139" s="46"/>
      <c r="O139" s="46"/>
      <c r="P139" s="46">
        <f>1167137+504382</f>
        <v>1671519</v>
      </c>
      <c r="Q139" s="46"/>
      <c r="R139" s="46"/>
      <c r="S139" s="46"/>
      <c r="T139" s="46">
        <f>P139</f>
        <v>1671519</v>
      </c>
      <c r="U139" s="46">
        <f>P139-504382</f>
        <v>1167137</v>
      </c>
      <c r="V139" s="46">
        <f>U139</f>
        <v>1167137</v>
      </c>
    </row>
    <row r="140" spans="1:25" s="203" customFormat="1" ht="59.25" customHeight="1" x14ac:dyDescent="0.25">
      <c r="A140" s="42"/>
      <c r="B140" s="84" t="s">
        <v>295</v>
      </c>
      <c r="C140" s="217" t="s">
        <v>219</v>
      </c>
      <c r="D140" s="248" t="s">
        <v>20</v>
      </c>
      <c r="E140" s="218"/>
      <c r="F140" s="218"/>
      <c r="G140" s="218">
        <v>23</v>
      </c>
      <c r="H140" s="218">
        <v>23</v>
      </c>
      <c r="I140" s="218">
        <v>23</v>
      </c>
      <c r="J140" s="46"/>
      <c r="K140" s="46"/>
      <c r="L140" s="46"/>
      <c r="M140" s="46">
        <f t="shared" si="27"/>
        <v>0</v>
      </c>
      <c r="N140" s="237"/>
      <c r="O140" s="46"/>
      <c r="P140" s="237"/>
      <c r="Q140" s="46"/>
      <c r="R140" s="46">
        <v>372887</v>
      </c>
      <c r="S140" s="46"/>
      <c r="T140" s="46">
        <f>R140</f>
        <v>372887</v>
      </c>
      <c r="U140" s="46"/>
      <c r="V140" s="46"/>
    </row>
    <row r="141" spans="1:25" s="203" customFormat="1" hidden="1" x14ac:dyDescent="0.25">
      <c r="A141" s="50"/>
      <c r="B141" s="231" t="s">
        <v>264</v>
      </c>
      <c r="C141" s="217" t="s">
        <v>226</v>
      </c>
      <c r="D141" s="45"/>
      <c r="E141" s="218"/>
      <c r="F141" s="218"/>
      <c r="G141" s="218"/>
      <c r="H141" s="218"/>
      <c r="I141" s="218"/>
      <c r="J141" s="46"/>
      <c r="K141" s="46"/>
      <c r="L141" s="46"/>
      <c r="M141" s="46">
        <f t="shared" si="27"/>
        <v>0</v>
      </c>
      <c r="N141" s="237"/>
      <c r="O141" s="46"/>
      <c r="P141" s="237"/>
      <c r="Q141" s="46"/>
      <c r="R141" s="46"/>
      <c r="S141" s="46"/>
      <c r="T141" s="46">
        <f>O141</f>
        <v>0</v>
      </c>
      <c r="U141" s="46">
        <f t="shared" ref="U141:V142" si="49">T141</f>
        <v>0</v>
      </c>
      <c r="V141" s="46">
        <f t="shared" si="49"/>
        <v>0</v>
      </c>
    </row>
    <row r="142" spans="1:25" s="203" customFormat="1" hidden="1" x14ac:dyDescent="0.25">
      <c r="A142" s="50"/>
      <c r="B142" s="231" t="s">
        <v>265</v>
      </c>
      <c r="C142" s="217" t="s">
        <v>226</v>
      </c>
      <c r="D142" s="45"/>
      <c r="E142" s="218"/>
      <c r="F142" s="218"/>
      <c r="G142" s="218"/>
      <c r="H142" s="218"/>
      <c r="I142" s="218"/>
      <c r="J142" s="46"/>
      <c r="K142" s="46"/>
      <c r="L142" s="46"/>
      <c r="M142" s="46">
        <f t="shared" si="27"/>
        <v>0</v>
      </c>
      <c r="N142" s="237">
        <v>24310.020723895861</v>
      </c>
      <c r="O142" s="46"/>
      <c r="P142" s="237"/>
      <c r="Q142" s="46"/>
      <c r="R142" s="46"/>
      <c r="S142" s="46"/>
      <c r="T142" s="46"/>
      <c r="U142" s="46">
        <f t="shared" si="49"/>
        <v>0</v>
      </c>
      <c r="V142" s="46">
        <f t="shared" si="49"/>
        <v>0</v>
      </c>
    </row>
    <row r="143" spans="1:25" ht="42" hidden="1" customHeight="1" x14ac:dyDescent="0.25">
      <c r="A143" s="83"/>
      <c r="B143" s="128" t="s">
        <v>257</v>
      </c>
      <c r="C143" s="127" t="s">
        <v>226</v>
      </c>
      <c r="D143" s="198"/>
      <c r="E143" s="87"/>
      <c r="F143" s="87"/>
      <c r="G143" s="218"/>
      <c r="H143" s="218"/>
      <c r="I143" s="218"/>
      <c r="J143" s="46"/>
      <c r="K143" s="46"/>
      <c r="L143" s="46"/>
      <c r="M143" s="46">
        <f t="shared" si="27"/>
        <v>0</v>
      </c>
      <c r="N143" s="237"/>
      <c r="O143" s="46"/>
      <c r="P143" s="237"/>
      <c r="Q143" s="46"/>
      <c r="R143" s="46"/>
      <c r="S143" s="46"/>
      <c r="T143" s="46">
        <f>N143</f>
        <v>0</v>
      </c>
      <c r="U143" s="46">
        <f t="shared" ref="U143:V145" si="50">T143</f>
        <v>0</v>
      </c>
      <c r="V143" s="46">
        <f t="shared" si="50"/>
        <v>0</v>
      </c>
    </row>
    <row r="144" spans="1:25" ht="18" customHeight="1" x14ac:dyDescent="0.25">
      <c r="A144" s="83"/>
      <c r="B144" s="231" t="s">
        <v>265</v>
      </c>
      <c r="C144" s="217" t="s">
        <v>226</v>
      </c>
      <c r="D144" s="213"/>
      <c r="E144" s="87"/>
      <c r="F144" s="87"/>
      <c r="G144" s="218"/>
      <c r="H144" s="218"/>
      <c r="I144" s="218"/>
      <c r="J144" s="46"/>
      <c r="K144" s="46"/>
      <c r="L144" s="46"/>
      <c r="M144" s="46">
        <f t="shared" si="27"/>
        <v>0</v>
      </c>
      <c r="N144" s="237">
        <v>29138</v>
      </c>
      <c r="O144" s="46"/>
      <c r="P144" s="237"/>
      <c r="Q144" s="46"/>
      <c r="R144" s="46"/>
      <c r="S144" s="46"/>
      <c r="T144" s="46">
        <f>N144</f>
        <v>29138</v>
      </c>
      <c r="U144" s="46">
        <f>T144</f>
        <v>29138</v>
      </c>
      <c r="V144" s="46">
        <f>U144</f>
        <v>29138</v>
      </c>
    </row>
    <row r="145" spans="1:25" ht="61.5" customHeight="1" x14ac:dyDescent="0.25">
      <c r="A145" s="193" t="s">
        <v>249</v>
      </c>
      <c r="B145" s="198" t="s">
        <v>28</v>
      </c>
      <c r="C145" s="127" t="s">
        <v>219</v>
      </c>
      <c r="D145" s="86" t="s">
        <v>20</v>
      </c>
      <c r="E145" s="229">
        <f>E136+E135+E134</f>
        <v>240</v>
      </c>
      <c r="F145" s="229">
        <f>F136+F135+F134</f>
        <v>240</v>
      </c>
      <c r="G145" s="218">
        <f>(E145*8+F145*4)/12</f>
        <v>240</v>
      </c>
      <c r="H145" s="218">
        <f>H136+H135+H134</f>
        <v>240</v>
      </c>
      <c r="I145" s="218">
        <f>I136+I135+I134</f>
        <v>240</v>
      </c>
      <c r="J145" s="46" t="s">
        <v>23</v>
      </c>
      <c r="K145" s="46"/>
      <c r="L145" s="46">
        <v>9670.65</v>
      </c>
      <c r="M145" s="46">
        <f t="shared" si="27"/>
        <v>9670.65</v>
      </c>
      <c r="N145" s="237"/>
      <c r="O145" s="46">
        <f t="shared" ref="O145" si="51">G145*K145</f>
        <v>0</v>
      </c>
      <c r="P145" s="237"/>
      <c r="Q145" s="46">
        <f>G145*L145-0.47</f>
        <v>2320955.5299999998</v>
      </c>
      <c r="R145" s="46"/>
      <c r="S145" s="46"/>
      <c r="T145" s="46">
        <f>Q145</f>
        <v>2320955.5299999998</v>
      </c>
      <c r="U145" s="46">
        <f t="shared" si="50"/>
        <v>2320955.5299999998</v>
      </c>
      <c r="V145" s="46">
        <f t="shared" si="50"/>
        <v>2320955.5299999998</v>
      </c>
    </row>
    <row r="146" spans="1:25" x14ac:dyDescent="0.25">
      <c r="A146" s="86"/>
      <c r="B146" s="198" t="s">
        <v>28</v>
      </c>
      <c r="C146" s="127" t="s">
        <v>220</v>
      </c>
      <c r="D146" s="86"/>
      <c r="E146" s="87"/>
      <c r="F146" s="87"/>
      <c r="G146" s="218">
        <v>237</v>
      </c>
      <c r="H146" s="218">
        <v>237</v>
      </c>
      <c r="I146" s="218">
        <v>237</v>
      </c>
      <c r="J146" s="46"/>
      <c r="K146" s="46"/>
      <c r="L146" s="46">
        <v>12750.1</v>
      </c>
      <c r="M146" s="46">
        <f t="shared" si="27"/>
        <v>12750.1</v>
      </c>
      <c r="N146" s="237"/>
      <c r="O146" s="46"/>
      <c r="P146" s="237"/>
      <c r="Q146" s="46"/>
      <c r="R146" s="46"/>
      <c r="S146" s="46">
        <f>L146*G146</f>
        <v>3021773.7</v>
      </c>
      <c r="T146" s="46">
        <f>S146</f>
        <v>3021773.7</v>
      </c>
      <c r="U146" s="46">
        <f>S146</f>
        <v>3021773.7</v>
      </c>
      <c r="V146" s="46">
        <f>S146</f>
        <v>3021773.7</v>
      </c>
    </row>
    <row r="147" spans="1:25" ht="71.25" x14ac:dyDescent="0.25">
      <c r="A147" s="86"/>
      <c r="B147" s="128" t="s">
        <v>321</v>
      </c>
      <c r="C147" s="217" t="s">
        <v>226</v>
      </c>
      <c r="D147" s="86"/>
      <c r="E147" s="87"/>
      <c r="F147" s="87"/>
      <c r="G147" s="218"/>
      <c r="H147" s="218"/>
      <c r="I147" s="218"/>
      <c r="J147" s="46"/>
      <c r="K147" s="46"/>
      <c r="L147" s="46"/>
      <c r="M147" s="46"/>
      <c r="N147" s="237">
        <v>241167</v>
      </c>
      <c r="O147" s="46"/>
      <c r="P147" s="237"/>
      <c r="Q147" s="46"/>
      <c r="R147" s="46"/>
      <c r="S147" s="46"/>
      <c r="T147" s="46">
        <f>N147</f>
        <v>241167</v>
      </c>
      <c r="U147" s="46"/>
      <c r="V147" s="46"/>
    </row>
    <row r="148" spans="1:25" x14ac:dyDescent="0.25">
      <c r="A148" s="188" t="s">
        <v>65</v>
      </c>
      <c r="B148" s="94"/>
      <c r="C148" s="94"/>
      <c r="D148" s="94"/>
      <c r="E148" s="92"/>
      <c r="F148" s="92"/>
      <c r="G148" s="263"/>
      <c r="H148" s="263"/>
      <c r="I148" s="263"/>
      <c r="J148" s="220"/>
      <c r="K148" s="220"/>
      <c r="L148" s="220"/>
      <c r="M148" s="46">
        <f t="shared" si="27"/>
        <v>0</v>
      </c>
      <c r="N148" s="220">
        <f>N149+N158</f>
        <v>7952156</v>
      </c>
      <c r="O148" s="220">
        <f>O149+O158</f>
        <v>2888335.0036939201</v>
      </c>
      <c r="P148" s="220">
        <f>P149</f>
        <v>558522</v>
      </c>
      <c r="Q148" s="220">
        <f>Q149+Q158-0.01+Q154</f>
        <v>4076199.5300003998</v>
      </c>
      <c r="R148" s="220">
        <f>R149</f>
        <v>2546550</v>
      </c>
      <c r="S148" s="220">
        <f>S159</f>
        <v>1683013.2</v>
      </c>
      <c r="T148" s="220">
        <f>T149+T158+T159-0.01</f>
        <v>19704775.733694315</v>
      </c>
      <c r="U148" s="220">
        <f>U149+U158+U159</f>
        <v>19252974.739999998</v>
      </c>
      <c r="V148" s="220">
        <f>V149+V158+V159</f>
        <v>19252974.739999998</v>
      </c>
      <c r="W148" s="80">
        <v>4076199.53</v>
      </c>
      <c r="X148" s="85">
        <f>W148-Q148</f>
        <v>-4.0000304579734802E-7</v>
      </c>
      <c r="Y148" s="80">
        <f>X148/I158</f>
        <v>-3.0303261045253639E-9</v>
      </c>
    </row>
    <row r="149" spans="1:25" ht="85.5" customHeight="1" x14ac:dyDescent="0.25">
      <c r="A149" s="193" t="s">
        <v>248</v>
      </c>
      <c r="B149" s="84" t="s">
        <v>76</v>
      </c>
      <c r="C149" s="128"/>
      <c r="D149" s="95"/>
      <c r="E149" s="68"/>
      <c r="F149" s="68"/>
      <c r="G149" s="262"/>
      <c r="H149" s="262"/>
      <c r="I149" s="262"/>
      <c r="J149" s="46"/>
      <c r="K149" s="46"/>
      <c r="L149" s="46"/>
      <c r="M149" s="46">
        <f t="shared" si="27"/>
        <v>0</v>
      </c>
      <c r="N149" s="46">
        <f>SUM(N150:N160)</f>
        <v>7952156</v>
      </c>
      <c r="O149" s="46">
        <f>SUM(O150:O157)</f>
        <v>2888335.0036939201</v>
      </c>
      <c r="P149" s="46">
        <f>P153</f>
        <v>558522</v>
      </c>
      <c r="Q149" s="46">
        <f>SUM(Q150:Q151)</f>
        <v>2679705.2100003995</v>
      </c>
      <c r="R149" s="46">
        <f>R152+R154</f>
        <v>2546550</v>
      </c>
      <c r="S149" s="46"/>
      <c r="T149" s="46">
        <f>SUM(T150:T157)+T160</f>
        <v>16625268.213694319</v>
      </c>
      <c r="U149" s="46">
        <f>SUM(U150:U157)-0.01</f>
        <v>16173467.209999999</v>
      </c>
      <c r="V149" s="46">
        <f>SUM(V150:V157)-0.01</f>
        <v>16173467.209999999</v>
      </c>
    </row>
    <row r="150" spans="1:25" ht="105" x14ac:dyDescent="0.25">
      <c r="A150" s="83"/>
      <c r="B150" s="97" t="s">
        <v>276</v>
      </c>
      <c r="C150" s="93" t="s">
        <v>279</v>
      </c>
      <c r="D150" s="86" t="s">
        <v>20</v>
      </c>
      <c r="E150" s="229">
        <v>35</v>
      </c>
      <c r="F150" s="229">
        <v>35</v>
      </c>
      <c r="G150" s="218">
        <v>36</v>
      </c>
      <c r="H150" s="218">
        <v>36</v>
      </c>
      <c r="I150" s="218">
        <v>36</v>
      </c>
      <c r="J150" s="46">
        <v>43138.04</v>
      </c>
      <c r="K150" s="46">
        <f>12142.68*1.802017</f>
        <v>21881.31578556</v>
      </c>
      <c r="L150" s="46">
        <f>20321.6-20.8030303</f>
        <v>20300.796969699997</v>
      </c>
      <c r="M150" s="46">
        <f t="shared" si="27"/>
        <v>85320.152755260002</v>
      </c>
      <c r="N150" s="46">
        <f>G150*J150-0.44</f>
        <v>1552969</v>
      </c>
      <c r="O150" s="46">
        <f>G150*K150+0.63</f>
        <v>787727.99828016001</v>
      </c>
      <c r="P150" s="268"/>
      <c r="Q150" s="46">
        <f>G150*L150</f>
        <v>730828.69090919988</v>
      </c>
      <c r="R150" s="46"/>
      <c r="S150" s="46"/>
      <c r="T150" s="46">
        <f>N150+O150+P150+Q150+R150</f>
        <v>3071525.68918936</v>
      </c>
      <c r="U150" s="46">
        <v>3072274.6</v>
      </c>
      <c r="V150" s="46">
        <f>U150</f>
        <v>3072274.6</v>
      </c>
      <c r="W150" s="85">
        <f>T148-U148</f>
        <v>451800.9936943166</v>
      </c>
    </row>
    <row r="151" spans="1:25" ht="108" customHeight="1" x14ac:dyDescent="0.25">
      <c r="A151" s="88"/>
      <c r="B151" s="97" t="s">
        <v>274</v>
      </c>
      <c r="C151" s="93" t="s">
        <v>293</v>
      </c>
      <c r="D151" s="86" t="s">
        <v>20</v>
      </c>
      <c r="E151" s="229">
        <v>101</v>
      </c>
      <c r="F151" s="229">
        <v>101</v>
      </c>
      <c r="G151" s="218">
        <v>96</v>
      </c>
      <c r="H151" s="218">
        <v>96</v>
      </c>
      <c r="I151" s="218">
        <v>96</v>
      </c>
      <c r="J151" s="46">
        <v>65511.03</v>
      </c>
      <c r="K151" s="46">
        <f>12142.68*1.802017</f>
        <v>21881.31578556</v>
      </c>
      <c r="L151" s="46">
        <f>20321.6-20.8030303</f>
        <v>20300.796969699997</v>
      </c>
      <c r="M151" s="46">
        <f t="shared" si="27"/>
        <v>107693.14275525999</v>
      </c>
      <c r="N151" s="46">
        <f>G151*J151+0.12</f>
        <v>6289059</v>
      </c>
      <c r="O151" s="46">
        <f>G151*K151+0.69</f>
        <v>2100607.00541376</v>
      </c>
      <c r="P151" s="268"/>
      <c r="Q151" s="46">
        <f>G151*L151+0.01</f>
        <v>1948876.5190911999</v>
      </c>
      <c r="R151" s="46"/>
      <c r="S151" s="46"/>
      <c r="T151" s="46">
        <f t="shared" ref="T151" si="52">N151+O151+P151+Q151+R151</f>
        <v>10338542.52450496</v>
      </c>
      <c r="U151" s="46">
        <v>10340539.619999999</v>
      </c>
      <c r="V151" s="46">
        <f>U151</f>
        <v>10340539.619999999</v>
      </c>
    </row>
    <row r="152" spans="1:25" s="203" customFormat="1" x14ac:dyDescent="0.25">
      <c r="A152" s="49"/>
      <c r="B152" s="231" t="s">
        <v>225</v>
      </c>
      <c r="C152" s="217" t="s">
        <v>219</v>
      </c>
      <c r="D152" s="50" t="s">
        <v>20</v>
      </c>
      <c r="E152" s="236">
        <v>12</v>
      </c>
      <c r="F152" s="236">
        <v>12</v>
      </c>
      <c r="G152" s="218">
        <v>12</v>
      </c>
      <c r="H152" s="218">
        <v>12</v>
      </c>
      <c r="I152" s="218">
        <v>12</v>
      </c>
      <c r="J152" s="46"/>
      <c r="K152" s="46"/>
      <c r="L152" s="46"/>
      <c r="M152" s="46">
        <f t="shared" si="27"/>
        <v>0</v>
      </c>
      <c r="N152" s="237"/>
      <c r="O152" s="46"/>
      <c r="P152" s="268"/>
      <c r="Q152" s="46"/>
      <c r="R152" s="46">
        <v>2345894</v>
      </c>
      <c r="S152" s="46"/>
      <c r="T152" s="46">
        <f>R152</f>
        <v>2345894</v>
      </c>
      <c r="U152" s="46">
        <f>R152</f>
        <v>2345894</v>
      </c>
      <c r="V152" s="46">
        <f>R152</f>
        <v>2345894</v>
      </c>
    </row>
    <row r="153" spans="1:25" s="203" customFormat="1" x14ac:dyDescent="0.25">
      <c r="A153" s="49"/>
      <c r="B153" s="231" t="s">
        <v>225</v>
      </c>
      <c r="C153" s="217" t="s">
        <v>226</v>
      </c>
      <c r="D153" s="50" t="s">
        <v>20</v>
      </c>
      <c r="E153" s="229">
        <v>5</v>
      </c>
      <c r="F153" s="229">
        <v>5</v>
      </c>
      <c r="G153" s="218">
        <v>5</v>
      </c>
      <c r="H153" s="218">
        <v>5</v>
      </c>
      <c r="I153" s="218">
        <v>5</v>
      </c>
      <c r="J153" s="46"/>
      <c r="K153" s="46"/>
      <c r="L153" s="46"/>
      <c r="M153" s="46">
        <f t="shared" si="27"/>
        <v>0</v>
      </c>
      <c r="N153" s="237"/>
      <c r="O153" s="46"/>
      <c r="P153" s="46">
        <f>414759+143763</f>
        <v>558522</v>
      </c>
      <c r="Q153" s="46"/>
      <c r="R153" s="46"/>
      <c r="S153" s="46"/>
      <c r="T153" s="46">
        <f>P153</f>
        <v>558522</v>
      </c>
      <c r="U153" s="46">
        <f>P153-143763</f>
        <v>414759</v>
      </c>
      <c r="V153" s="46">
        <f>U153</f>
        <v>414759</v>
      </c>
    </row>
    <row r="154" spans="1:25" s="203" customFormat="1" ht="32.25" customHeight="1" x14ac:dyDescent="0.25">
      <c r="A154" s="49"/>
      <c r="B154" s="84" t="s">
        <v>295</v>
      </c>
      <c r="C154" s="217" t="s">
        <v>219</v>
      </c>
      <c r="D154" s="50"/>
      <c r="E154" s="218"/>
      <c r="F154" s="218"/>
      <c r="G154" s="218">
        <v>12</v>
      </c>
      <c r="H154" s="218">
        <v>12</v>
      </c>
      <c r="I154" s="218">
        <v>12</v>
      </c>
      <c r="J154" s="46"/>
      <c r="K154" s="46"/>
      <c r="L154" s="46"/>
      <c r="M154" s="46">
        <f t="shared" si="27"/>
        <v>0</v>
      </c>
      <c r="N154" s="237"/>
      <c r="O154" s="46"/>
      <c r="P154" s="237"/>
      <c r="Q154" s="46"/>
      <c r="R154" s="46">
        <v>200656</v>
      </c>
      <c r="S154" s="46"/>
      <c r="T154" s="46">
        <f>R154</f>
        <v>200656</v>
      </c>
      <c r="U154" s="46"/>
      <c r="V154" s="46"/>
    </row>
    <row r="155" spans="1:25" s="203" customFormat="1" hidden="1" x14ac:dyDescent="0.25">
      <c r="A155" s="50"/>
      <c r="B155" s="231" t="s">
        <v>264</v>
      </c>
      <c r="C155" s="217" t="s">
        <v>226</v>
      </c>
      <c r="D155" s="45"/>
      <c r="E155" s="218"/>
      <c r="F155" s="218"/>
      <c r="G155" s="218"/>
      <c r="H155" s="218"/>
      <c r="I155" s="218"/>
      <c r="J155" s="46"/>
      <c r="K155" s="46"/>
      <c r="L155" s="46"/>
      <c r="M155" s="46">
        <f t="shared" ref="M155:M188" si="53">J155+K155+L155</f>
        <v>0</v>
      </c>
      <c r="N155" s="237"/>
      <c r="O155" s="46"/>
      <c r="P155" s="237"/>
      <c r="Q155" s="46"/>
      <c r="R155" s="46"/>
      <c r="S155" s="46"/>
      <c r="T155" s="46">
        <f>O155</f>
        <v>0</v>
      </c>
      <c r="U155" s="46">
        <f t="shared" ref="U155:V157" si="54">T155</f>
        <v>0</v>
      </c>
      <c r="V155" s="46">
        <f t="shared" si="54"/>
        <v>0</v>
      </c>
    </row>
    <row r="156" spans="1:25" ht="44.25" hidden="1" customHeight="1" x14ac:dyDescent="0.25">
      <c r="A156" s="88"/>
      <c r="B156" s="128" t="s">
        <v>257</v>
      </c>
      <c r="C156" s="127" t="s">
        <v>226</v>
      </c>
      <c r="D156" s="198"/>
      <c r="E156" s="87"/>
      <c r="F156" s="87"/>
      <c r="G156" s="218"/>
      <c r="H156" s="218"/>
      <c r="I156" s="218"/>
      <c r="J156" s="46"/>
      <c r="K156" s="46"/>
      <c r="L156" s="46"/>
      <c r="M156" s="46">
        <f t="shared" si="53"/>
        <v>0</v>
      </c>
      <c r="N156" s="237"/>
      <c r="O156" s="46"/>
      <c r="P156" s="237"/>
      <c r="Q156" s="46"/>
      <c r="R156" s="46"/>
      <c r="S156" s="46"/>
      <c r="T156" s="46">
        <f>N156</f>
        <v>0</v>
      </c>
      <c r="U156" s="46">
        <f t="shared" si="54"/>
        <v>0</v>
      </c>
      <c r="V156" s="46">
        <f t="shared" si="54"/>
        <v>0</v>
      </c>
    </row>
    <row r="157" spans="1:25" ht="16.5" customHeight="1" x14ac:dyDescent="0.25">
      <c r="A157" s="88"/>
      <c r="B157" s="231" t="s">
        <v>265</v>
      </c>
      <c r="C157" s="217" t="s">
        <v>226</v>
      </c>
      <c r="D157" s="213"/>
      <c r="E157" s="87"/>
      <c r="F157" s="87"/>
      <c r="G157" s="218"/>
      <c r="H157" s="218"/>
      <c r="I157" s="218"/>
      <c r="J157" s="46"/>
      <c r="K157" s="46"/>
      <c r="L157" s="46"/>
      <c r="M157" s="46">
        <f t="shared" si="53"/>
        <v>0</v>
      </c>
      <c r="N157" s="237"/>
      <c r="O157" s="46"/>
      <c r="P157" s="237"/>
      <c r="Q157" s="46"/>
      <c r="R157" s="46"/>
      <c r="S157" s="46"/>
      <c r="T157" s="46">
        <f>O157</f>
        <v>0</v>
      </c>
      <c r="U157" s="46">
        <f t="shared" si="54"/>
        <v>0</v>
      </c>
      <c r="V157" s="46">
        <f t="shared" si="54"/>
        <v>0</v>
      </c>
    </row>
    <row r="158" spans="1:25" ht="60" x14ac:dyDescent="0.25">
      <c r="A158" s="193" t="s">
        <v>249</v>
      </c>
      <c r="B158" s="198" t="s">
        <v>28</v>
      </c>
      <c r="C158" s="127" t="s">
        <v>219</v>
      </c>
      <c r="D158" s="86" t="s">
        <v>20</v>
      </c>
      <c r="E158" s="229">
        <v>136</v>
      </c>
      <c r="F158" s="229">
        <v>136</v>
      </c>
      <c r="G158" s="218">
        <v>132</v>
      </c>
      <c r="H158" s="218">
        <v>132</v>
      </c>
      <c r="I158" s="218">
        <v>132</v>
      </c>
      <c r="J158" s="46" t="s">
        <v>23</v>
      </c>
      <c r="K158" s="46"/>
      <c r="L158" s="46">
        <v>10579.502500000001</v>
      </c>
      <c r="M158" s="46">
        <f t="shared" si="53"/>
        <v>10579.502500000001</v>
      </c>
      <c r="N158" s="237">
        <f t="shared" ref="N158" si="55">G158*J158</f>
        <v>0</v>
      </c>
      <c r="O158" s="46">
        <f t="shared" ref="O158" si="56">G158*K158</f>
        <v>0</v>
      </c>
      <c r="P158" s="237"/>
      <c r="Q158" s="46">
        <f>G158*L158</f>
        <v>1396494.33</v>
      </c>
      <c r="R158" s="46"/>
      <c r="S158" s="46"/>
      <c r="T158" s="46">
        <f t="shared" si="2"/>
        <v>1396494.33</v>
      </c>
      <c r="U158" s="46">
        <f>T158</f>
        <v>1396494.33</v>
      </c>
      <c r="V158" s="46">
        <f>U158</f>
        <v>1396494.33</v>
      </c>
    </row>
    <row r="159" spans="1:25" x14ac:dyDescent="0.25">
      <c r="A159" s="86"/>
      <c r="B159" s="198" t="s">
        <v>28</v>
      </c>
      <c r="C159" s="127" t="s">
        <v>220</v>
      </c>
      <c r="D159" s="86"/>
      <c r="E159" s="87"/>
      <c r="F159" s="87"/>
      <c r="G159" s="218">
        <v>132</v>
      </c>
      <c r="H159" s="218">
        <v>132</v>
      </c>
      <c r="I159" s="218">
        <v>132</v>
      </c>
      <c r="J159" s="46"/>
      <c r="K159" s="46"/>
      <c r="L159" s="46">
        <v>12750.1</v>
      </c>
      <c r="M159" s="46">
        <f t="shared" si="53"/>
        <v>12750.1</v>
      </c>
      <c r="N159" s="237"/>
      <c r="O159" s="46"/>
      <c r="P159" s="237"/>
      <c r="Q159" s="46"/>
      <c r="R159" s="46"/>
      <c r="S159" s="46">
        <f>L159*G158</f>
        <v>1683013.2</v>
      </c>
      <c r="T159" s="46">
        <f>S159</f>
        <v>1683013.2</v>
      </c>
      <c r="U159" s="46">
        <f>S159</f>
        <v>1683013.2</v>
      </c>
      <c r="V159" s="46">
        <f>S159</f>
        <v>1683013.2</v>
      </c>
    </row>
    <row r="160" spans="1:25" ht="71.25" x14ac:dyDescent="0.25">
      <c r="A160" s="86"/>
      <c r="B160" s="128" t="s">
        <v>321</v>
      </c>
      <c r="C160" s="217" t="s">
        <v>226</v>
      </c>
      <c r="D160" s="86"/>
      <c r="E160" s="87"/>
      <c r="F160" s="87"/>
      <c r="G160" s="218"/>
      <c r="H160" s="218"/>
      <c r="I160" s="218"/>
      <c r="J160" s="46"/>
      <c r="K160" s="46"/>
      <c r="L160" s="46"/>
      <c r="M160" s="46"/>
      <c r="N160" s="237">
        <v>110128</v>
      </c>
      <c r="O160" s="46"/>
      <c r="P160" s="237"/>
      <c r="Q160" s="46"/>
      <c r="R160" s="46"/>
      <c r="S160" s="46"/>
      <c r="T160" s="46">
        <f>N160</f>
        <v>110128</v>
      </c>
      <c r="U160" s="46"/>
      <c r="V160" s="46"/>
    </row>
    <row r="161" spans="1:25" x14ac:dyDescent="0.25">
      <c r="A161" s="188" t="s">
        <v>68</v>
      </c>
      <c r="B161" s="94"/>
      <c r="C161" s="94"/>
      <c r="D161" s="94"/>
      <c r="E161" s="92"/>
      <c r="F161" s="92"/>
      <c r="G161" s="263"/>
      <c r="H161" s="263"/>
      <c r="I161" s="263"/>
      <c r="J161" s="220"/>
      <c r="K161" s="220"/>
      <c r="L161" s="220"/>
      <c r="M161" s="46">
        <f t="shared" si="53"/>
        <v>0</v>
      </c>
      <c r="N161" s="220">
        <f>N162+N173</f>
        <v>7565986</v>
      </c>
      <c r="O161" s="220">
        <f>O162+O173</f>
        <v>3041505.0041928403</v>
      </c>
      <c r="P161" s="238">
        <f>P162</f>
        <v>976928</v>
      </c>
      <c r="Q161" s="220">
        <f>Q162+Q173+Q168</f>
        <v>4166030.2799993996</v>
      </c>
      <c r="R161" s="220">
        <f>R162</f>
        <v>3117788</v>
      </c>
      <c r="S161" s="220">
        <f>S174</f>
        <v>1746763.7</v>
      </c>
      <c r="T161" s="220">
        <f>T162+T173+T174</f>
        <v>20615000.984192237</v>
      </c>
      <c r="U161" s="220">
        <f>U162+U173+U174</f>
        <v>20270895.659999996</v>
      </c>
      <c r="V161" s="220">
        <f>V162+V173+V174</f>
        <v>20270895.659999996</v>
      </c>
      <c r="W161" s="80">
        <v>4166030.28</v>
      </c>
      <c r="X161" s="85">
        <f>W161-Q161</f>
        <v>6.002373993396759E-7</v>
      </c>
      <c r="Y161" s="80">
        <f>X161/I173</f>
        <v>4.3182546715084598E-9</v>
      </c>
    </row>
    <row r="162" spans="1:25" ht="94.9" customHeight="1" x14ac:dyDescent="0.25">
      <c r="A162" s="193" t="s">
        <v>248</v>
      </c>
      <c r="B162" s="84" t="s">
        <v>76</v>
      </c>
      <c r="C162" s="128"/>
      <c r="D162" s="95"/>
      <c r="E162" s="68"/>
      <c r="F162" s="68"/>
      <c r="G162" s="262"/>
      <c r="H162" s="262"/>
      <c r="I162" s="262"/>
      <c r="J162" s="46"/>
      <c r="K162" s="46"/>
      <c r="L162" s="46"/>
      <c r="M162" s="46">
        <f t="shared" si="53"/>
        <v>0</v>
      </c>
      <c r="N162" s="46">
        <f>SUM(N163:N175)</f>
        <v>7565986</v>
      </c>
      <c r="O162" s="46">
        <f>SUM(O163:O172)</f>
        <v>3041505.0041928403</v>
      </c>
      <c r="P162" s="237">
        <f>P167</f>
        <v>976928</v>
      </c>
      <c r="Q162" s="46">
        <f>SUM(Q163:Q165)</f>
        <v>2821810.3999993997</v>
      </c>
      <c r="R162" s="46">
        <f>R166+R168</f>
        <v>3117788</v>
      </c>
      <c r="S162" s="46"/>
      <c r="T162" s="46">
        <f>SUM(T163:T172)+T175</f>
        <v>17524017.404192239</v>
      </c>
      <c r="U162" s="46">
        <f>SUM(U163:U172)-0.01</f>
        <v>17179912.079999998</v>
      </c>
      <c r="V162" s="46">
        <f>SUM(V163:V172)-0.01</f>
        <v>17179912.079999998</v>
      </c>
      <c r="W162" s="85">
        <f>T161-U161</f>
        <v>344105.32419224083</v>
      </c>
      <c r="Y162" s="85"/>
    </row>
    <row r="163" spans="1:25" ht="49.5" customHeight="1" x14ac:dyDescent="0.25">
      <c r="A163" s="83"/>
      <c r="B163" s="97" t="s">
        <v>276</v>
      </c>
      <c r="C163" s="332" t="s">
        <v>279</v>
      </c>
      <c r="D163" s="198" t="s">
        <v>20</v>
      </c>
      <c r="E163" s="229">
        <v>38</v>
      </c>
      <c r="F163" s="229">
        <v>38</v>
      </c>
      <c r="G163" s="218">
        <v>31</v>
      </c>
      <c r="H163" s="218">
        <v>31</v>
      </c>
      <c r="I163" s="218">
        <v>31</v>
      </c>
      <c r="J163" s="46">
        <v>43138.04</v>
      </c>
      <c r="K163" s="46">
        <f>12142.68*1.802017</f>
        <v>21881.31578556</v>
      </c>
      <c r="L163" s="46">
        <f>20321.6-20.8057554</f>
        <v>20300.794244599998</v>
      </c>
      <c r="M163" s="46">
        <f t="shared" si="53"/>
        <v>85320.150030160003</v>
      </c>
      <c r="N163" s="46">
        <f>G163*J163-0.24</f>
        <v>1337279</v>
      </c>
      <c r="O163" s="46">
        <f>G163*K163</f>
        <v>678320.78935235995</v>
      </c>
      <c r="P163" s="237"/>
      <c r="Q163" s="46">
        <f>G163*L163</f>
        <v>629324.62158259994</v>
      </c>
      <c r="R163" s="46"/>
      <c r="S163" s="46"/>
      <c r="T163" s="46">
        <f t="shared" si="2"/>
        <v>2644924.41093496</v>
      </c>
      <c r="U163" s="46">
        <v>2645569.63</v>
      </c>
      <c r="V163" s="46">
        <f>U163</f>
        <v>2645569.63</v>
      </c>
    </row>
    <row r="164" spans="1:25" ht="54.75" customHeight="1" x14ac:dyDescent="0.25">
      <c r="A164" s="88"/>
      <c r="B164" s="97" t="s">
        <v>274</v>
      </c>
      <c r="C164" s="333"/>
      <c r="D164" s="86" t="s">
        <v>20</v>
      </c>
      <c r="E164" s="229">
        <v>25</v>
      </c>
      <c r="F164" s="229">
        <v>25</v>
      </c>
      <c r="G164" s="218">
        <v>32</v>
      </c>
      <c r="H164" s="218">
        <v>32</v>
      </c>
      <c r="I164" s="218">
        <v>32</v>
      </c>
      <c r="J164" s="46">
        <v>34198.17</v>
      </c>
      <c r="K164" s="46">
        <f>12142.68*1.802017</f>
        <v>21881.31578556</v>
      </c>
      <c r="L164" s="46">
        <f t="shared" ref="L164:L165" si="57">20321.6-20.8057554</f>
        <v>20300.794244599998</v>
      </c>
      <c r="M164" s="46">
        <f t="shared" si="53"/>
        <v>76380.280030159993</v>
      </c>
      <c r="N164" s="46">
        <f>G164*J164+0.56</f>
        <v>1094342</v>
      </c>
      <c r="O164" s="46">
        <f>G164*K164</f>
        <v>700202.10513792001</v>
      </c>
      <c r="P164" s="237"/>
      <c r="Q164" s="46">
        <f t="shared" ref="Q164" si="58">G164*L164</f>
        <v>649625.41582719993</v>
      </c>
      <c r="R164" s="46"/>
      <c r="S164" s="46"/>
      <c r="T164" s="46">
        <f t="shared" si="2"/>
        <v>2444169.5209651198</v>
      </c>
      <c r="U164" s="46">
        <v>2444834.75</v>
      </c>
      <c r="V164" s="46">
        <f>U164</f>
        <v>2444834.75</v>
      </c>
    </row>
    <row r="165" spans="1:25" ht="133.5" customHeight="1" x14ac:dyDescent="0.25">
      <c r="A165" s="88"/>
      <c r="B165" s="97" t="s">
        <v>274</v>
      </c>
      <c r="C165" s="93" t="s">
        <v>278</v>
      </c>
      <c r="D165" s="198" t="s">
        <v>20</v>
      </c>
      <c r="E165" s="229">
        <v>76</v>
      </c>
      <c r="F165" s="229">
        <v>76</v>
      </c>
      <c r="G165" s="218">
        <v>76</v>
      </c>
      <c r="H165" s="218">
        <v>76</v>
      </c>
      <c r="I165" s="218">
        <v>76</v>
      </c>
      <c r="J165" s="46">
        <v>65511.03</v>
      </c>
      <c r="K165" s="46">
        <f>12142.68*1.802017</f>
        <v>21881.31578556</v>
      </c>
      <c r="L165" s="46">
        <f t="shared" si="57"/>
        <v>20300.794244599998</v>
      </c>
      <c r="M165" s="46">
        <f t="shared" si="53"/>
        <v>107693.14003015999</v>
      </c>
      <c r="N165" s="46">
        <f>G165*J165-0.28</f>
        <v>4978838</v>
      </c>
      <c r="O165" s="46">
        <f>G165*K165+2.11</f>
        <v>1662982.1097025601</v>
      </c>
      <c r="P165" s="237"/>
      <c r="Q165" s="46">
        <f>G165*L165</f>
        <v>1542860.3625895998</v>
      </c>
      <c r="R165" s="46"/>
      <c r="S165" s="46"/>
      <c r="T165" s="46">
        <f t="shared" si="2"/>
        <v>8184680.4722921597</v>
      </c>
      <c r="U165" s="46">
        <v>8186261.71</v>
      </c>
      <c r="V165" s="46">
        <f>U165</f>
        <v>8186261.71</v>
      </c>
    </row>
    <row r="166" spans="1:25" s="203" customFormat="1" x14ac:dyDescent="0.25">
      <c r="A166" s="49"/>
      <c r="B166" s="216" t="s">
        <v>225</v>
      </c>
      <c r="C166" s="217" t="s">
        <v>219</v>
      </c>
      <c r="D166" s="226" t="s">
        <v>20</v>
      </c>
      <c r="E166" s="236">
        <v>15</v>
      </c>
      <c r="F166" s="236">
        <v>15</v>
      </c>
      <c r="G166" s="218">
        <v>15</v>
      </c>
      <c r="H166" s="218">
        <v>15</v>
      </c>
      <c r="I166" s="218">
        <v>15</v>
      </c>
      <c r="J166" s="46"/>
      <c r="K166" s="46"/>
      <c r="L166" s="46"/>
      <c r="M166" s="46">
        <f t="shared" si="53"/>
        <v>0</v>
      </c>
      <c r="N166" s="237"/>
      <c r="O166" s="46"/>
      <c r="P166" s="237"/>
      <c r="Q166" s="46"/>
      <c r="R166" s="46">
        <v>2875326</v>
      </c>
      <c r="S166" s="46"/>
      <c r="T166" s="46">
        <f>R166</f>
        <v>2875326</v>
      </c>
      <c r="U166" s="46">
        <f>R166</f>
        <v>2875326</v>
      </c>
      <c r="V166" s="46">
        <f>R166</f>
        <v>2875326</v>
      </c>
    </row>
    <row r="167" spans="1:25" s="203" customFormat="1" x14ac:dyDescent="0.25">
      <c r="A167" s="49"/>
      <c r="B167" s="216" t="s">
        <v>225</v>
      </c>
      <c r="C167" s="217" t="s">
        <v>226</v>
      </c>
      <c r="D167" s="226" t="s">
        <v>20</v>
      </c>
      <c r="E167" s="229">
        <v>10</v>
      </c>
      <c r="F167" s="229">
        <v>10</v>
      </c>
      <c r="G167" s="218">
        <v>10</v>
      </c>
      <c r="H167" s="218">
        <v>10</v>
      </c>
      <c r="I167" s="218">
        <v>10</v>
      </c>
      <c r="J167" s="46"/>
      <c r="K167" s="46"/>
      <c r="L167" s="46"/>
      <c r="M167" s="46">
        <f t="shared" si="53"/>
        <v>0</v>
      </c>
      <c r="N167" s="237"/>
      <c r="O167" s="46"/>
      <c r="P167" s="237">
        <v>976928</v>
      </c>
      <c r="Q167" s="46"/>
      <c r="R167" s="46"/>
      <c r="S167" s="46"/>
      <c r="T167" s="46">
        <f>P167</f>
        <v>976928</v>
      </c>
      <c r="U167" s="46">
        <f t="shared" ref="U167:V173" si="59">T167</f>
        <v>976928</v>
      </c>
      <c r="V167" s="46">
        <f t="shared" si="59"/>
        <v>976928</v>
      </c>
    </row>
    <row r="168" spans="1:25" s="203" customFormat="1" ht="28.5" x14ac:dyDescent="0.25">
      <c r="A168" s="49"/>
      <c r="B168" s="84" t="s">
        <v>295</v>
      </c>
      <c r="C168" s="217" t="s">
        <v>219</v>
      </c>
      <c r="D168" s="247" t="s">
        <v>20</v>
      </c>
      <c r="E168" s="218"/>
      <c r="F168" s="218"/>
      <c r="G168" s="218">
        <v>15</v>
      </c>
      <c r="H168" s="218">
        <v>15</v>
      </c>
      <c r="I168" s="218">
        <v>15</v>
      </c>
      <c r="J168" s="46"/>
      <c r="K168" s="46"/>
      <c r="L168" s="46"/>
      <c r="M168" s="46">
        <f t="shared" si="53"/>
        <v>0</v>
      </c>
      <c r="N168" s="237"/>
      <c r="O168" s="46"/>
      <c r="P168" s="237"/>
      <c r="Q168" s="46"/>
      <c r="R168" s="46">
        <v>242462</v>
      </c>
      <c r="S168" s="46"/>
      <c r="T168" s="46">
        <f>R168</f>
        <v>242462</v>
      </c>
      <c r="U168" s="46"/>
      <c r="V168" s="46"/>
    </row>
    <row r="169" spans="1:25" s="203" customFormat="1" hidden="1" x14ac:dyDescent="0.25">
      <c r="A169" s="50"/>
      <c r="B169" s="216"/>
      <c r="C169" s="217" t="s">
        <v>226</v>
      </c>
      <c r="D169" s="45"/>
      <c r="E169" s="218"/>
      <c r="F169" s="218"/>
      <c r="G169" s="218"/>
      <c r="H169" s="218"/>
      <c r="I169" s="218"/>
      <c r="J169" s="46"/>
      <c r="K169" s="46"/>
      <c r="L169" s="46"/>
      <c r="M169" s="46">
        <f t="shared" si="53"/>
        <v>0</v>
      </c>
      <c r="N169" s="237"/>
      <c r="O169" s="46"/>
      <c r="P169" s="237"/>
      <c r="Q169" s="46"/>
      <c r="R169" s="46"/>
      <c r="S169" s="46"/>
      <c r="T169" s="46">
        <f>O169</f>
        <v>0</v>
      </c>
      <c r="U169" s="46">
        <f t="shared" ref="U169:V170" si="60">T169</f>
        <v>0</v>
      </c>
      <c r="V169" s="46">
        <f t="shared" si="60"/>
        <v>0</v>
      </c>
    </row>
    <row r="170" spans="1:25" s="203" customFormat="1" x14ac:dyDescent="0.25">
      <c r="A170" s="50"/>
      <c r="B170" s="231" t="s">
        <v>265</v>
      </c>
      <c r="C170" s="217" t="s">
        <v>226</v>
      </c>
      <c r="D170" s="45"/>
      <c r="E170" s="218"/>
      <c r="F170" s="218"/>
      <c r="G170" s="218"/>
      <c r="H170" s="218"/>
      <c r="I170" s="218"/>
      <c r="J170" s="46"/>
      <c r="K170" s="46"/>
      <c r="L170" s="46"/>
      <c r="M170" s="46">
        <f t="shared" si="53"/>
        <v>0</v>
      </c>
      <c r="N170" s="237">
        <v>50992</v>
      </c>
      <c r="O170" s="46"/>
      <c r="P170" s="237"/>
      <c r="Q170" s="46"/>
      <c r="R170" s="46"/>
      <c r="S170" s="46"/>
      <c r="T170" s="46">
        <f>N170</f>
        <v>50992</v>
      </c>
      <c r="U170" s="46">
        <f t="shared" si="60"/>
        <v>50992</v>
      </c>
      <c r="V170" s="46">
        <f t="shared" si="60"/>
        <v>50992</v>
      </c>
    </row>
    <row r="171" spans="1:25" ht="45.75" hidden="1" customHeight="1" x14ac:dyDescent="0.25">
      <c r="A171" s="88"/>
      <c r="B171" s="128" t="s">
        <v>257</v>
      </c>
      <c r="C171" s="127" t="s">
        <v>226</v>
      </c>
      <c r="D171" s="198"/>
      <c r="E171" s="87"/>
      <c r="F171" s="87"/>
      <c r="G171" s="218"/>
      <c r="H171" s="218"/>
      <c r="I171" s="218"/>
      <c r="J171" s="46"/>
      <c r="K171" s="46"/>
      <c r="L171" s="46"/>
      <c r="M171" s="46">
        <f t="shared" si="53"/>
        <v>0</v>
      </c>
      <c r="N171" s="237"/>
      <c r="O171" s="46"/>
      <c r="P171" s="237"/>
      <c r="Q171" s="46"/>
      <c r="R171" s="46"/>
      <c r="S171" s="46"/>
      <c r="T171" s="46">
        <f>N171</f>
        <v>0</v>
      </c>
      <c r="U171" s="46">
        <f t="shared" si="59"/>
        <v>0</v>
      </c>
      <c r="V171" s="46">
        <f t="shared" si="59"/>
        <v>0</v>
      </c>
    </row>
    <row r="172" spans="1:25" hidden="1" x14ac:dyDescent="0.25">
      <c r="A172" s="88"/>
      <c r="B172" s="128" t="s">
        <v>260</v>
      </c>
      <c r="C172" s="127"/>
      <c r="D172" s="213"/>
      <c r="E172" s="87"/>
      <c r="F172" s="87"/>
      <c r="G172" s="218"/>
      <c r="H172" s="218"/>
      <c r="I172" s="218"/>
      <c r="J172" s="46"/>
      <c r="K172" s="46"/>
      <c r="L172" s="46"/>
      <c r="M172" s="46">
        <f t="shared" si="53"/>
        <v>0</v>
      </c>
      <c r="N172" s="237"/>
      <c r="O172" s="46"/>
      <c r="P172" s="237"/>
      <c r="Q172" s="46"/>
      <c r="R172" s="46"/>
      <c r="S172" s="46"/>
      <c r="T172" s="46">
        <f>O172</f>
        <v>0</v>
      </c>
      <c r="U172" s="46">
        <f>T172</f>
        <v>0</v>
      </c>
      <c r="V172" s="46">
        <f>U172</f>
        <v>0</v>
      </c>
    </row>
    <row r="173" spans="1:25" ht="64.5" customHeight="1" x14ac:dyDescent="0.25">
      <c r="A173" s="193" t="s">
        <v>249</v>
      </c>
      <c r="B173" s="198" t="s">
        <v>28</v>
      </c>
      <c r="C173" s="127" t="s">
        <v>219</v>
      </c>
      <c r="D173" s="86" t="s">
        <v>20</v>
      </c>
      <c r="E173" s="229">
        <f>E165+E164+E163</f>
        <v>139</v>
      </c>
      <c r="F173" s="229">
        <f>F165+F164+F163</f>
        <v>139</v>
      </c>
      <c r="G173" s="218">
        <v>139</v>
      </c>
      <c r="H173" s="218">
        <v>139</v>
      </c>
      <c r="I173" s="218">
        <v>139</v>
      </c>
      <c r="J173" s="46" t="s">
        <v>23</v>
      </c>
      <c r="K173" s="46"/>
      <c r="L173" s="46">
        <v>9670.65</v>
      </c>
      <c r="M173" s="46">
        <f t="shared" si="53"/>
        <v>9670.65</v>
      </c>
      <c r="N173" s="237">
        <f t="shared" ref="N173" si="61">G173*J173</f>
        <v>0</v>
      </c>
      <c r="O173" s="46">
        <f t="shared" ref="O173" si="62">G173*K173</f>
        <v>0</v>
      </c>
      <c r="P173" s="237"/>
      <c r="Q173" s="46">
        <f>G173*L173-0.47</f>
        <v>1344219.88</v>
      </c>
      <c r="R173" s="46"/>
      <c r="S173" s="46"/>
      <c r="T173" s="46">
        <f t="shared" si="2"/>
        <v>1344219.88</v>
      </c>
      <c r="U173" s="46">
        <f t="shared" si="59"/>
        <v>1344219.88</v>
      </c>
      <c r="V173" s="46">
        <f t="shared" si="59"/>
        <v>1344219.88</v>
      </c>
    </row>
    <row r="174" spans="1:25" ht="14.25" customHeight="1" x14ac:dyDescent="0.25">
      <c r="A174" s="86"/>
      <c r="B174" s="198" t="s">
        <v>28</v>
      </c>
      <c r="C174" s="127" t="s">
        <v>220</v>
      </c>
      <c r="D174" s="86"/>
      <c r="E174" s="87"/>
      <c r="F174" s="87"/>
      <c r="G174" s="218">
        <v>137</v>
      </c>
      <c r="H174" s="218">
        <v>137</v>
      </c>
      <c r="I174" s="218">
        <v>137</v>
      </c>
      <c r="J174" s="46"/>
      <c r="K174" s="46"/>
      <c r="L174" s="46">
        <v>12750.1</v>
      </c>
      <c r="M174" s="46">
        <f t="shared" si="53"/>
        <v>12750.1</v>
      </c>
      <c r="N174" s="237"/>
      <c r="O174" s="46"/>
      <c r="P174" s="237"/>
      <c r="Q174" s="46"/>
      <c r="R174" s="46"/>
      <c r="S174" s="46">
        <f>L174*G174</f>
        <v>1746763.7</v>
      </c>
      <c r="T174" s="46">
        <f>S174</f>
        <v>1746763.7</v>
      </c>
      <c r="U174" s="46">
        <f>S174</f>
        <v>1746763.7</v>
      </c>
      <c r="V174" s="46">
        <f>S174</f>
        <v>1746763.7</v>
      </c>
    </row>
    <row r="175" spans="1:25" ht="76.5" customHeight="1" x14ac:dyDescent="0.25">
      <c r="A175" s="86"/>
      <c r="B175" s="128" t="s">
        <v>321</v>
      </c>
      <c r="C175" s="217" t="s">
        <v>226</v>
      </c>
      <c r="D175" s="86"/>
      <c r="E175" s="87"/>
      <c r="F175" s="87"/>
      <c r="G175" s="218"/>
      <c r="H175" s="218"/>
      <c r="I175" s="218"/>
      <c r="J175" s="46"/>
      <c r="K175" s="46"/>
      <c r="L175" s="46"/>
      <c r="M175" s="46"/>
      <c r="N175" s="237">
        <v>104535</v>
      </c>
      <c r="O175" s="46"/>
      <c r="P175" s="237"/>
      <c r="Q175" s="46"/>
      <c r="R175" s="46"/>
      <c r="S175" s="46"/>
      <c r="T175" s="46">
        <f>N175</f>
        <v>104535</v>
      </c>
      <c r="U175" s="46"/>
      <c r="V175" s="46"/>
    </row>
    <row r="176" spans="1:25" s="96" customFormat="1" x14ac:dyDescent="0.25">
      <c r="A176" s="188" t="s">
        <v>71</v>
      </c>
      <c r="B176" s="94"/>
      <c r="C176" s="94"/>
      <c r="D176" s="94"/>
      <c r="E176" s="92"/>
      <c r="F176" s="92"/>
      <c r="G176" s="263"/>
      <c r="H176" s="263"/>
      <c r="I176" s="263"/>
      <c r="J176" s="220"/>
      <c r="K176" s="220"/>
      <c r="L176" s="220"/>
      <c r="M176" s="46">
        <f t="shared" si="53"/>
        <v>0</v>
      </c>
      <c r="N176" s="220">
        <f>N177+N187</f>
        <v>15517323</v>
      </c>
      <c r="O176" s="220">
        <f>O177+O187</f>
        <v>5339041.0016766395</v>
      </c>
      <c r="P176" s="220">
        <f>P177</f>
        <v>1303659</v>
      </c>
      <c r="Q176" s="220">
        <f>Q177+Q187+Q184</f>
        <v>7356774.9999988405</v>
      </c>
      <c r="R176" s="220">
        <f>R177</f>
        <v>5167570</v>
      </c>
      <c r="S176" s="220">
        <f>S188</f>
        <v>3021773.7</v>
      </c>
      <c r="T176" s="220">
        <f>T177+T187+T188</f>
        <v>37706141.701675482</v>
      </c>
      <c r="U176" s="220">
        <f t="shared" ref="U176:V176" si="63">U177+U187+U188</f>
        <v>36892695.899983205</v>
      </c>
      <c r="V176" s="220">
        <f t="shared" si="63"/>
        <v>36892695.899983205</v>
      </c>
      <c r="W176" s="96">
        <v>7356775</v>
      </c>
      <c r="X176" s="196">
        <f>W176-Q176</f>
        <v>1.1594966053962708E-6</v>
      </c>
      <c r="Y176" s="96">
        <f>X176/I187</f>
        <v>4.7520352680175031E-9</v>
      </c>
    </row>
    <row r="177" spans="1:23" ht="85.5" customHeight="1" x14ac:dyDescent="0.25">
      <c r="A177" s="193" t="s">
        <v>248</v>
      </c>
      <c r="B177" s="84" t="s">
        <v>76</v>
      </c>
      <c r="C177" s="128"/>
      <c r="D177" s="95"/>
      <c r="E177" s="68"/>
      <c r="F177" s="68"/>
      <c r="G177" s="262"/>
      <c r="H177" s="262"/>
      <c r="I177" s="262"/>
      <c r="J177" s="46"/>
      <c r="K177" s="46"/>
      <c r="L177" s="46"/>
      <c r="M177" s="46">
        <f t="shared" si="53"/>
        <v>0</v>
      </c>
      <c r="N177" s="46">
        <f>SUM(N178:N189)</f>
        <v>15517323</v>
      </c>
      <c r="O177" s="46">
        <f>SUM(O178:O186)+0.01</f>
        <v>5339041.0016766395</v>
      </c>
      <c r="P177" s="46">
        <f>P181</f>
        <v>1303659</v>
      </c>
      <c r="Q177" s="46">
        <f>SUM(Q178:Q179)</f>
        <v>4968529.7600156404</v>
      </c>
      <c r="R177" s="46">
        <f>R180+R182</f>
        <v>5167570</v>
      </c>
      <c r="S177" s="46"/>
      <c r="T177" s="46">
        <f>SUM(T178:T186)+T189+0.01</f>
        <v>32296122.761692282</v>
      </c>
      <c r="U177" s="46">
        <f t="shared" ref="U177:V177" si="64">SUM(U178:U186)</f>
        <v>31482677.059999999</v>
      </c>
      <c r="V177" s="46">
        <f t="shared" si="64"/>
        <v>31482677.059999999</v>
      </c>
      <c r="W177" s="85">
        <f>T176-U176</f>
        <v>813445.80169227719</v>
      </c>
    </row>
    <row r="178" spans="1:23" ht="105" x14ac:dyDescent="0.25">
      <c r="A178" s="83"/>
      <c r="B178" s="97" t="s">
        <v>276</v>
      </c>
      <c r="C178" s="93" t="s">
        <v>283</v>
      </c>
      <c r="D178" s="198" t="s">
        <v>20</v>
      </c>
      <c r="E178" s="229">
        <v>42</v>
      </c>
      <c r="F178" s="229">
        <v>42</v>
      </c>
      <c r="G178" s="218">
        <v>32</v>
      </c>
      <c r="H178" s="218">
        <v>32</v>
      </c>
      <c r="I178" s="218">
        <v>32</v>
      </c>
      <c r="J178" s="46">
        <v>43138.04</v>
      </c>
      <c r="K178" s="46">
        <f>12142.68*1.802017</f>
        <v>21881.31578556</v>
      </c>
      <c r="L178" s="46">
        <f>18936.29+1447.254098-20.71721269</f>
        <v>20362.826885310002</v>
      </c>
      <c r="M178" s="46">
        <f t="shared" si="53"/>
        <v>85382.18267087001</v>
      </c>
      <c r="N178" s="46">
        <f>G178*J178-0.28</f>
        <v>1380417</v>
      </c>
      <c r="O178" s="46">
        <f>G178*K178-0.11</f>
        <v>700201.99513792002</v>
      </c>
      <c r="P178" s="237"/>
      <c r="Q178" s="46">
        <f>G178*L178</f>
        <v>651610.46032992005</v>
      </c>
      <c r="R178" s="46"/>
      <c r="S178" s="46"/>
      <c r="T178" s="46">
        <f t="shared" ref="T178:T187" si="65">SUM(N178:Q178)</f>
        <v>2732229.4554678402</v>
      </c>
      <c r="U178" s="46">
        <v>2686580.67</v>
      </c>
      <c r="V178" s="46">
        <f>U178</f>
        <v>2686580.67</v>
      </c>
    </row>
    <row r="179" spans="1:23" ht="138.75" customHeight="1" x14ac:dyDescent="0.25">
      <c r="A179" s="88"/>
      <c r="B179" s="97" t="s">
        <v>274</v>
      </c>
      <c r="C179" s="93" t="s">
        <v>285</v>
      </c>
      <c r="D179" s="198" t="s">
        <v>20</v>
      </c>
      <c r="E179" s="229">
        <v>203</v>
      </c>
      <c r="F179" s="229">
        <v>203</v>
      </c>
      <c r="G179" s="218">
        <v>212</v>
      </c>
      <c r="H179" s="218">
        <v>212</v>
      </c>
      <c r="I179" s="218">
        <v>212</v>
      </c>
      <c r="J179" s="261">
        <v>65511.03</v>
      </c>
      <c r="K179" s="46">
        <f>12142.68*1.802017</f>
        <v>21881.31578556</v>
      </c>
      <c r="L179" s="46">
        <f>18936.29+1447.254098-20.71721269</f>
        <v>20362.826885310002</v>
      </c>
      <c r="M179" s="46">
        <f t="shared" si="53"/>
        <v>107755.17267087</v>
      </c>
      <c r="N179" s="46">
        <f>G179*J179+0.64</f>
        <v>13888339</v>
      </c>
      <c r="O179" s="46">
        <f>G179*K179+0.05</f>
        <v>4638838.9965387201</v>
      </c>
      <c r="P179" s="237"/>
      <c r="Q179" s="46">
        <f>G179*L179</f>
        <v>4316919.2996857204</v>
      </c>
      <c r="R179" s="46"/>
      <c r="S179" s="46"/>
      <c r="T179" s="46">
        <f t="shared" si="65"/>
        <v>22844097.296224441</v>
      </c>
      <c r="U179" s="46">
        <v>22541671.48</v>
      </c>
      <c r="V179" s="46">
        <f>U179</f>
        <v>22541671.48</v>
      </c>
    </row>
    <row r="180" spans="1:23" s="203" customFormat="1" x14ac:dyDescent="0.25">
      <c r="A180" s="49"/>
      <c r="B180" s="231" t="s">
        <v>225</v>
      </c>
      <c r="C180" s="217" t="s">
        <v>219</v>
      </c>
      <c r="D180" s="226" t="s">
        <v>20</v>
      </c>
      <c r="E180" s="236">
        <v>27</v>
      </c>
      <c r="F180" s="236">
        <v>27</v>
      </c>
      <c r="G180" s="218">
        <v>27</v>
      </c>
      <c r="H180" s="218">
        <v>27</v>
      </c>
      <c r="I180" s="218">
        <v>27</v>
      </c>
      <c r="J180" s="46"/>
      <c r="K180" s="46"/>
      <c r="L180" s="46"/>
      <c r="M180" s="46">
        <f t="shared" si="53"/>
        <v>0</v>
      </c>
      <c r="N180" s="237"/>
      <c r="O180" s="46"/>
      <c r="P180" s="237"/>
      <c r="Q180" s="46"/>
      <c r="R180" s="46">
        <f>5084300-353130</f>
        <v>4731170</v>
      </c>
      <c r="S180" s="46"/>
      <c r="T180" s="46">
        <f>R180</f>
        <v>4731170</v>
      </c>
      <c r="U180" s="46">
        <f>5084300</f>
        <v>5084300</v>
      </c>
      <c r="V180" s="46">
        <f>U180</f>
        <v>5084300</v>
      </c>
    </row>
    <row r="181" spans="1:23" s="203" customFormat="1" x14ac:dyDescent="0.25">
      <c r="A181" s="49"/>
      <c r="B181" s="231" t="s">
        <v>225</v>
      </c>
      <c r="C181" s="217" t="s">
        <v>226</v>
      </c>
      <c r="D181" s="226" t="s">
        <v>20</v>
      </c>
      <c r="E181" s="229">
        <v>15</v>
      </c>
      <c r="F181" s="229">
        <v>15</v>
      </c>
      <c r="G181" s="218">
        <v>15</v>
      </c>
      <c r="H181" s="218">
        <v>15</v>
      </c>
      <c r="I181" s="218">
        <v>15</v>
      </c>
      <c r="J181" s="46"/>
      <c r="K181" s="46"/>
      <c r="L181" s="46"/>
      <c r="M181" s="46">
        <f t="shared" si="53"/>
        <v>0</v>
      </c>
      <c r="N181" s="237"/>
      <c r="O181" s="46"/>
      <c r="P181" s="46">
        <f>1104961+198698</f>
        <v>1303659</v>
      </c>
      <c r="Q181" s="46"/>
      <c r="R181" s="46"/>
      <c r="S181" s="46"/>
      <c r="T181" s="46">
        <f>P181</f>
        <v>1303659</v>
      </c>
      <c r="U181" s="46">
        <f>P181-198698+31975.91</f>
        <v>1136936.9099999999</v>
      </c>
      <c r="V181" s="46">
        <f>U181</f>
        <v>1136936.9099999999</v>
      </c>
    </row>
    <row r="182" spans="1:23" s="203" customFormat="1" ht="28.5" x14ac:dyDescent="0.25">
      <c r="A182" s="50"/>
      <c r="B182" s="84" t="s">
        <v>295</v>
      </c>
      <c r="C182" s="217" t="s">
        <v>219</v>
      </c>
      <c r="D182" s="247" t="s">
        <v>20</v>
      </c>
      <c r="E182" s="218"/>
      <c r="F182" s="218"/>
      <c r="G182" s="218">
        <v>27</v>
      </c>
      <c r="H182" s="218">
        <v>27</v>
      </c>
      <c r="I182" s="218">
        <v>27</v>
      </c>
      <c r="J182" s="46"/>
      <c r="K182" s="46"/>
      <c r="L182" s="46"/>
      <c r="M182" s="46">
        <f t="shared" si="53"/>
        <v>0</v>
      </c>
      <c r="N182" s="237"/>
      <c r="O182" s="46"/>
      <c r="P182" s="237"/>
      <c r="Q182" s="46"/>
      <c r="R182" s="46">
        <v>436400</v>
      </c>
      <c r="S182" s="46"/>
      <c r="T182" s="46">
        <f>R182</f>
        <v>436400</v>
      </c>
      <c r="U182" s="46"/>
      <c r="V182" s="46"/>
    </row>
    <row r="183" spans="1:23" s="203" customFormat="1" x14ac:dyDescent="0.25">
      <c r="A183" s="50"/>
      <c r="B183" s="231" t="s">
        <v>265</v>
      </c>
      <c r="C183" s="217" t="s">
        <v>226</v>
      </c>
      <c r="D183" s="45"/>
      <c r="E183" s="218"/>
      <c r="F183" s="218"/>
      <c r="G183" s="218"/>
      <c r="H183" s="218"/>
      <c r="I183" s="218"/>
      <c r="J183" s="46"/>
      <c r="K183" s="46"/>
      <c r="L183" s="46"/>
      <c r="M183" s="46">
        <f t="shared" si="53"/>
        <v>0</v>
      </c>
      <c r="N183" s="46">
        <v>33188</v>
      </c>
      <c r="O183" s="46"/>
      <c r="P183" s="237"/>
      <c r="Q183" s="46"/>
      <c r="R183" s="46"/>
      <c r="S183" s="46"/>
      <c r="T183" s="46">
        <f>N183</f>
        <v>33188</v>
      </c>
      <c r="U183" s="46">
        <f t="shared" ref="U183:V184" si="66">T183</f>
        <v>33188</v>
      </c>
      <c r="V183" s="46">
        <f t="shared" si="66"/>
        <v>33188</v>
      </c>
    </row>
    <row r="184" spans="1:23" s="203" customFormat="1" hidden="1" x14ac:dyDescent="0.25">
      <c r="A184" s="49"/>
      <c r="B184" s="231" t="s">
        <v>264</v>
      </c>
      <c r="C184" s="217" t="s">
        <v>219</v>
      </c>
      <c r="D184" s="50"/>
      <c r="E184" s="218"/>
      <c r="F184" s="218"/>
      <c r="G184" s="218"/>
      <c r="H184" s="218"/>
      <c r="I184" s="218"/>
      <c r="J184" s="46"/>
      <c r="K184" s="46"/>
      <c r="L184" s="46"/>
      <c r="M184" s="46">
        <f t="shared" si="53"/>
        <v>0</v>
      </c>
      <c r="N184" s="237"/>
      <c r="O184" s="46"/>
      <c r="P184" s="237"/>
      <c r="Q184" s="46"/>
      <c r="R184" s="46"/>
      <c r="S184" s="46"/>
      <c r="T184" s="46">
        <f>Q184</f>
        <v>0</v>
      </c>
      <c r="U184" s="46">
        <f t="shared" si="66"/>
        <v>0</v>
      </c>
      <c r="V184" s="46">
        <f t="shared" si="66"/>
        <v>0</v>
      </c>
    </row>
    <row r="185" spans="1:23" ht="43.5" hidden="1" customHeight="1" x14ac:dyDescent="0.25">
      <c r="A185" s="88"/>
      <c r="B185" s="128" t="s">
        <v>257</v>
      </c>
      <c r="C185" s="127" t="s">
        <v>226</v>
      </c>
      <c r="D185" s="198"/>
      <c r="E185" s="87"/>
      <c r="F185" s="87"/>
      <c r="G185" s="218"/>
      <c r="H185" s="218"/>
      <c r="I185" s="218"/>
      <c r="J185" s="46"/>
      <c r="K185" s="46"/>
      <c r="L185" s="46"/>
      <c r="M185" s="46">
        <f t="shared" si="53"/>
        <v>0</v>
      </c>
      <c r="N185" s="237"/>
      <c r="O185" s="46"/>
      <c r="P185" s="237"/>
      <c r="Q185" s="46"/>
      <c r="R185" s="46"/>
      <c r="S185" s="46"/>
      <c r="T185" s="46">
        <f>N185</f>
        <v>0</v>
      </c>
      <c r="U185" s="46">
        <f>T185</f>
        <v>0</v>
      </c>
      <c r="V185" s="46">
        <f>U185</f>
        <v>0</v>
      </c>
    </row>
    <row r="186" spans="1:23" ht="18.75" hidden="1" customHeight="1" x14ac:dyDescent="0.25">
      <c r="A186" s="88"/>
      <c r="B186" s="128" t="s">
        <v>260</v>
      </c>
      <c r="C186" s="127"/>
      <c r="D186" s="213"/>
      <c r="E186" s="87"/>
      <c r="F186" s="87"/>
      <c r="G186" s="218"/>
      <c r="H186" s="218"/>
      <c r="I186" s="218"/>
      <c r="J186" s="46"/>
      <c r="K186" s="46"/>
      <c r="L186" s="46"/>
      <c r="M186" s="46">
        <f t="shared" si="53"/>
        <v>0</v>
      </c>
      <c r="N186" s="237"/>
      <c r="O186" s="46"/>
      <c r="P186" s="237"/>
      <c r="Q186" s="46"/>
      <c r="R186" s="46"/>
      <c r="S186" s="46"/>
      <c r="T186" s="46">
        <f>O186</f>
        <v>0</v>
      </c>
      <c r="U186" s="46">
        <f>T186</f>
        <v>0</v>
      </c>
      <c r="V186" s="46">
        <f>U186</f>
        <v>0</v>
      </c>
    </row>
    <row r="187" spans="1:23" ht="62.25" customHeight="1" x14ac:dyDescent="0.25">
      <c r="A187" s="193" t="s">
        <v>249</v>
      </c>
      <c r="B187" s="198" t="s">
        <v>28</v>
      </c>
      <c r="C187" s="127" t="s">
        <v>219</v>
      </c>
      <c r="D187" s="86" t="s">
        <v>20</v>
      </c>
      <c r="E187" s="229">
        <v>245</v>
      </c>
      <c r="F187" s="229">
        <v>245</v>
      </c>
      <c r="G187" s="218">
        <v>244</v>
      </c>
      <c r="H187" s="218">
        <v>244</v>
      </c>
      <c r="I187" s="218">
        <v>244</v>
      </c>
      <c r="J187" s="46" t="s">
        <v>23</v>
      </c>
      <c r="K187" s="46"/>
      <c r="L187" s="46">
        <v>9787.8903277999998</v>
      </c>
      <c r="M187" s="46">
        <f t="shared" si="53"/>
        <v>9787.8903277999998</v>
      </c>
      <c r="N187" s="237">
        <f t="shared" ref="N187" si="67">G187*J187</f>
        <v>0</v>
      </c>
      <c r="O187" s="46">
        <f t="shared" ref="O187" si="68">G187*K187</f>
        <v>0</v>
      </c>
      <c r="P187" s="237"/>
      <c r="Q187" s="46">
        <f>G187*L187</f>
        <v>2388245.2399832001</v>
      </c>
      <c r="R187" s="46"/>
      <c r="S187" s="46"/>
      <c r="T187" s="46">
        <f t="shared" si="65"/>
        <v>2388245.2399832001</v>
      </c>
      <c r="U187" s="46">
        <f>H187*M187-0.1</f>
        <v>2388245.1399832</v>
      </c>
      <c r="V187" s="46">
        <f>U187</f>
        <v>2388245.1399832</v>
      </c>
    </row>
    <row r="188" spans="1:23" x14ac:dyDescent="0.25">
      <c r="A188" s="86"/>
      <c r="B188" s="198" t="s">
        <v>28</v>
      </c>
      <c r="C188" s="127" t="s">
        <v>220</v>
      </c>
      <c r="D188" s="86"/>
      <c r="E188" s="87"/>
      <c r="F188" s="87"/>
      <c r="G188" s="218">
        <v>237</v>
      </c>
      <c r="H188" s="218">
        <v>237</v>
      </c>
      <c r="I188" s="218">
        <v>237</v>
      </c>
      <c r="J188" s="46"/>
      <c r="K188" s="46"/>
      <c r="L188" s="46">
        <v>12750.1</v>
      </c>
      <c r="M188" s="46">
        <f t="shared" si="53"/>
        <v>12750.1</v>
      </c>
      <c r="N188" s="237"/>
      <c r="O188" s="46"/>
      <c r="P188" s="237"/>
      <c r="Q188" s="46"/>
      <c r="R188" s="46"/>
      <c r="S188" s="46">
        <f>L188*G188</f>
        <v>3021773.7</v>
      </c>
      <c r="T188" s="46">
        <f>S188</f>
        <v>3021773.7</v>
      </c>
      <c r="U188" s="46">
        <f>S188</f>
        <v>3021773.7</v>
      </c>
      <c r="V188" s="46">
        <f>S188</f>
        <v>3021773.7</v>
      </c>
    </row>
    <row r="189" spans="1:23" ht="71.25" x14ac:dyDescent="0.25">
      <c r="A189" s="282"/>
      <c r="B189" s="128" t="s">
        <v>321</v>
      </c>
      <c r="C189" s="217" t="s">
        <v>226</v>
      </c>
      <c r="D189" s="86"/>
      <c r="E189" s="87"/>
      <c r="F189" s="87"/>
      <c r="G189" s="218"/>
      <c r="H189" s="218"/>
      <c r="I189" s="218"/>
      <c r="J189" s="46"/>
      <c r="K189" s="46"/>
      <c r="L189" s="46"/>
      <c r="M189" s="46"/>
      <c r="N189" s="237">
        <v>215379</v>
      </c>
      <c r="O189" s="46"/>
      <c r="P189" s="237"/>
      <c r="Q189" s="46"/>
      <c r="R189" s="46"/>
      <c r="S189" s="46"/>
      <c r="T189" s="46">
        <f>N189</f>
        <v>215379</v>
      </c>
      <c r="U189" s="46"/>
      <c r="V189" s="46"/>
    </row>
    <row r="190" spans="1:23" x14ac:dyDescent="0.25">
      <c r="A190" s="328" t="s">
        <v>232</v>
      </c>
      <c r="B190" s="329"/>
      <c r="C190" s="329"/>
      <c r="D190" s="329"/>
      <c r="E190" s="329"/>
      <c r="F190" s="329"/>
      <c r="G190" s="329"/>
      <c r="H190" s="329"/>
      <c r="I190" s="329"/>
      <c r="J190" s="329"/>
      <c r="K190" s="329"/>
      <c r="L190" s="329"/>
      <c r="M190" s="330"/>
      <c r="N190" s="264">
        <f>N14+N27+N38+N55+N70+N85+N100+N115+N132+N148+N161+N176+1</f>
        <v>106371844</v>
      </c>
      <c r="O190" s="221">
        <f>O14+O27+O38+O55+O70+O85+O100+O115+O132+O148+O161+O176-1</f>
        <v>38095371.002659962</v>
      </c>
      <c r="P190" s="286">
        <f>P14+P27+P38+P55+P70+P85+P100+P115+P132+P148+P161+P176</f>
        <v>11229449</v>
      </c>
      <c r="Q190" s="221">
        <f>Q14+Q27+Q38+Q55+Q70+Q85+Q100+Q115+Q132+Q148+Q161+Q176</f>
        <v>52583932.080061309</v>
      </c>
      <c r="R190" s="221">
        <f>R14+R27+R38+R55+R70+R85+R100+R115+R132+R148+R161+R176</f>
        <v>39034270</v>
      </c>
      <c r="S190" s="221">
        <f>S14+S27+S38+S55+S70+S85+S100+S115+S132+S148+S161+S176</f>
        <v>21802671</v>
      </c>
      <c r="T190" s="221">
        <f>T14+T27+T38+T55+T70+T85+T100+T115+T132+T148+T161+T176</f>
        <v>269117537.08272123</v>
      </c>
      <c r="U190" s="221">
        <f>U14+U27+U38+U55+U70+U85+U100+U115+U132+U148+U161+U176+1.12</f>
        <v>263179870.99991411</v>
      </c>
      <c r="V190" s="221">
        <f>V14+V27+V38+V55+V70+V85+V100+V115+V132+V148+V161+V176+1.12</f>
        <v>263179870.99991411</v>
      </c>
      <c r="W190" s="85">
        <f>T190-U190</f>
        <v>5937666.0828071237</v>
      </c>
    </row>
    <row r="191" spans="1:23" x14ac:dyDescent="0.25">
      <c r="A191" s="80" t="s">
        <v>294</v>
      </c>
      <c r="C191" s="185"/>
      <c r="D191" s="185"/>
      <c r="E191" s="185"/>
      <c r="F191" s="185"/>
      <c r="G191" s="222"/>
      <c r="H191" s="222"/>
      <c r="I191" s="222"/>
      <c r="J191" s="222"/>
      <c r="K191" s="222"/>
      <c r="L191" s="222"/>
      <c r="M191" s="222"/>
      <c r="N191" s="215"/>
      <c r="O191" s="215"/>
      <c r="P191" s="215"/>
      <c r="Q191" s="215"/>
      <c r="R191" s="215"/>
      <c r="S191" s="222"/>
      <c r="T191" s="222"/>
      <c r="U191" s="222"/>
      <c r="V191" s="222"/>
    </row>
    <row r="192" spans="1:23" x14ac:dyDescent="0.25">
      <c r="A192" s="80" t="s">
        <v>178</v>
      </c>
      <c r="N192" s="287"/>
      <c r="P192" s="210"/>
    </row>
    <row r="193" spans="14:22" x14ac:dyDescent="0.25">
      <c r="N193" s="222"/>
      <c r="T193" s="223"/>
      <c r="U193" s="210"/>
    </row>
    <row r="194" spans="14:22" x14ac:dyDescent="0.25">
      <c r="N194" s="210"/>
      <c r="S194" s="210"/>
      <c r="V194" s="210"/>
    </row>
    <row r="195" spans="14:22" x14ac:dyDescent="0.25">
      <c r="N195" s="210"/>
      <c r="O195" s="210"/>
      <c r="Q195" s="210"/>
      <c r="R195" s="210"/>
      <c r="S195" s="210"/>
      <c r="U195" s="210"/>
      <c r="V195" s="210"/>
    </row>
    <row r="196" spans="14:22" x14ac:dyDescent="0.25">
      <c r="Q196" s="210"/>
      <c r="T196" s="210"/>
    </row>
    <row r="197" spans="14:22" x14ac:dyDescent="0.25">
      <c r="Q197" s="210"/>
    </row>
    <row r="198" spans="14:22" x14ac:dyDescent="0.25">
      <c r="Q198" s="210"/>
    </row>
  </sheetData>
  <mergeCells count="16">
    <mergeCell ref="C163:C164"/>
    <mergeCell ref="A190:M190"/>
    <mergeCell ref="A7:V7"/>
    <mergeCell ref="J10:M10"/>
    <mergeCell ref="N10:V10"/>
    <mergeCell ref="E11:G11"/>
    <mergeCell ref="N11:T11"/>
    <mergeCell ref="N12:T12"/>
    <mergeCell ref="C72:C73"/>
    <mergeCell ref="C16:C18"/>
    <mergeCell ref="C57:C58"/>
    <mergeCell ref="C87:C88"/>
    <mergeCell ref="C102:C103"/>
    <mergeCell ref="C40:C41"/>
    <mergeCell ref="C42:C43"/>
    <mergeCell ref="C117:C118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selection activeCell="M1" sqref="M1:P1048576"/>
    </sheetView>
  </sheetViews>
  <sheetFormatPr defaultColWidth="9.140625" defaultRowHeight="15" x14ac:dyDescent="0.25"/>
  <cols>
    <col min="1" max="1" width="19.42578125" style="185" customWidth="1"/>
    <col min="2" max="2" width="26.28515625" style="185" customWidth="1"/>
    <col min="3" max="3" width="16.85546875" style="185" customWidth="1"/>
    <col min="4" max="4" width="12.28515625" style="185" customWidth="1"/>
    <col min="5" max="5" width="18.28515625" style="185" hidden="1" customWidth="1"/>
    <col min="6" max="6" width="13.28515625" style="185" hidden="1" customWidth="1"/>
    <col min="7" max="7" width="14" style="185" customWidth="1"/>
    <col min="8" max="9" width="12.7109375" style="185" customWidth="1"/>
    <col min="10" max="10" width="17.28515625" style="185" customWidth="1"/>
    <col min="11" max="11" width="16" style="185" customWidth="1"/>
    <col min="12" max="12" width="21.28515625" style="185" customWidth="1"/>
    <col min="13" max="13" width="13.5703125" style="185" hidden="1" customWidth="1"/>
    <col min="14" max="14" width="16.7109375" style="185" hidden="1" customWidth="1"/>
    <col min="15" max="16" width="15.42578125" style="185" hidden="1" customWidth="1"/>
    <col min="17" max="19" width="14.7109375" style="185" customWidth="1"/>
    <col min="20" max="20" width="14.28515625" style="185" customWidth="1"/>
    <col min="21" max="21" width="14.140625" style="185" customWidth="1"/>
    <col min="22" max="22" width="14.85546875" style="185" bestFit="1" customWidth="1"/>
    <col min="23" max="23" width="15.28515625" style="185" customWidth="1"/>
    <col min="24" max="24" width="13.5703125" style="185" bestFit="1" customWidth="1"/>
    <col min="25" max="25" width="9.42578125" style="185" bestFit="1" customWidth="1"/>
    <col min="26" max="16384" width="9.140625" style="185"/>
  </cols>
  <sheetData>
    <row r="1" spans="1:22" x14ac:dyDescent="0.25">
      <c r="K1" s="208" t="s">
        <v>310</v>
      </c>
      <c r="L1" s="203"/>
      <c r="T1" s="117"/>
    </row>
    <row r="2" spans="1:22" x14ac:dyDescent="0.25">
      <c r="K2" s="208" t="s">
        <v>319</v>
      </c>
      <c r="L2" s="203"/>
      <c r="T2" s="117"/>
    </row>
    <row r="3" spans="1:22" x14ac:dyDescent="0.25">
      <c r="K3" s="208" t="s">
        <v>175</v>
      </c>
      <c r="L3" s="203"/>
      <c r="T3" s="117"/>
    </row>
    <row r="4" spans="1:22" x14ac:dyDescent="0.25">
      <c r="K4" s="208" t="s">
        <v>314</v>
      </c>
      <c r="L4" s="203"/>
      <c r="T4" s="117"/>
    </row>
    <row r="5" spans="1:22" x14ac:dyDescent="0.25">
      <c r="A5" s="304" t="s">
        <v>207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x14ac:dyDescent="0.25">
      <c r="A6" s="244" t="s">
        <v>156</v>
      </c>
    </row>
    <row r="7" spans="1:22" ht="30" x14ac:dyDescent="0.25">
      <c r="A7" s="240" t="s">
        <v>3</v>
      </c>
      <c r="B7" s="240" t="s">
        <v>81</v>
      </c>
      <c r="C7" s="240" t="s">
        <v>4</v>
      </c>
      <c r="D7" s="327" t="s">
        <v>5</v>
      </c>
      <c r="E7" s="327"/>
      <c r="F7" s="327"/>
      <c r="G7" s="327"/>
      <c r="H7" s="327"/>
      <c r="I7" s="308" t="s">
        <v>6</v>
      </c>
      <c r="J7" s="308" t="s">
        <v>7</v>
      </c>
      <c r="K7" s="308"/>
      <c r="L7" s="308"/>
    </row>
    <row r="8" spans="1:22" ht="30" x14ac:dyDescent="0.25">
      <c r="A8" s="82"/>
      <c r="B8" s="82"/>
      <c r="C8" s="82"/>
      <c r="D8" s="243" t="s">
        <v>183</v>
      </c>
      <c r="E8" s="242" t="s">
        <v>208</v>
      </c>
      <c r="F8" s="240" t="s">
        <v>206</v>
      </c>
      <c r="G8" s="243" t="s">
        <v>205</v>
      </c>
      <c r="H8" s="243" t="s">
        <v>312</v>
      </c>
      <c r="I8" s="308"/>
      <c r="J8" s="243" t="s">
        <v>183</v>
      </c>
      <c r="K8" s="243" t="s">
        <v>205</v>
      </c>
      <c r="L8" s="243" t="s">
        <v>267</v>
      </c>
    </row>
    <row r="9" spans="1:22" ht="60" x14ac:dyDescent="0.25">
      <c r="A9" s="83" t="s">
        <v>13</v>
      </c>
      <c r="B9" s="83" t="s">
        <v>14</v>
      </c>
      <c r="C9" s="240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40" t="s">
        <v>17</v>
      </c>
      <c r="J9" s="240" t="s">
        <v>17</v>
      </c>
      <c r="K9" s="240" t="s">
        <v>17</v>
      </c>
      <c r="L9" s="240" t="s">
        <v>17</v>
      </c>
      <c r="N9" s="185" t="s">
        <v>318</v>
      </c>
    </row>
    <row r="10" spans="1:22" ht="82.9" customHeight="1" x14ac:dyDescent="0.25">
      <c r="A10" s="106" t="s">
        <v>157</v>
      </c>
      <c r="B10" s="240" t="s">
        <v>242</v>
      </c>
      <c r="C10" s="82" t="s">
        <v>177</v>
      </c>
      <c r="D10" s="181">
        <v>42405</v>
      </c>
      <c r="E10" s="181">
        <v>42405</v>
      </c>
      <c r="F10" s="181">
        <v>42405</v>
      </c>
      <c r="G10" s="181">
        <v>42405</v>
      </c>
      <c r="H10" s="181">
        <v>42405</v>
      </c>
      <c r="I10" s="75">
        <f>129.06*90.5533%-0.015011391511</f>
        <v>116.853077588489</v>
      </c>
      <c r="J10" s="75">
        <f>I10*D10</f>
        <v>4955154.7551398762</v>
      </c>
      <c r="K10" s="75">
        <f>I10*G10</f>
        <v>4955154.7551398762</v>
      </c>
      <c r="L10" s="75">
        <f t="shared" ref="L10:L18" si="0">K10</f>
        <v>4955154.7551398762</v>
      </c>
      <c r="M10" s="245">
        <f>I10+M20</f>
        <v>116.853077588489</v>
      </c>
      <c r="N10" s="245">
        <f>M10*H10</f>
        <v>4955154.7551398762</v>
      </c>
    </row>
    <row r="11" spans="1:22" ht="89.45" customHeight="1" x14ac:dyDescent="0.25">
      <c r="A11" s="106" t="s">
        <v>157</v>
      </c>
      <c r="B11" s="240" t="s">
        <v>243</v>
      </c>
      <c r="C11" s="82" t="s">
        <v>177</v>
      </c>
      <c r="D11" s="181">
        <v>13582</v>
      </c>
      <c r="E11" s="181">
        <v>13582</v>
      </c>
      <c r="F11" s="181">
        <v>13582</v>
      </c>
      <c r="G11" s="181">
        <v>13582</v>
      </c>
      <c r="H11" s="181">
        <v>13582</v>
      </c>
      <c r="I11" s="75">
        <f>173.09*90.5533%-0.015011391511</f>
        <v>156.72369557848899</v>
      </c>
      <c r="J11" s="75">
        <f>I11*D11</f>
        <v>2128621.2333470373</v>
      </c>
      <c r="K11" s="75">
        <f t="shared" ref="K11:K18" si="1">J11</f>
        <v>2128621.2333470373</v>
      </c>
      <c r="L11" s="75">
        <f t="shared" si="0"/>
        <v>2128621.2333470373</v>
      </c>
      <c r="M11" s="245">
        <f>I11+M20</f>
        <v>156.72369557848899</v>
      </c>
      <c r="N11" s="245">
        <f>M11*H11</f>
        <v>2128621.2333470373</v>
      </c>
    </row>
    <row r="12" spans="1:22" ht="104.45" customHeight="1" x14ac:dyDescent="0.25">
      <c r="A12" s="106" t="s">
        <v>157</v>
      </c>
      <c r="B12" s="240" t="s">
        <v>244</v>
      </c>
      <c r="C12" s="82" t="s">
        <v>177</v>
      </c>
      <c r="D12" s="181">
        <v>6739</v>
      </c>
      <c r="E12" s="181">
        <v>6739</v>
      </c>
      <c r="F12" s="181">
        <v>6739</v>
      </c>
      <c r="G12" s="181">
        <v>6739</v>
      </c>
      <c r="H12" s="181">
        <v>6739</v>
      </c>
      <c r="I12" s="75">
        <f>169.6*90.5533%-0.015011391511</f>
        <v>153.56338540848898</v>
      </c>
      <c r="J12" s="75">
        <f>I12*D12</f>
        <v>1034863.6542678073</v>
      </c>
      <c r="K12" s="75">
        <f t="shared" si="1"/>
        <v>1034863.6542678073</v>
      </c>
      <c r="L12" s="75">
        <f t="shared" si="0"/>
        <v>1034863.6542678073</v>
      </c>
      <c r="M12" s="245">
        <f>I12+M20</f>
        <v>153.56338540848898</v>
      </c>
      <c r="N12" s="245">
        <f t="shared" ref="N12:N13" si="2">M12*H12</f>
        <v>1034863.6542678073</v>
      </c>
    </row>
    <row r="13" spans="1:22" ht="89.45" customHeight="1" x14ac:dyDescent="0.25">
      <c r="A13" s="106" t="s">
        <v>157</v>
      </c>
      <c r="B13" s="240" t="s">
        <v>245</v>
      </c>
      <c r="C13" s="82" t="s">
        <v>177</v>
      </c>
      <c r="D13" s="181">
        <v>13271</v>
      </c>
      <c r="E13" s="181">
        <v>13271</v>
      </c>
      <c r="F13" s="181">
        <v>13271</v>
      </c>
      <c r="G13" s="181">
        <v>13271</v>
      </c>
      <c r="H13" s="181">
        <v>13271</v>
      </c>
      <c r="I13" s="75">
        <f>227.19*90.5533%-0.015011391511</f>
        <v>205.71303087848898</v>
      </c>
      <c r="J13" s="75">
        <f>I13*D13</f>
        <v>2730017.6327884272</v>
      </c>
      <c r="K13" s="75">
        <f t="shared" si="1"/>
        <v>2730017.6327884272</v>
      </c>
      <c r="L13" s="75">
        <f t="shared" si="0"/>
        <v>2730017.6327884272</v>
      </c>
      <c r="M13" s="245">
        <f>I13+M20</f>
        <v>205.71303087848898</v>
      </c>
      <c r="N13" s="245">
        <f t="shared" si="2"/>
        <v>2730017.6327884272</v>
      </c>
    </row>
    <row r="14" spans="1:22" ht="94.15" customHeight="1" x14ac:dyDescent="0.25">
      <c r="A14" s="106"/>
      <c r="B14" s="240" t="s">
        <v>246</v>
      </c>
      <c r="C14" s="82" t="s">
        <v>177</v>
      </c>
      <c r="D14" s="181">
        <v>49974</v>
      </c>
      <c r="E14" s="181">
        <v>49974</v>
      </c>
      <c r="F14" s="181">
        <v>49974</v>
      </c>
      <c r="G14" s="181">
        <v>49974</v>
      </c>
      <c r="H14" s="181">
        <v>49974</v>
      </c>
      <c r="I14" s="75">
        <f>170.168*90.5533%-0.015011391511</f>
        <v>154.07772815248899</v>
      </c>
      <c r="J14" s="75">
        <f>I14*D14</f>
        <v>7699880.3866924848</v>
      </c>
      <c r="K14" s="75">
        <f t="shared" si="1"/>
        <v>7699880.3866924848</v>
      </c>
      <c r="L14" s="75">
        <f t="shared" si="0"/>
        <v>7699880.3866924848</v>
      </c>
      <c r="M14" s="245">
        <f>I14+M20</f>
        <v>154.07772815248899</v>
      </c>
      <c r="N14" s="245">
        <f>M14*H14</f>
        <v>7699880.3866924848</v>
      </c>
      <c r="O14" s="245"/>
    </row>
    <row r="15" spans="1:22" ht="94.15" customHeight="1" x14ac:dyDescent="0.25">
      <c r="A15" s="241" t="s">
        <v>160</v>
      </c>
      <c r="B15" s="240" t="s">
        <v>241</v>
      </c>
      <c r="C15" s="82" t="s">
        <v>177</v>
      </c>
      <c r="D15" s="181">
        <v>37082</v>
      </c>
      <c r="E15" s="181">
        <v>39042</v>
      </c>
      <c r="F15" s="181">
        <v>39042</v>
      </c>
      <c r="G15" s="181">
        <v>37082</v>
      </c>
      <c r="H15" s="181">
        <v>37082</v>
      </c>
      <c r="I15" s="75">
        <v>96.64</v>
      </c>
      <c r="J15" s="75">
        <v>3583483</v>
      </c>
      <c r="K15" s="75">
        <f>J15</f>
        <v>3583483</v>
      </c>
      <c r="L15" s="75">
        <f>K15</f>
        <v>3583483</v>
      </c>
      <c r="M15" s="245">
        <v>18548537.66</v>
      </c>
      <c r="N15" s="280">
        <f>1891/125971</f>
        <v>1.5011391510744536E-2</v>
      </c>
      <c r="O15" s="245"/>
    </row>
    <row r="16" spans="1:22" ht="42.6" customHeight="1" x14ac:dyDescent="0.25">
      <c r="A16" s="106" t="s">
        <v>251</v>
      </c>
      <c r="B16" s="240" t="s">
        <v>235</v>
      </c>
      <c r="C16" s="82"/>
      <c r="D16" s="181">
        <f>SUM(D10:D15)</f>
        <v>163053</v>
      </c>
      <c r="E16" s="181">
        <f t="shared" ref="E16:H16" si="3">SUM(E10:E15)</f>
        <v>165013</v>
      </c>
      <c r="F16" s="181">
        <f t="shared" si="3"/>
        <v>165013</v>
      </c>
      <c r="G16" s="181">
        <f t="shared" si="3"/>
        <v>163053</v>
      </c>
      <c r="H16" s="181">
        <f t="shared" si="3"/>
        <v>163053</v>
      </c>
      <c r="I16" s="75">
        <f>J16/H16</f>
        <v>135.73513312993708</v>
      </c>
      <c r="J16" s="75">
        <f>SUM(J10:J15)</f>
        <v>22132020.662235633</v>
      </c>
      <c r="K16" s="75">
        <f t="shared" ref="K16:L16" si="4">SUM(K10:K15)</f>
        <v>22132020.662235633</v>
      </c>
      <c r="L16" s="75">
        <f t="shared" si="4"/>
        <v>22132020.662235633</v>
      </c>
      <c r="M16" s="245">
        <v>22132020.66</v>
      </c>
      <c r="N16" s="245">
        <f>M16-J16</f>
        <v>-2.2356323897838593E-3</v>
      </c>
      <c r="O16" s="278">
        <f>N16/D16</f>
        <v>-1.3711077930389869E-8</v>
      </c>
    </row>
    <row r="17" spans="1:16" ht="54.6" customHeight="1" x14ac:dyDescent="0.25">
      <c r="A17" s="106" t="s">
        <v>157</v>
      </c>
      <c r="B17" s="240" t="s">
        <v>250</v>
      </c>
      <c r="C17" s="82" t="s">
        <v>234</v>
      </c>
      <c r="D17" s="181">
        <v>1</v>
      </c>
      <c r="E17" s="181">
        <v>1</v>
      </c>
      <c r="F17" s="181">
        <v>1</v>
      </c>
      <c r="G17" s="181">
        <v>1</v>
      </c>
      <c r="H17" s="181">
        <v>1</v>
      </c>
      <c r="I17" s="75">
        <f>110286.73*90.5533%-0.69</f>
        <v>99867.583477089982</v>
      </c>
      <c r="J17" s="75">
        <f>D17*I17</f>
        <v>99867.583477089982</v>
      </c>
      <c r="K17" s="75">
        <f t="shared" si="1"/>
        <v>99867.583477089982</v>
      </c>
      <c r="L17" s="75">
        <f t="shared" si="0"/>
        <v>99867.583477089982</v>
      </c>
      <c r="M17" s="245"/>
      <c r="N17" s="245"/>
      <c r="P17" s="245"/>
    </row>
    <row r="18" spans="1:16" ht="48.6" customHeight="1" x14ac:dyDescent="0.25">
      <c r="A18" s="106"/>
      <c r="B18" s="240" t="s">
        <v>247</v>
      </c>
      <c r="C18" s="82" t="s">
        <v>234</v>
      </c>
      <c r="D18" s="181">
        <v>2</v>
      </c>
      <c r="E18" s="181">
        <v>2</v>
      </c>
      <c r="F18" s="181">
        <v>2</v>
      </c>
      <c r="G18" s="181">
        <v>2</v>
      </c>
      <c r="H18" s="181">
        <v>2</v>
      </c>
      <c r="I18" s="75">
        <f>1551307.77*90.5533%</f>
        <v>1404760.3788914098</v>
      </c>
      <c r="J18" s="75">
        <f>D18*I18</f>
        <v>2809520.7577828197</v>
      </c>
      <c r="K18" s="75">
        <f t="shared" si="1"/>
        <v>2809520.7577828197</v>
      </c>
      <c r="L18" s="75">
        <f t="shared" si="0"/>
        <v>2809520.7577828197</v>
      </c>
      <c r="M18" s="245"/>
      <c r="N18" s="245"/>
      <c r="P18" s="245"/>
    </row>
    <row r="19" spans="1:16" ht="41.45" customHeight="1" x14ac:dyDescent="0.25">
      <c r="A19" s="106" t="s">
        <v>252</v>
      </c>
      <c r="B19" s="240" t="s">
        <v>236</v>
      </c>
      <c r="C19" s="82"/>
      <c r="D19" s="192">
        <f>SUM(D17:D18)</f>
        <v>3</v>
      </c>
      <c r="E19" s="192">
        <f t="shared" ref="E19:H19" si="5">SUM(E17:E18)</f>
        <v>3</v>
      </c>
      <c r="F19" s="192">
        <f t="shared" si="5"/>
        <v>3</v>
      </c>
      <c r="G19" s="192">
        <f t="shared" si="5"/>
        <v>3</v>
      </c>
      <c r="H19" s="192">
        <f t="shared" si="5"/>
        <v>3</v>
      </c>
      <c r="I19" s="192">
        <f>J19/H19</f>
        <v>969796.1137533033</v>
      </c>
      <c r="J19" s="75">
        <f t="shared" ref="J19:L19" si="6">SUM(J17:J18)</f>
        <v>2909388.3412599098</v>
      </c>
      <c r="K19" s="75">
        <f t="shared" si="6"/>
        <v>2909388.3412599098</v>
      </c>
      <c r="L19" s="75">
        <f t="shared" si="6"/>
        <v>2909388.3412599098</v>
      </c>
      <c r="M19" s="245"/>
      <c r="N19" s="251"/>
      <c r="P19" s="245"/>
    </row>
    <row r="20" spans="1:16" ht="22.9" customHeight="1" x14ac:dyDescent="0.25">
      <c r="A20" s="106" t="s">
        <v>157</v>
      </c>
      <c r="B20" s="128" t="s">
        <v>313</v>
      </c>
      <c r="C20" s="180" t="s">
        <v>20</v>
      </c>
      <c r="D20" s="181">
        <f>28+6</f>
        <v>34</v>
      </c>
      <c r="E20" s="181">
        <f t="shared" ref="E20:H20" si="7">28+6</f>
        <v>34</v>
      </c>
      <c r="F20" s="181">
        <f t="shared" si="7"/>
        <v>34</v>
      </c>
      <c r="G20" s="181">
        <f t="shared" si="7"/>
        <v>34</v>
      </c>
      <c r="H20" s="181">
        <f t="shared" si="7"/>
        <v>34</v>
      </c>
      <c r="I20" s="75"/>
      <c r="J20" s="75">
        <f>855872+212200</f>
        <v>1068072</v>
      </c>
      <c r="K20" s="75"/>
      <c r="L20" s="75"/>
      <c r="M20" s="245"/>
      <c r="P20" s="245"/>
    </row>
    <row r="21" spans="1:16" ht="18" customHeight="1" x14ac:dyDescent="0.25">
      <c r="A21" s="106"/>
      <c r="B21" s="182" t="s">
        <v>311</v>
      </c>
      <c r="C21" s="180" t="s">
        <v>20</v>
      </c>
      <c r="D21" s="181">
        <f>21+11</f>
        <v>32</v>
      </c>
      <c r="E21" s="181">
        <f t="shared" ref="E21:H22" si="8">21+11</f>
        <v>32</v>
      </c>
      <c r="F21" s="181">
        <f t="shared" si="8"/>
        <v>32</v>
      </c>
      <c r="G21" s="181">
        <f t="shared" si="8"/>
        <v>32</v>
      </c>
      <c r="H21" s="181">
        <f t="shared" si="8"/>
        <v>32</v>
      </c>
      <c r="I21" s="75"/>
      <c r="J21" s="75">
        <f>426810+162590</f>
        <v>589400</v>
      </c>
      <c r="K21" s="75"/>
      <c r="L21" s="75"/>
      <c r="M21" s="245"/>
      <c r="P21" s="245"/>
    </row>
    <row r="22" spans="1:16" x14ac:dyDescent="0.25">
      <c r="A22" s="180"/>
      <c r="B22" s="182" t="s">
        <v>229</v>
      </c>
      <c r="C22" s="180" t="s">
        <v>20</v>
      </c>
      <c r="D22" s="181">
        <f>21+11</f>
        <v>32</v>
      </c>
      <c r="E22" s="181">
        <f t="shared" si="8"/>
        <v>32</v>
      </c>
      <c r="F22" s="181">
        <f t="shared" si="8"/>
        <v>32</v>
      </c>
      <c r="G22" s="181">
        <f t="shared" si="8"/>
        <v>32</v>
      </c>
      <c r="H22" s="181">
        <f t="shared" si="8"/>
        <v>32</v>
      </c>
      <c r="I22" s="75"/>
      <c r="J22" s="75">
        <f>4369039+1779661</f>
        <v>6148700</v>
      </c>
      <c r="K22" s="75">
        <f>J22</f>
        <v>6148700</v>
      </c>
      <c r="L22" s="75">
        <f>K22</f>
        <v>6148700</v>
      </c>
      <c r="M22" s="245"/>
    </row>
    <row r="23" spans="1:16" x14ac:dyDescent="0.25">
      <c r="A23" s="328" t="s">
        <v>230</v>
      </c>
      <c r="B23" s="329"/>
      <c r="C23" s="330"/>
      <c r="D23" s="181"/>
      <c r="E23" s="181"/>
      <c r="F23" s="181"/>
      <c r="G23" s="181"/>
      <c r="H23" s="181"/>
      <c r="I23" s="75"/>
      <c r="J23" s="78">
        <f>J16+J19+J20+J21+J22</f>
        <v>32847581.003495544</v>
      </c>
      <c r="K23" s="78">
        <f t="shared" ref="K23:L23" si="9">K16+K19+K20+K21+K22</f>
        <v>31190109.003495544</v>
      </c>
      <c r="L23" s="78">
        <f t="shared" si="9"/>
        <v>31190109.003495544</v>
      </c>
      <c r="M23" s="245"/>
      <c r="N23" s="245"/>
      <c r="O23" s="246"/>
    </row>
    <row r="24" spans="1:16" ht="26.45" customHeight="1" x14ac:dyDescent="0.25">
      <c r="J24" s="245"/>
      <c r="M24" s="245"/>
      <c r="N24" s="245"/>
    </row>
    <row r="25" spans="1:16" x14ac:dyDescent="0.25">
      <c r="J25" s="245"/>
    </row>
    <row r="26" spans="1:16" x14ac:dyDescent="0.25">
      <c r="M26" s="249"/>
    </row>
    <row r="27" spans="1:16" x14ac:dyDescent="0.25">
      <c r="J27" s="245"/>
      <c r="K27" s="245"/>
    </row>
    <row r="28" spans="1:16" x14ac:dyDescent="0.25">
      <c r="A28" s="185" t="s">
        <v>233</v>
      </c>
      <c r="J28" s="245"/>
    </row>
    <row r="29" spans="1:16" x14ac:dyDescent="0.25">
      <c r="A29" s="185" t="s">
        <v>178</v>
      </c>
      <c r="J29" s="279"/>
      <c r="K29" s="245"/>
    </row>
    <row r="31" spans="1:16" x14ac:dyDescent="0.25">
      <c r="J31" s="245"/>
    </row>
    <row r="32" spans="1:16" x14ac:dyDescent="0.25">
      <c r="J32" s="245"/>
    </row>
    <row r="34" spans="10:10" x14ac:dyDescent="0.25">
      <c r="J34" s="245"/>
    </row>
    <row r="36" spans="10:10" x14ac:dyDescent="0.25">
      <c r="J36" s="245"/>
    </row>
    <row r="41" spans="10:10" x14ac:dyDescent="0.25">
      <c r="J41" s="245"/>
    </row>
  </sheetData>
  <mergeCells count="5">
    <mergeCell ref="A5:L5"/>
    <mergeCell ref="D7:H7"/>
    <mergeCell ref="I7:I8"/>
    <mergeCell ref="J7:L7"/>
    <mergeCell ref="A23:C23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01.01.2016</vt:lpstr>
      <vt:lpstr>ОБЩИЙ</vt:lpstr>
      <vt:lpstr>ШКОЛЫ</vt:lpstr>
      <vt:lpstr>САДЫ</vt:lpstr>
      <vt:lpstr>ДОП ДДТ +ДЭБС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2020-04-13T09:03:19Z</cp:lastPrinted>
  <dcterms:created xsi:type="dcterms:W3CDTF">2018-11-21T04:22:49Z</dcterms:created>
  <dcterms:modified xsi:type="dcterms:W3CDTF">2020-04-13T09:56:13Z</dcterms:modified>
</cp:coreProperties>
</file>