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-72" windowWidth="15456" windowHeight="9312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24519"/>
</workbook>
</file>

<file path=xl/calcChain.xml><?xml version="1.0" encoding="utf-8"?>
<calcChain xmlns="http://schemas.openxmlformats.org/spreadsheetml/2006/main">
  <c r="U113" i="12"/>
  <c r="AA111"/>
  <c r="U105"/>
  <c r="AA102"/>
  <c r="U98"/>
  <c r="AA96"/>
  <c r="U91"/>
  <c r="AA88"/>
  <c r="U82"/>
  <c r="AA79"/>
  <c r="U71"/>
  <c r="AA68"/>
  <c r="U62"/>
  <c r="AA59"/>
  <c r="U50"/>
  <c r="AA48"/>
  <c r="U40"/>
  <c r="AA37"/>
  <c r="U31"/>
  <c r="AA21"/>
  <c r="U17"/>
  <c r="AB12"/>
  <c r="J16" i="11"/>
  <c r="J15"/>
  <c r="J14"/>
  <c r="J13"/>
  <c r="J12"/>
  <c r="J11"/>
  <c r="T36" i="12"/>
  <c r="T35"/>
  <c r="U213" i="4"/>
  <c r="T213"/>
  <c r="T182"/>
  <c r="T110"/>
  <c r="T78"/>
  <c r="T47"/>
  <c r="T12"/>
  <c r="T166"/>
  <c r="V170"/>
  <c r="N213"/>
  <c r="M47"/>
  <c r="M54"/>
  <c r="M56"/>
  <c r="M61"/>
  <c r="M63"/>
  <c r="M66"/>
  <c r="M12"/>
  <c r="M22"/>
  <c r="M24"/>
  <c r="M29"/>
  <c r="M31"/>
  <c r="M35"/>
  <c r="L98" i="12"/>
  <c r="L97"/>
  <c r="L104"/>
  <c r="L105"/>
  <c r="L103"/>
  <c r="L92"/>
  <c r="L91"/>
  <c r="L90"/>
  <c r="L89"/>
  <c r="L83"/>
  <c r="L84"/>
  <c r="L82"/>
  <c r="L81"/>
  <c r="L80"/>
  <c r="L70"/>
  <c r="L71"/>
  <c r="L69"/>
  <c r="L39"/>
  <c r="L40"/>
  <c r="L38"/>
  <c r="L34"/>
  <c r="L30"/>
  <c r="L31"/>
  <c r="L28"/>
  <c r="L29"/>
  <c r="L27"/>
  <c r="L20"/>
  <c r="L19"/>
  <c r="L18"/>
  <c r="L17"/>
  <c r="L16"/>
  <c r="S22"/>
  <c r="AC110"/>
  <c r="AB110"/>
  <c r="AB58"/>
  <c r="L50"/>
  <c r="L51"/>
  <c r="L52"/>
  <c r="L49"/>
  <c r="L21"/>
  <c r="R182" i="4"/>
  <c r="R183"/>
  <c r="R187"/>
  <c r="R190"/>
  <c r="R191"/>
  <c r="R198"/>
  <c r="M110"/>
  <c r="M119"/>
  <c r="M121"/>
  <c r="M128"/>
  <c r="M130"/>
  <c r="M133"/>
  <c r="M78"/>
  <c r="M85"/>
  <c r="M87"/>
  <c r="M92"/>
  <c r="M94"/>
  <c r="M98"/>
  <c r="I11" i="11"/>
  <c r="J17"/>
  <c r="N113" i="12"/>
  <c r="N20"/>
  <c r="O20"/>
  <c r="O113"/>
  <c r="N105"/>
  <c r="O105"/>
  <c r="N98"/>
  <c r="O98"/>
  <c r="N91"/>
  <c r="O91"/>
  <c r="N84"/>
  <c r="O82" l="1"/>
  <c r="N71"/>
  <c r="N62"/>
  <c r="O62"/>
  <c r="N52"/>
  <c r="O52"/>
  <c r="N40"/>
  <c r="O40"/>
  <c r="O31"/>
  <c r="N30"/>
  <c r="N27"/>
  <c r="N28"/>
  <c r="M145" i="4"/>
  <c r="M153"/>
  <c r="M156"/>
  <c r="M157"/>
  <c r="M162"/>
  <c r="M165"/>
  <c r="M166"/>
  <c r="M169"/>
  <c r="I16" i="11"/>
  <c r="I12"/>
  <c r="I13"/>
  <c r="I14"/>
  <c r="I15"/>
  <c r="U96" i="12" l="1"/>
  <c r="U79"/>
  <c r="U59"/>
  <c r="U26"/>
  <c r="K113"/>
  <c r="K112"/>
  <c r="K105"/>
  <c r="K104"/>
  <c r="K103"/>
  <c r="K98"/>
  <c r="K97"/>
  <c r="K92"/>
  <c r="K91"/>
  <c r="K90"/>
  <c r="K89"/>
  <c r="K84"/>
  <c r="K83"/>
  <c r="K82"/>
  <c r="K81"/>
  <c r="K80"/>
  <c r="K71"/>
  <c r="K70"/>
  <c r="K69"/>
  <c r="K62"/>
  <c r="K61"/>
  <c r="K60"/>
  <c r="K52"/>
  <c r="K51"/>
  <c r="K50"/>
  <c r="K49"/>
  <c r="K40"/>
  <c r="K39"/>
  <c r="K38"/>
  <c r="K31"/>
  <c r="K30"/>
  <c r="K29"/>
  <c r="K28"/>
  <c r="K27"/>
  <c r="K19"/>
  <c r="K18"/>
  <c r="K17"/>
  <c r="K16"/>
  <c r="J113"/>
  <c r="J112"/>
  <c r="J105"/>
  <c r="J104"/>
  <c r="J103"/>
  <c r="J98"/>
  <c r="J97"/>
  <c r="J92"/>
  <c r="J91"/>
  <c r="J90"/>
  <c r="J89"/>
  <c r="J84"/>
  <c r="J83"/>
  <c r="J82"/>
  <c r="J81"/>
  <c r="J80"/>
  <c r="J71"/>
  <c r="J70"/>
  <c r="J69"/>
  <c r="J62"/>
  <c r="J61"/>
  <c r="J60"/>
  <c r="J52"/>
  <c r="J51"/>
  <c r="J50"/>
  <c r="J49"/>
  <c r="J40"/>
  <c r="J39"/>
  <c r="J38"/>
  <c r="J31"/>
  <c r="J30"/>
  <c r="J29"/>
  <c r="J28"/>
  <c r="J27"/>
  <c r="J19"/>
  <c r="J18"/>
  <c r="J17"/>
  <c r="J16"/>
  <c r="U88" l="1"/>
  <c r="I57" i="11"/>
  <c r="I58"/>
  <c r="I59"/>
  <c r="I60"/>
  <c r="I61"/>
  <c r="I62"/>
  <c r="I63" l="1"/>
  <c r="L117" i="12"/>
  <c r="L118"/>
  <c r="L108"/>
  <c r="L109"/>
  <c r="L99"/>
  <c r="L100"/>
  <c r="L94"/>
  <c r="L85"/>
  <c r="L86"/>
  <c r="L77"/>
  <c r="L65"/>
  <c r="L66"/>
  <c r="L56"/>
  <c r="L57"/>
  <c r="Q40"/>
  <c r="L46"/>
  <c r="L35"/>
  <c r="K56" i="11" l="1"/>
  <c r="J56"/>
  <c r="Q20" i="12"/>
  <c r="T20" s="1"/>
  <c r="U20" s="1"/>
  <c r="V20" s="1"/>
  <c r="Q16"/>
  <c r="L22"/>
  <c r="K16" i="11"/>
  <c r="K15"/>
  <c r="K14"/>
  <c r="K13"/>
  <c r="K12"/>
  <c r="K11"/>
  <c r="P15" i="12"/>
  <c r="P25"/>
  <c r="P58"/>
  <c r="R15"/>
  <c r="R25"/>
  <c r="R119" s="1"/>
  <c r="R58"/>
  <c r="G21"/>
  <c r="H21"/>
  <c r="I21"/>
  <c r="S15"/>
  <c r="K58" i="11" l="1"/>
  <c r="K60"/>
  <c r="K62"/>
  <c r="K57"/>
  <c r="K59"/>
  <c r="K61"/>
  <c r="J57"/>
  <c r="J59"/>
  <c r="J61"/>
  <c r="J60"/>
  <c r="J62"/>
  <c r="J58"/>
  <c r="P119" i="12"/>
  <c r="J63" i="11" l="1"/>
  <c r="K63"/>
  <c r="V104" i="12"/>
  <c r="V90"/>
  <c r="U118"/>
  <c r="M118"/>
  <c r="O117"/>
  <c r="M117"/>
  <c r="U117" s="1"/>
  <c r="V117" s="1"/>
  <c r="T116"/>
  <c r="U116" s="1"/>
  <c r="V116" s="1"/>
  <c r="M116"/>
  <c r="T115"/>
  <c r="U115" s="1"/>
  <c r="V115" s="1"/>
  <c r="M115"/>
  <c r="T114"/>
  <c r="U114" s="1"/>
  <c r="V114" s="1"/>
  <c r="M114"/>
  <c r="M111"/>
  <c r="M110"/>
  <c r="U109"/>
  <c r="M109"/>
  <c r="O108"/>
  <c r="N108"/>
  <c r="M108"/>
  <c r="F108"/>
  <c r="E108"/>
  <c r="T107"/>
  <c r="U107" s="1"/>
  <c r="V107" s="1"/>
  <c r="M107"/>
  <c r="T106"/>
  <c r="U106" s="1"/>
  <c r="U102" s="1"/>
  <c r="M106"/>
  <c r="V105"/>
  <c r="V103"/>
  <c r="M102"/>
  <c r="M101"/>
  <c r="U100"/>
  <c r="M100"/>
  <c r="O99"/>
  <c r="N99"/>
  <c r="M99"/>
  <c r="M96"/>
  <c r="M95"/>
  <c r="V94"/>
  <c r="M94"/>
  <c r="I93"/>
  <c r="H93"/>
  <c r="F93"/>
  <c r="E93"/>
  <c r="V91"/>
  <c r="V89"/>
  <c r="M88"/>
  <c r="M87"/>
  <c r="U86"/>
  <c r="M86"/>
  <c r="O85"/>
  <c r="N85"/>
  <c r="M85"/>
  <c r="M79"/>
  <c r="M78"/>
  <c r="U77"/>
  <c r="M77"/>
  <c r="I76"/>
  <c r="H76"/>
  <c r="G76"/>
  <c r="F76"/>
  <c r="E76"/>
  <c r="N76" s="1"/>
  <c r="T75"/>
  <c r="U75" s="1"/>
  <c r="V75" s="1"/>
  <c r="M75"/>
  <c r="T74"/>
  <c r="U74" s="1"/>
  <c r="V74" s="1"/>
  <c r="M74"/>
  <c r="T73"/>
  <c r="U73" s="1"/>
  <c r="V73" s="1"/>
  <c r="M73"/>
  <c r="T72"/>
  <c r="U72" s="1"/>
  <c r="V72" s="1"/>
  <c r="M72"/>
  <c r="M68"/>
  <c r="M67"/>
  <c r="V66"/>
  <c r="M66"/>
  <c r="N65"/>
  <c r="M65"/>
  <c r="T64"/>
  <c r="U64" s="1"/>
  <c r="V64" s="1"/>
  <c r="M64"/>
  <c r="T63"/>
  <c r="U63" s="1"/>
  <c r="V63" s="1"/>
  <c r="M63"/>
  <c r="M59"/>
  <c r="M58"/>
  <c r="V57"/>
  <c r="M57"/>
  <c r="O56"/>
  <c r="N56"/>
  <c r="M56"/>
  <c r="F56"/>
  <c r="E56"/>
  <c r="T55"/>
  <c r="U55" s="1"/>
  <c r="V55" s="1"/>
  <c r="M55"/>
  <c r="T54"/>
  <c r="U54" s="1"/>
  <c r="V54" s="1"/>
  <c r="M54"/>
  <c r="T53"/>
  <c r="U53" s="1"/>
  <c r="M53"/>
  <c r="G52"/>
  <c r="M48"/>
  <c r="M47"/>
  <c r="U46"/>
  <c r="M46"/>
  <c r="I45"/>
  <c r="H45"/>
  <c r="G45"/>
  <c r="F45"/>
  <c r="E45"/>
  <c r="T44"/>
  <c r="U44" s="1"/>
  <c r="M44"/>
  <c r="T43"/>
  <c r="U43" s="1"/>
  <c r="V43" s="1"/>
  <c r="M43"/>
  <c r="T42"/>
  <c r="U42" s="1"/>
  <c r="V42" s="1"/>
  <c r="M42"/>
  <c r="T41"/>
  <c r="U41" s="1"/>
  <c r="V41" s="1"/>
  <c r="M41"/>
  <c r="M37"/>
  <c r="M36"/>
  <c r="V35"/>
  <c r="M35"/>
  <c r="N34"/>
  <c r="M34"/>
  <c r="T33"/>
  <c r="U33" s="1"/>
  <c r="V33" s="1"/>
  <c r="M33"/>
  <c r="T32"/>
  <c r="U32" s="1"/>
  <c r="V32" s="1"/>
  <c r="M32"/>
  <c r="M26"/>
  <c r="M25"/>
  <c r="T24"/>
  <c r="U24" s="1"/>
  <c r="V24" s="1"/>
  <c r="M24"/>
  <c r="T23"/>
  <c r="U23" s="1"/>
  <c r="V23" s="1"/>
  <c r="M23"/>
  <c r="M22"/>
  <c r="M21"/>
  <c r="F21"/>
  <c r="E21"/>
  <c r="N21" s="1"/>
  <c r="O182" i="4"/>
  <c r="O198"/>
  <c r="O191"/>
  <c r="O190"/>
  <c r="O183"/>
  <c r="K195"/>
  <c r="K187"/>
  <c r="P182"/>
  <c r="P198"/>
  <c r="P191"/>
  <c r="P190"/>
  <c r="P187"/>
  <c r="P183"/>
  <c r="M334"/>
  <c r="N207"/>
  <c r="O337"/>
  <c r="N337"/>
  <c r="M337"/>
  <c r="M338" s="1"/>
  <c r="O334"/>
  <c r="O335" s="1"/>
  <c r="N334"/>
  <c r="I212"/>
  <c r="H212"/>
  <c r="G212"/>
  <c r="L333"/>
  <c r="M335" s="1"/>
  <c r="C341"/>
  <c r="P322"/>
  <c r="R145"/>
  <c r="R166"/>
  <c r="R172"/>
  <c r="K169"/>
  <c r="K166"/>
  <c r="K165"/>
  <c r="K162"/>
  <c r="K157"/>
  <c r="K156"/>
  <c r="K153"/>
  <c r="K145"/>
  <c r="O145" s="1"/>
  <c r="L169"/>
  <c r="L166"/>
  <c r="L165"/>
  <c r="L162"/>
  <c r="L157"/>
  <c r="L156"/>
  <c r="L153"/>
  <c r="L145"/>
  <c r="P145" s="1"/>
  <c r="O322"/>
  <c r="N322"/>
  <c r="P319"/>
  <c r="O319"/>
  <c r="N319"/>
  <c r="M318"/>
  <c r="C326"/>
  <c r="R110"/>
  <c r="K133"/>
  <c r="K130"/>
  <c r="K128"/>
  <c r="K121"/>
  <c r="K119"/>
  <c r="K110"/>
  <c r="O110" s="1"/>
  <c r="L133"/>
  <c r="L130"/>
  <c r="L128"/>
  <c r="L121"/>
  <c r="L119"/>
  <c r="L110"/>
  <c r="P110" s="1"/>
  <c r="N320" l="1"/>
  <c r="P320"/>
  <c r="O323"/>
  <c r="O324" s="1"/>
  <c r="O320"/>
  <c r="N323"/>
  <c r="N324" s="1"/>
  <c r="N331" s="1"/>
  <c r="P323"/>
  <c r="N338"/>
  <c r="N339" s="1"/>
  <c r="N345" s="1"/>
  <c r="M339"/>
  <c r="O338"/>
  <c r="O339" s="1"/>
  <c r="O343" s="1"/>
  <c r="O45" i="12"/>
  <c r="L45"/>
  <c r="M45" s="1"/>
  <c r="O76"/>
  <c r="L76"/>
  <c r="M76" s="1"/>
  <c r="N329" i="4"/>
  <c r="N325"/>
  <c r="N328"/>
  <c r="N340"/>
  <c r="N343"/>
  <c r="N344"/>
  <c r="O345"/>
  <c r="O341"/>
  <c r="O342"/>
  <c r="O330"/>
  <c r="O328"/>
  <c r="O326"/>
  <c r="O331"/>
  <c r="O329"/>
  <c r="O327"/>
  <c r="O325"/>
  <c r="Q319"/>
  <c r="P324"/>
  <c r="P334"/>
  <c r="N335"/>
  <c r="Q51" i="12"/>
  <c r="Q97"/>
  <c r="Q70"/>
  <c r="N112"/>
  <c r="Q18"/>
  <c r="Q19"/>
  <c r="Q17"/>
  <c r="S110"/>
  <c r="Q112"/>
  <c r="Q113"/>
  <c r="Q104"/>
  <c r="Q105"/>
  <c r="Q103"/>
  <c r="N97"/>
  <c r="Q98"/>
  <c r="N90"/>
  <c r="Q90"/>
  <c r="O80"/>
  <c r="O81"/>
  <c r="Q69"/>
  <c r="Q71"/>
  <c r="Q50"/>
  <c r="Q52"/>
  <c r="S58"/>
  <c r="S95"/>
  <c r="Q49"/>
  <c r="Q39"/>
  <c r="N38"/>
  <c r="Q30"/>
  <c r="T85"/>
  <c r="U85" s="1"/>
  <c r="V85" s="1"/>
  <c r="S87"/>
  <c r="S47"/>
  <c r="T65"/>
  <c r="U65" s="1"/>
  <c r="V65" s="1"/>
  <c r="T108"/>
  <c r="U108" s="1"/>
  <c r="V108" s="1"/>
  <c r="T117"/>
  <c r="S36"/>
  <c r="S67"/>
  <c r="S78"/>
  <c r="S101"/>
  <c r="G93"/>
  <c r="T56"/>
  <c r="U56" s="1"/>
  <c r="V56" s="1"/>
  <c r="S25"/>
  <c r="T34"/>
  <c r="U34" s="1"/>
  <c r="V34" s="1"/>
  <c r="T77"/>
  <c r="T99"/>
  <c r="U99" s="1"/>
  <c r="V99" s="1"/>
  <c r="V44"/>
  <c r="V106"/>
  <c r="V102" s="1"/>
  <c r="U22"/>
  <c r="S14"/>
  <c r="V22"/>
  <c r="T22"/>
  <c r="V53"/>
  <c r="U35"/>
  <c r="N45"/>
  <c r="T46"/>
  <c r="V46"/>
  <c r="U57"/>
  <c r="U66"/>
  <c r="V77"/>
  <c r="T86"/>
  <c r="V86"/>
  <c r="U94"/>
  <c r="T100"/>
  <c r="V100"/>
  <c r="T109"/>
  <c r="V109"/>
  <c r="T118"/>
  <c r="V118"/>
  <c r="T57"/>
  <c r="T66"/>
  <c r="T94"/>
  <c r="M344" i="4"/>
  <c r="M342"/>
  <c r="M340"/>
  <c r="M345"/>
  <c r="M343"/>
  <c r="M341"/>
  <c r="P331"/>
  <c r="P329"/>
  <c r="Q329" s="1"/>
  <c r="P327"/>
  <c r="P325"/>
  <c r="Q325" s="1"/>
  <c r="P330"/>
  <c r="P328"/>
  <c r="Q328" s="1"/>
  <c r="P326"/>
  <c r="P345" l="1"/>
  <c r="Q331"/>
  <c r="P343"/>
  <c r="O340"/>
  <c r="P340" s="1"/>
  <c r="O344"/>
  <c r="P344" s="1"/>
  <c r="N342"/>
  <c r="N341"/>
  <c r="P341" s="1"/>
  <c r="N326"/>
  <c r="Q326" s="1"/>
  <c r="N330"/>
  <c r="Q330" s="1"/>
  <c r="N327"/>
  <c r="Q327" s="1"/>
  <c r="P342"/>
  <c r="S119" i="12"/>
  <c r="L93"/>
  <c r="M93" s="1"/>
  <c r="Q96"/>
  <c r="Q95" s="1"/>
  <c r="Q111"/>
  <c r="Q110" s="1"/>
  <c r="X110" s="1"/>
  <c r="Y110" s="1"/>
  <c r="U101"/>
  <c r="AB102" s="1"/>
  <c r="N39"/>
  <c r="N111"/>
  <c r="N110" s="1"/>
  <c r="Q15"/>
  <c r="O60"/>
  <c r="O61"/>
  <c r="Q61"/>
  <c r="Q62"/>
  <c r="Q60"/>
  <c r="V101"/>
  <c r="Q91"/>
  <c r="O79"/>
  <c r="O78" s="1"/>
  <c r="N82"/>
  <c r="Q80"/>
  <c r="O18"/>
  <c r="O16"/>
  <c r="O19"/>
  <c r="O17"/>
  <c r="Q89"/>
  <c r="N92"/>
  <c r="T92" s="1"/>
  <c r="Q102"/>
  <c r="Q101" s="1"/>
  <c r="O103"/>
  <c r="O104"/>
  <c r="N96"/>
  <c r="N95" s="1"/>
  <c r="Q82"/>
  <c r="N81"/>
  <c r="N89"/>
  <c r="N83"/>
  <c r="T83" s="1"/>
  <c r="Q81"/>
  <c r="Q68"/>
  <c r="Q67" s="1"/>
  <c r="O71"/>
  <c r="O69"/>
  <c r="O70"/>
  <c r="Q48"/>
  <c r="O51"/>
  <c r="O49"/>
  <c r="O50"/>
  <c r="Q38"/>
  <c r="N31"/>
  <c r="Q28"/>
  <c r="Q29"/>
  <c r="Q31"/>
  <c r="Q27"/>
  <c r="N29"/>
  <c r="O29"/>
  <c r="O27"/>
  <c r="O30"/>
  <c r="O28"/>
  <c r="O93"/>
  <c r="T93"/>
  <c r="U93" s="1"/>
  <c r="V93" s="1"/>
  <c r="T45"/>
  <c r="U45" s="1"/>
  <c r="V45" s="1"/>
  <c r="N37"/>
  <c r="N36" s="1"/>
  <c r="T76"/>
  <c r="U76" s="1"/>
  <c r="V76" s="1"/>
  <c r="T21"/>
  <c r="U21" s="1"/>
  <c r="V21" s="1"/>
  <c r="K24" i="11"/>
  <c r="L24" s="1"/>
  <c r="H24"/>
  <c r="G24"/>
  <c r="F24"/>
  <c r="E24"/>
  <c r="D24"/>
  <c r="H23"/>
  <c r="G23"/>
  <c r="F23"/>
  <c r="E23"/>
  <c r="D23"/>
  <c r="H21"/>
  <c r="G21"/>
  <c r="F21"/>
  <c r="E21"/>
  <c r="D21"/>
  <c r="H20"/>
  <c r="G20"/>
  <c r="F20"/>
  <c r="E20"/>
  <c r="D20"/>
  <c r="I19"/>
  <c r="J19" s="1"/>
  <c r="K19" s="1"/>
  <c r="L19" s="1"/>
  <c r="I18"/>
  <c r="J18" s="1"/>
  <c r="F17"/>
  <c r="E17"/>
  <c r="D17"/>
  <c r="N16"/>
  <c r="L16"/>
  <c r="H16"/>
  <c r="G16"/>
  <c r="L15"/>
  <c r="G15"/>
  <c r="H15" s="1"/>
  <c r="L14"/>
  <c r="M14"/>
  <c r="H14"/>
  <c r="G14"/>
  <c r="L13"/>
  <c r="L12"/>
  <c r="M12"/>
  <c r="H12"/>
  <c r="G12"/>
  <c r="L11"/>
  <c r="H11"/>
  <c r="X95" i="12" l="1"/>
  <c r="Y95" s="1"/>
  <c r="AB95"/>
  <c r="AC95" s="1"/>
  <c r="X101"/>
  <c r="Y101" s="1"/>
  <c r="AB101"/>
  <c r="AC101" s="1"/>
  <c r="X67"/>
  <c r="Y67" s="1"/>
  <c r="AB67"/>
  <c r="AC67" s="1"/>
  <c r="M92"/>
  <c r="N88"/>
  <c r="N87" s="1"/>
  <c r="Q88"/>
  <c r="Q87" s="1"/>
  <c r="T82"/>
  <c r="V82" s="1"/>
  <c r="V79" s="1"/>
  <c r="Q14"/>
  <c r="Q37"/>
  <c r="Q36" s="1"/>
  <c r="U87"/>
  <c r="AB88" s="1"/>
  <c r="N60"/>
  <c r="M60"/>
  <c r="N61"/>
  <c r="T61" s="1"/>
  <c r="V61" s="1"/>
  <c r="M61"/>
  <c r="T62"/>
  <c r="V62" s="1"/>
  <c r="V59" s="1"/>
  <c r="M62"/>
  <c r="O15"/>
  <c r="Q59"/>
  <c r="Q58" s="1"/>
  <c r="X58" s="1"/>
  <c r="Y58" s="1"/>
  <c r="O59"/>
  <c r="O58" s="1"/>
  <c r="M81"/>
  <c r="V83"/>
  <c r="Q79"/>
  <c r="Q78" s="1"/>
  <c r="N19"/>
  <c r="T19" s="1"/>
  <c r="M19"/>
  <c r="N18"/>
  <c r="T18" s="1"/>
  <c r="M18"/>
  <c r="N17"/>
  <c r="T17" s="1"/>
  <c r="M17"/>
  <c r="N16"/>
  <c r="N15" s="1"/>
  <c r="M16"/>
  <c r="O14"/>
  <c r="O119" s="1"/>
  <c r="V92"/>
  <c r="O112"/>
  <c r="M112"/>
  <c r="T113"/>
  <c r="V113" s="1"/>
  <c r="M113"/>
  <c r="N103"/>
  <c r="M103"/>
  <c r="N104"/>
  <c r="T104" s="1"/>
  <c r="M104"/>
  <c r="T105"/>
  <c r="M105"/>
  <c r="O102"/>
  <c r="O101" s="1"/>
  <c r="M83"/>
  <c r="M82"/>
  <c r="O97"/>
  <c r="M97"/>
  <c r="T98"/>
  <c r="V98" s="1"/>
  <c r="V96" s="1"/>
  <c r="M98"/>
  <c r="O89"/>
  <c r="T89" s="1"/>
  <c r="M89"/>
  <c r="O90"/>
  <c r="T90" s="1"/>
  <c r="M90"/>
  <c r="T91"/>
  <c r="M91"/>
  <c r="O88"/>
  <c r="O87" s="1"/>
  <c r="M84"/>
  <c r="O68"/>
  <c r="O67" s="1"/>
  <c r="N80"/>
  <c r="N79" s="1"/>
  <c r="M80"/>
  <c r="T81"/>
  <c r="V81" s="1"/>
  <c r="T84"/>
  <c r="Q47"/>
  <c r="O48"/>
  <c r="O47" s="1"/>
  <c r="N69"/>
  <c r="M69"/>
  <c r="N70"/>
  <c r="T70" s="1"/>
  <c r="V70" s="1"/>
  <c r="M70"/>
  <c r="T71"/>
  <c r="M71"/>
  <c r="N50"/>
  <c r="T50" s="1"/>
  <c r="V50" s="1"/>
  <c r="M50"/>
  <c r="M52"/>
  <c r="T52"/>
  <c r="V52" s="1"/>
  <c r="N51"/>
  <c r="T51" s="1"/>
  <c r="V51" s="1"/>
  <c r="M51"/>
  <c r="N49"/>
  <c r="M49"/>
  <c r="O39"/>
  <c r="T39" s="1"/>
  <c r="V39" s="1"/>
  <c r="M39"/>
  <c r="T40"/>
  <c r="V40" s="1"/>
  <c r="M40"/>
  <c r="O38"/>
  <c r="M38"/>
  <c r="Q26"/>
  <c r="T30"/>
  <c r="V30" s="1"/>
  <c r="M30"/>
  <c r="T31"/>
  <c r="V31" s="1"/>
  <c r="V26" s="1"/>
  <c r="V25" s="1"/>
  <c r="M31"/>
  <c r="T29"/>
  <c r="V29" s="1"/>
  <c r="M29"/>
  <c r="T28"/>
  <c r="V28" s="1"/>
  <c r="M28"/>
  <c r="M27"/>
  <c r="L17" i="11"/>
  <c r="H17"/>
  <c r="K17"/>
  <c r="G17"/>
  <c r="N12"/>
  <c r="N14"/>
  <c r="J20"/>
  <c r="I20" s="1"/>
  <c r="K18"/>
  <c r="X78" i="12" l="1"/>
  <c r="Y78" s="1"/>
  <c r="AB78"/>
  <c r="AC78" s="1"/>
  <c r="X87"/>
  <c r="Y87" s="1"/>
  <c r="AB87"/>
  <c r="AC87" s="1"/>
  <c r="X36"/>
  <c r="Y36" s="1"/>
  <c r="AB36"/>
  <c r="AC36" s="1"/>
  <c r="X47"/>
  <c r="Y47" s="1"/>
  <c r="AB47"/>
  <c r="AC47" s="1"/>
  <c r="AB14"/>
  <c r="AC14" s="1"/>
  <c r="V88"/>
  <c r="V87" s="1"/>
  <c r="V71"/>
  <c r="X14"/>
  <c r="Y14" s="1"/>
  <c r="T60"/>
  <c r="N59"/>
  <c r="N58" s="1"/>
  <c r="T88"/>
  <c r="T87" s="1"/>
  <c r="W88" s="1"/>
  <c r="N14"/>
  <c r="N119" s="1"/>
  <c r="T16"/>
  <c r="O111"/>
  <c r="O110" s="1"/>
  <c r="T112"/>
  <c r="N102"/>
  <c r="N101" s="1"/>
  <c r="T103"/>
  <c r="T97"/>
  <c r="O96"/>
  <c r="O95" s="1"/>
  <c r="T80"/>
  <c r="N78"/>
  <c r="T69"/>
  <c r="N68"/>
  <c r="N67" s="1"/>
  <c r="T49"/>
  <c r="N48"/>
  <c r="N47" s="1"/>
  <c r="T38"/>
  <c r="O37"/>
  <c r="O36" s="1"/>
  <c r="Q25"/>
  <c r="AB25" s="1"/>
  <c r="AC25" s="1"/>
  <c r="O26"/>
  <c r="O25" s="1"/>
  <c r="N26"/>
  <c r="N25" s="1"/>
  <c r="T27"/>
  <c r="K20" i="11"/>
  <c r="K25" s="1"/>
  <c r="L18"/>
  <c r="L20" s="1"/>
  <c r="L25" s="1"/>
  <c r="Q119" i="12" l="1"/>
  <c r="U25"/>
  <c r="AB21" s="1"/>
  <c r="V27"/>
  <c r="V112"/>
  <c r="V111" s="1"/>
  <c r="V110" s="1"/>
  <c r="U111"/>
  <c r="U110" s="1"/>
  <c r="AB111" s="1"/>
  <c r="V38"/>
  <c r="V37" s="1"/>
  <c r="V36" s="1"/>
  <c r="U37"/>
  <c r="U36" s="1"/>
  <c r="AB37" s="1"/>
  <c r="T48"/>
  <c r="T47" s="1"/>
  <c r="V69"/>
  <c r="V68" s="1"/>
  <c r="V67" s="1"/>
  <c r="U68"/>
  <c r="U67" s="1"/>
  <c r="AB68" s="1"/>
  <c r="T79"/>
  <c r="T78" s="1"/>
  <c r="V97"/>
  <c r="V95" s="1"/>
  <c r="U95"/>
  <c r="AB96" s="1"/>
  <c r="T59"/>
  <c r="T58" s="1"/>
  <c r="W71"/>
  <c r="T15"/>
  <c r="T14" s="1"/>
  <c r="U15"/>
  <c r="T26"/>
  <c r="T68"/>
  <c r="T67" s="1"/>
  <c r="T96"/>
  <c r="T95" s="1"/>
  <c r="T37"/>
  <c r="T102"/>
  <c r="T101" s="1"/>
  <c r="W102" s="1"/>
  <c r="T111"/>
  <c r="T110" s="1"/>
  <c r="V84"/>
  <c r="X25"/>
  <c r="Y25" s="1"/>
  <c r="W97" l="1"/>
  <c r="W111"/>
  <c r="T25"/>
  <c r="W26" s="1"/>
  <c r="V60"/>
  <c r="V58" s="1"/>
  <c r="U58"/>
  <c r="V80"/>
  <c r="U78"/>
  <c r="V78"/>
  <c r="W68"/>
  <c r="V49"/>
  <c r="V48" s="1"/>
  <c r="V47" s="1"/>
  <c r="U48"/>
  <c r="U47" s="1"/>
  <c r="W37"/>
  <c r="N309" i="4"/>
  <c r="M309"/>
  <c r="L309"/>
  <c r="N306"/>
  <c r="M306"/>
  <c r="M310" s="1"/>
  <c r="L306"/>
  <c r="C313"/>
  <c r="K305"/>
  <c r="R78"/>
  <c r="K98"/>
  <c r="K94"/>
  <c r="K92"/>
  <c r="K87"/>
  <c r="K85"/>
  <c r="K78"/>
  <c r="O78" s="1"/>
  <c r="L98"/>
  <c r="L94"/>
  <c r="L92"/>
  <c r="L87"/>
  <c r="L85"/>
  <c r="L78"/>
  <c r="P78" s="1"/>
  <c r="N296"/>
  <c r="M296"/>
  <c r="L296"/>
  <c r="N293"/>
  <c r="M293"/>
  <c r="L293"/>
  <c r="C300"/>
  <c r="K292"/>
  <c r="R47"/>
  <c r="K66"/>
  <c r="K63"/>
  <c r="K61"/>
  <c r="K56"/>
  <c r="K54"/>
  <c r="K47"/>
  <c r="O47" s="1"/>
  <c r="L66"/>
  <c r="L63"/>
  <c r="L61"/>
  <c r="L56"/>
  <c r="L54"/>
  <c r="L47"/>
  <c r="P47" s="1"/>
  <c r="N283"/>
  <c r="M283"/>
  <c r="L283"/>
  <c r="N280"/>
  <c r="M280"/>
  <c r="L280"/>
  <c r="C287"/>
  <c r="K279"/>
  <c r="N267"/>
  <c r="M267"/>
  <c r="L267"/>
  <c r="R12"/>
  <c r="R35"/>
  <c r="R31"/>
  <c r="K29"/>
  <c r="K35"/>
  <c r="K31"/>
  <c r="K24"/>
  <c r="K22"/>
  <c r="K12"/>
  <c r="O12" s="1"/>
  <c r="L35"/>
  <c r="L31"/>
  <c r="L29"/>
  <c r="L22"/>
  <c r="L24"/>
  <c r="L12"/>
  <c r="P12" s="1"/>
  <c r="C271"/>
  <c r="N264"/>
  <c r="N268" s="1"/>
  <c r="M264"/>
  <c r="L264"/>
  <c r="L268" s="1"/>
  <c r="K263"/>
  <c r="W79" i="12" l="1"/>
  <c r="AB79"/>
  <c r="W59"/>
  <c r="AB59"/>
  <c r="W48"/>
  <c r="AB48"/>
  <c r="T119"/>
  <c r="M265" i="4"/>
  <c r="M281"/>
  <c r="L284"/>
  <c r="L285" s="1"/>
  <c r="N284"/>
  <c r="N285" s="1"/>
  <c r="N297"/>
  <c r="N298" s="1"/>
  <c r="L294"/>
  <c r="N294"/>
  <c r="L297"/>
  <c r="L298" s="1"/>
  <c r="M311"/>
  <c r="L310"/>
  <c r="L311" s="1"/>
  <c r="N310"/>
  <c r="N311" s="1"/>
  <c r="L269"/>
  <c r="L275" s="1"/>
  <c r="N269"/>
  <c r="M268"/>
  <c r="M269" s="1"/>
  <c r="O280"/>
  <c r="N281"/>
  <c r="M284"/>
  <c r="M285" s="1"/>
  <c r="M297"/>
  <c r="M298" s="1"/>
  <c r="L307"/>
  <c r="N307"/>
  <c r="L273"/>
  <c r="L274"/>
  <c r="L270"/>
  <c r="N275"/>
  <c r="N273"/>
  <c r="N271"/>
  <c r="N274"/>
  <c r="N272"/>
  <c r="N270"/>
  <c r="M275"/>
  <c r="M273"/>
  <c r="M271"/>
  <c r="M274"/>
  <c r="M272"/>
  <c r="M270"/>
  <c r="O270" s="1"/>
  <c r="L289"/>
  <c r="L287"/>
  <c r="L290"/>
  <c r="L288"/>
  <c r="L286"/>
  <c r="N289"/>
  <c r="N287"/>
  <c r="N290"/>
  <c r="N288"/>
  <c r="N286"/>
  <c r="L302"/>
  <c r="L300"/>
  <c r="L303"/>
  <c r="L301"/>
  <c r="L299"/>
  <c r="M315"/>
  <c r="M313"/>
  <c r="M316"/>
  <c r="M314"/>
  <c r="M312"/>
  <c r="L316"/>
  <c r="L314"/>
  <c r="O314" s="1"/>
  <c r="L312"/>
  <c r="L315"/>
  <c r="O315" s="1"/>
  <c r="L313"/>
  <c r="N316"/>
  <c r="N314"/>
  <c r="N312"/>
  <c r="N315"/>
  <c r="N313"/>
  <c r="M290"/>
  <c r="M288"/>
  <c r="M286"/>
  <c r="M289"/>
  <c r="M287"/>
  <c r="M303"/>
  <c r="M301"/>
  <c r="M299"/>
  <c r="M302"/>
  <c r="M300"/>
  <c r="N302"/>
  <c r="N300"/>
  <c r="N303"/>
  <c r="N301"/>
  <c r="N299"/>
  <c r="L265"/>
  <c r="N265"/>
  <c r="L281"/>
  <c r="O306"/>
  <c r="M307"/>
  <c r="O264"/>
  <c r="M294"/>
  <c r="O293"/>
  <c r="L272" l="1"/>
  <c r="L271"/>
  <c r="O313"/>
  <c r="O312"/>
  <c r="O316"/>
  <c r="O299"/>
  <c r="O303"/>
  <c r="O302"/>
  <c r="O286"/>
  <c r="O290"/>
  <c r="O289"/>
  <c r="O272"/>
  <c r="O271"/>
  <c r="O275"/>
  <c r="O301"/>
  <c r="O300"/>
  <c r="O288"/>
  <c r="O287"/>
  <c r="O274"/>
  <c r="O273"/>
  <c r="U211" l="1"/>
  <c r="N211"/>
  <c r="N209"/>
  <c r="U209"/>
  <c r="U180"/>
  <c r="N180"/>
  <c r="N178"/>
  <c r="U178"/>
  <c r="U143"/>
  <c r="N143"/>
  <c r="U141"/>
  <c r="N141"/>
  <c r="U108"/>
  <c r="N108"/>
  <c r="U106"/>
  <c r="N106"/>
  <c r="N45"/>
  <c r="U74"/>
  <c r="N74"/>
  <c r="N76"/>
  <c r="U76"/>
  <c r="U45"/>
  <c r="U43"/>
  <c r="N43"/>
  <c r="O203"/>
  <c r="O171"/>
  <c r="O135"/>
  <c r="O100"/>
  <c r="O68"/>
  <c r="X216" l="1"/>
  <c r="T179"/>
  <c r="V72"/>
  <c r="V104"/>
  <c r="N208" l="1"/>
  <c r="N176"/>
  <c r="N177"/>
  <c r="N139"/>
  <c r="N140"/>
  <c r="N107"/>
  <c r="N105"/>
  <c r="S77" l="1"/>
  <c r="N42"/>
  <c r="N73"/>
  <c r="N184" l="1"/>
  <c r="T184" s="1"/>
  <c r="U184" s="1"/>
  <c r="N183"/>
  <c r="T183" s="1"/>
  <c r="S212" l="1"/>
  <c r="O187"/>
  <c r="N187" s="1"/>
  <c r="J187"/>
  <c r="O186"/>
  <c r="N186" s="1"/>
  <c r="T186" s="1"/>
  <c r="U186" s="1"/>
  <c r="J186"/>
  <c r="T187" l="1"/>
  <c r="U187" s="1"/>
  <c r="P166"/>
  <c r="S181"/>
  <c r="E170"/>
  <c r="F170"/>
  <c r="E173"/>
  <c r="F173"/>
  <c r="H173"/>
  <c r="I173"/>
  <c r="S144"/>
  <c r="O101"/>
  <c r="S109"/>
  <c r="F36"/>
  <c r="G36"/>
  <c r="H36"/>
  <c r="I36"/>
  <c r="E36"/>
  <c r="P35"/>
  <c r="O35"/>
  <c r="S46"/>
  <c r="N210" l="1"/>
  <c r="T210"/>
  <c r="U210" s="1"/>
  <c r="T142"/>
  <c r="U142" s="1"/>
  <c r="N142"/>
  <c r="T107"/>
  <c r="U107" s="1"/>
  <c r="T75"/>
  <c r="U75" s="1"/>
  <c r="N75"/>
  <c r="Q46"/>
  <c r="T44"/>
  <c r="U44" s="1"/>
  <c r="N44"/>
  <c r="N179"/>
  <c r="U179"/>
  <c r="N206" l="1"/>
  <c r="N104"/>
  <c r="N103"/>
  <c r="N72"/>
  <c r="N71"/>
  <c r="N40"/>
  <c r="K196" l="1"/>
  <c r="N138" l="1"/>
  <c r="J195"/>
  <c r="T39"/>
  <c r="U39" s="1"/>
  <c r="T70"/>
  <c r="U70" s="1"/>
  <c r="Q77"/>
  <c r="Q212"/>
  <c r="Q181"/>
  <c r="Q144"/>
  <c r="Q109"/>
  <c r="T102"/>
  <c r="U102" s="1"/>
  <c r="T137"/>
  <c r="U137" s="1"/>
  <c r="T174"/>
  <c r="U174" s="1"/>
  <c r="T205"/>
  <c r="U205" s="1"/>
  <c r="N205"/>
  <c r="N39"/>
  <c r="N70"/>
  <c r="N102"/>
  <c r="N137"/>
  <c r="N174"/>
  <c r="N175" l="1"/>
  <c r="N172"/>
  <c r="T172" s="1"/>
  <c r="U172" s="1"/>
  <c r="N35"/>
  <c r="T35" s="1"/>
  <c r="X182"/>
  <c r="X191"/>
  <c r="X172" l="1"/>
  <c r="R173"/>
  <c r="Y182" l="1"/>
  <c r="R202"/>
  <c r="J35" l="1"/>
  <c r="U35" l="1"/>
  <c r="H170"/>
  <c r="I170"/>
  <c r="J68" l="1"/>
  <c r="T206" l="1"/>
  <c r="U206" s="1"/>
  <c r="V17" i="12" l="1"/>
  <c r="V19"/>
  <c r="V18"/>
  <c r="T176" i="4"/>
  <c r="U176" s="1"/>
  <c r="T175"/>
  <c r="U175" s="1"/>
  <c r="T139"/>
  <c r="U139" s="1"/>
  <c r="U138"/>
  <c r="U104"/>
  <c r="T103"/>
  <c r="U103" s="1"/>
  <c r="V16" i="12" l="1"/>
  <c r="V15" s="1"/>
  <c r="T41" i="4"/>
  <c r="U41" s="1"/>
  <c r="T40"/>
  <c r="U40" s="1"/>
  <c r="T71"/>
  <c r="U71" s="1"/>
  <c r="V14" i="12" l="1"/>
  <c r="V119" s="1"/>
  <c r="U14"/>
  <c r="W15"/>
  <c r="U72" i="4"/>
  <c r="Q213"/>
  <c r="U119" i="12" l="1"/>
  <c r="AA13"/>
  <c r="W182" i="4"/>
  <c r="W183"/>
  <c r="W190"/>
  <c r="W191"/>
  <c r="J78"/>
  <c r="S213"/>
  <c r="R204"/>
  <c r="P204"/>
  <c r="M204"/>
  <c r="I204"/>
  <c r="H204"/>
  <c r="F204"/>
  <c r="E204"/>
  <c r="J203"/>
  <c r="I202"/>
  <c r="H202"/>
  <c r="G202"/>
  <c r="F202"/>
  <c r="E202"/>
  <c r="J201"/>
  <c r="T201"/>
  <c r="U201" s="1"/>
  <c r="J200"/>
  <c r="T200"/>
  <c r="U200" s="1"/>
  <c r="P202"/>
  <c r="U196"/>
  <c r="T196"/>
  <c r="J196"/>
  <c r="O196"/>
  <c r="N196" s="1"/>
  <c r="U194"/>
  <c r="T194"/>
  <c r="J194"/>
  <c r="O194"/>
  <c r="N194" s="1"/>
  <c r="U193"/>
  <c r="T193"/>
  <c r="J193"/>
  <c r="O193"/>
  <c r="N193" s="1"/>
  <c r="N191"/>
  <c r="J188"/>
  <c r="G188"/>
  <c r="O188" s="1"/>
  <c r="N188" s="1"/>
  <c r="T188" s="1"/>
  <c r="U188" s="1"/>
  <c r="J185"/>
  <c r="O185"/>
  <c r="N185" s="1"/>
  <c r="T185" s="1"/>
  <c r="U185" s="1"/>
  <c r="P173"/>
  <c r="M173"/>
  <c r="J171"/>
  <c r="J169"/>
  <c r="T169" s="1"/>
  <c r="G169"/>
  <c r="G170" s="1"/>
  <c r="U168"/>
  <c r="T168"/>
  <c r="J168"/>
  <c r="G168"/>
  <c r="O168" s="1"/>
  <c r="N168" s="1"/>
  <c r="J166"/>
  <c r="J165"/>
  <c r="I164"/>
  <c r="H164"/>
  <c r="F164"/>
  <c r="E164"/>
  <c r="J163"/>
  <c r="U163" s="1"/>
  <c r="G163"/>
  <c r="O163" s="1"/>
  <c r="N163" s="1"/>
  <c r="R162"/>
  <c r="J162"/>
  <c r="U161"/>
  <c r="T161"/>
  <c r="J161"/>
  <c r="O161"/>
  <c r="N161" s="1"/>
  <c r="U160"/>
  <c r="T160"/>
  <c r="J160"/>
  <c r="O160"/>
  <c r="N160" s="1"/>
  <c r="U159"/>
  <c r="T159"/>
  <c r="J159"/>
  <c r="O159"/>
  <c r="N159" s="1"/>
  <c r="J157"/>
  <c r="R157"/>
  <c r="J156"/>
  <c r="P156"/>
  <c r="I155"/>
  <c r="H155"/>
  <c r="H181" s="1"/>
  <c r="F155"/>
  <c r="F181" s="1"/>
  <c r="E155"/>
  <c r="E181" s="1"/>
  <c r="J154"/>
  <c r="U154" s="1"/>
  <c r="G154"/>
  <c r="O154" s="1"/>
  <c r="N154" s="1"/>
  <c r="J153"/>
  <c r="R153"/>
  <c r="U152"/>
  <c r="T152"/>
  <c r="J152"/>
  <c r="O152"/>
  <c r="N152" s="1"/>
  <c r="U151"/>
  <c r="T151"/>
  <c r="J151"/>
  <c r="O151"/>
  <c r="N151" s="1"/>
  <c r="U150"/>
  <c r="T150"/>
  <c r="J150"/>
  <c r="O150"/>
  <c r="N150" s="1"/>
  <c r="U149"/>
  <c r="T149"/>
  <c r="J149"/>
  <c r="O149"/>
  <c r="N149" s="1"/>
  <c r="U148"/>
  <c r="T148"/>
  <c r="J148"/>
  <c r="O148"/>
  <c r="N148" s="1"/>
  <c r="U147"/>
  <c r="T147"/>
  <c r="J147"/>
  <c r="O147"/>
  <c r="N147" s="1"/>
  <c r="J145"/>
  <c r="R136"/>
  <c r="P136"/>
  <c r="M136"/>
  <c r="I136"/>
  <c r="H136"/>
  <c r="F136"/>
  <c r="E136"/>
  <c r="J135"/>
  <c r="I134"/>
  <c r="H134"/>
  <c r="F134"/>
  <c r="E134"/>
  <c r="G133"/>
  <c r="P133" s="1"/>
  <c r="U132"/>
  <c r="T132"/>
  <c r="J132"/>
  <c r="G132"/>
  <c r="O132" s="1"/>
  <c r="N132" s="1"/>
  <c r="J130"/>
  <c r="I129"/>
  <c r="H129"/>
  <c r="F129"/>
  <c r="E129"/>
  <c r="J128"/>
  <c r="R128"/>
  <c r="U127"/>
  <c r="T127"/>
  <c r="J127"/>
  <c r="O127"/>
  <c r="N127" s="1"/>
  <c r="U126"/>
  <c r="T126"/>
  <c r="J126"/>
  <c r="O126"/>
  <c r="N126" s="1"/>
  <c r="U125"/>
  <c r="T125"/>
  <c r="J125"/>
  <c r="O125"/>
  <c r="N125" s="1"/>
  <c r="U124"/>
  <c r="T124"/>
  <c r="J124"/>
  <c r="O124"/>
  <c r="N124" s="1"/>
  <c r="U123"/>
  <c r="T123"/>
  <c r="J123"/>
  <c r="O123"/>
  <c r="N123" s="1"/>
  <c r="J121"/>
  <c r="I120"/>
  <c r="H120"/>
  <c r="H144" s="1"/>
  <c r="F120"/>
  <c r="F144" s="1"/>
  <c r="E120"/>
  <c r="E144" s="1"/>
  <c r="J119"/>
  <c r="R119"/>
  <c r="U118"/>
  <c r="T118"/>
  <c r="J118"/>
  <c r="O118"/>
  <c r="N118" s="1"/>
  <c r="U117"/>
  <c r="T117"/>
  <c r="J117"/>
  <c r="O117"/>
  <c r="N117" s="1"/>
  <c r="U116"/>
  <c r="T116"/>
  <c r="J116"/>
  <c r="O116"/>
  <c r="N116" s="1"/>
  <c r="U115"/>
  <c r="T115"/>
  <c r="J115"/>
  <c r="O115"/>
  <c r="N115" s="1"/>
  <c r="U114"/>
  <c r="T114"/>
  <c r="J114"/>
  <c r="O114"/>
  <c r="N114" s="1"/>
  <c r="U113"/>
  <c r="T113"/>
  <c r="J113"/>
  <c r="O113"/>
  <c r="N113" s="1"/>
  <c r="U112"/>
  <c r="T112"/>
  <c r="J112"/>
  <c r="O112"/>
  <c r="N112" s="1"/>
  <c r="J110"/>
  <c r="R101"/>
  <c r="P101"/>
  <c r="M101"/>
  <c r="I101"/>
  <c r="H101"/>
  <c r="F101"/>
  <c r="E101"/>
  <c r="J100"/>
  <c r="I99"/>
  <c r="H99"/>
  <c r="F99"/>
  <c r="E99"/>
  <c r="J98"/>
  <c r="G98"/>
  <c r="U97"/>
  <c r="T97"/>
  <c r="J97"/>
  <c r="G97"/>
  <c r="O97" s="1"/>
  <c r="N97" s="1"/>
  <c r="U96"/>
  <c r="T96"/>
  <c r="J96"/>
  <c r="G96"/>
  <c r="O96" s="1"/>
  <c r="N96" s="1"/>
  <c r="J94"/>
  <c r="I93"/>
  <c r="H93"/>
  <c r="F93"/>
  <c r="E93"/>
  <c r="J92"/>
  <c r="R92"/>
  <c r="U91"/>
  <c r="T91"/>
  <c r="J91"/>
  <c r="O91"/>
  <c r="N91" s="1"/>
  <c r="U90"/>
  <c r="T90"/>
  <c r="J90"/>
  <c r="O90"/>
  <c r="N90" s="1"/>
  <c r="U89"/>
  <c r="T89"/>
  <c r="J89"/>
  <c r="O89"/>
  <c r="N89" s="1"/>
  <c r="J87"/>
  <c r="G93"/>
  <c r="I86"/>
  <c r="I109" s="1"/>
  <c r="H86"/>
  <c r="H109" s="1"/>
  <c r="F86"/>
  <c r="F109" s="1"/>
  <c r="E86"/>
  <c r="E109" s="1"/>
  <c r="J85"/>
  <c r="R85"/>
  <c r="U84"/>
  <c r="T84"/>
  <c r="J84"/>
  <c r="O84"/>
  <c r="N84" s="1"/>
  <c r="U83"/>
  <c r="T83"/>
  <c r="J83"/>
  <c r="O83"/>
  <c r="N83" s="1"/>
  <c r="U82"/>
  <c r="T82"/>
  <c r="J82"/>
  <c r="O82"/>
  <c r="N82" s="1"/>
  <c r="U81"/>
  <c r="T81"/>
  <c r="J81"/>
  <c r="O81"/>
  <c r="N81" s="1"/>
  <c r="U80"/>
  <c r="T80"/>
  <c r="J80"/>
  <c r="O80"/>
  <c r="N80" s="1"/>
  <c r="R69"/>
  <c r="P69"/>
  <c r="M69"/>
  <c r="I69"/>
  <c r="H69"/>
  <c r="F69"/>
  <c r="E69"/>
  <c r="O69"/>
  <c r="I67"/>
  <c r="H67"/>
  <c r="F67"/>
  <c r="E67"/>
  <c r="R66"/>
  <c r="P66"/>
  <c r="U66"/>
  <c r="U65"/>
  <c r="T65"/>
  <c r="J65"/>
  <c r="O65"/>
  <c r="N65" s="1"/>
  <c r="J63"/>
  <c r="I62"/>
  <c r="H62"/>
  <c r="F62"/>
  <c r="E62"/>
  <c r="J61"/>
  <c r="T61" s="1"/>
  <c r="U61" s="1"/>
  <c r="G61"/>
  <c r="R61" s="1"/>
  <c r="U60"/>
  <c r="T60"/>
  <c r="J60"/>
  <c r="O60"/>
  <c r="N60" s="1"/>
  <c r="U59"/>
  <c r="T59"/>
  <c r="J59"/>
  <c r="O59"/>
  <c r="N59" s="1"/>
  <c r="U58"/>
  <c r="T58"/>
  <c r="J58"/>
  <c r="O58"/>
  <c r="N58" s="1"/>
  <c r="J56"/>
  <c r="T56" s="1"/>
  <c r="U56" s="1"/>
  <c r="I55"/>
  <c r="H55"/>
  <c r="H77" s="1"/>
  <c r="F55"/>
  <c r="F77" s="1"/>
  <c r="E55"/>
  <c r="E77" s="1"/>
  <c r="R54"/>
  <c r="P54"/>
  <c r="J54"/>
  <c r="T54" s="1"/>
  <c r="U54" s="1"/>
  <c r="U53"/>
  <c r="T53"/>
  <c r="J53"/>
  <c r="O53"/>
  <c r="N53" s="1"/>
  <c r="U52"/>
  <c r="T52"/>
  <c r="J52"/>
  <c r="O52"/>
  <c r="N52" s="1"/>
  <c r="U51"/>
  <c r="T51"/>
  <c r="J51"/>
  <c r="O51"/>
  <c r="N51" s="1"/>
  <c r="U50"/>
  <c r="T50"/>
  <c r="J50"/>
  <c r="O50"/>
  <c r="N50" s="1"/>
  <c r="U49"/>
  <c r="T49"/>
  <c r="J49"/>
  <c r="O49"/>
  <c r="N49" s="1"/>
  <c r="J47"/>
  <c r="R38"/>
  <c r="P38"/>
  <c r="M38"/>
  <c r="I38"/>
  <c r="H38"/>
  <c r="F38"/>
  <c r="E38"/>
  <c r="J37"/>
  <c r="O37" s="1"/>
  <c r="U34"/>
  <c r="T34"/>
  <c r="U33"/>
  <c r="T33"/>
  <c r="J33"/>
  <c r="G33"/>
  <c r="O33" s="1"/>
  <c r="N33" s="1"/>
  <c r="J31"/>
  <c r="P31"/>
  <c r="P36" s="1"/>
  <c r="I30"/>
  <c r="H30"/>
  <c r="F30"/>
  <c r="E30"/>
  <c r="J29"/>
  <c r="R29"/>
  <c r="U28"/>
  <c r="T28"/>
  <c r="J28"/>
  <c r="O28"/>
  <c r="N28" s="1"/>
  <c r="U27"/>
  <c r="T27"/>
  <c r="J27"/>
  <c r="O27"/>
  <c r="N27" s="1"/>
  <c r="U26"/>
  <c r="T26"/>
  <c r="J26"/>
  <c r="O26"/>
  <c r="N26" s="1"/>
  <c r="J24"/>
  <c r="T24" s="1"/>
  <c r="U24" s="1"/>
  <c r="I23"/>
  <c r="H23"/>
  <c r="F23"/>
  <c r="F46" s="1"/>
  <c r="E23"/>
  <c r="E46" s="1"/>
  <c r="J22"/>
  <c r="T22" s="1"/>
  <c r="U22" s="1"/>
  <c r="U21"/>
  <c r="T21"/>
  <c r="J21"/>
  <c r="O21"/>
  <c r="N21" s="1"/>
  <c r="U20"/>
  <c r="T20"/>
  <c r="J20"/>
  <c r="G20"/>
  <c r="O20" s="1"/>
  <c r="N20" s="1"/>
  <c r="U19"/>
  <c r="T19"/>
  <c r="J19"/>
  <c r="O19"/>
  <c r="N19" s="1"/>
  <c r="U18"/>
  <c r="T18"/>
  <c r="J18"/>
  <c r="O18"/>
  <c r="N18" s="1"/>
  <c r="U17"/>
  <c r="T17"/>
  <c r="J17"/>
  <c r="O17"/>
  <c r="N17" s="1"/>
  <c r="U16"/>
  <c r="T16"/>
  <c r="J16"/>
  <c r="O16"/>
  <c r="N16" s="1"/>
  <c r="U15"/>
  <c r="T15"/>
  <c r="J15"/>
  <c r="O15"/>
  <c r="N15" s="1"/>
  <c r="U14"/>
  <c r="T14"/>
  <c r="J14"/>
  <c r="G14"/>
  <c r="O14" s="1"/>
  <c r="N14" s="1"/>
  <c r="J12"/>
  <c r="Q102" i="3"/>
  <c r="S103"/>
  <c r="S97"/>
  <c r="S96"/>
  <c r="S90"/>
  <c r="S89"/>
  <c r="S83"/>
  <c r="S82"/>
  <c r="S73"/>
  <c r="S72"/>
  <c r="S63"/>
  <c r="S62"/>
  <c r="S56"/>
  <c r="S55"/>
  <c r="S48"/>
  <c r="S47"/>
  <c r="S40"/>
  <c r="S39"/>
  <c r="S33"/>
  <c r="S32"/>
  <c r="S25"/>
  <c r="S24"/>
  <c r="S20"/>
  <c r="S19"/>
  <c r="Q22"/>
  <c r="W119" i="12" l="1"/>
  <c r="T191" i="4"/>
  <c r="G173"/>
  <c r="G38"/>
  <c r="H46"/>
  <c r="I46"/>
  <c r="I181"/>
  <c r="I77"/>
  <c r="I144"/>
  <c r="R22"/>
  <c r="O22"/>
  <c r="R36"/>
  <c r="R63"/>
  <c r="R67" s="1"/>
  <c r="P63"/>
  <c r="G120"/>
  <c r="G134"/>
  <c r="R130"/>
  <c r="P130"/>
  <c r="G155"/>
  <c r="G23"/>
  <c r="G69"/>
  <c r="R94"/>
  <c r="R99" s="1"/>
  <c r="P94"/>
  <c r="G101"/>
  <c r="G136"/>
  <c r="N171"/>
  <c r="T171" s="1"/>
  <c r="T173" s="1"/>
  <c r="U173" s="1"/>
  <c r="P195"/>
  <c r="P197" s="1"/>
  <c r="G204"/>
  <c r="G86"/>
  <c r="N78"/>
  <c r="O54"/>
  <c r="N54" s="1"/>
  <c r="P92"/>
  <c r="P99"/>
  <c r="T154"/>
  <c r="O189"/>
  <c r="R189"/>
  <c r="R55"/>
  <c r="J66"/>
  <c r="T66"/>
  <c r="O162"/>
  <c r="N190"/>
  <c r="R197"/>
  <c r="R212" s="1"/>
  <c r="G30"/>
  <c r="P29"/>
  <c r="G62"/>
  <c r="P61"/>
  <c r="P67"/>
  <c r="G67"/>
  <c r="G99"/>
  <c r="G129"/>
  <c r="P128"/>
  <c r="O133"/>
  <c r="P153"/>
  <c r="G164"/>
  <c r="P162"/>
  <c r="T163"/>
  <c r="P165"/>
  <c r="P189"/>
  <c r="P212" s="1"/>
  <c r="O200"/>
  <c r="N200" s="1"/>
  <c r="O173"/>
  <c r="O201"/>
  <c r="N201" s="1"/>
  <c r="G55"/>
  <c r="P55"/>
  <c r="P22"/>
  <c r="P23" s="1"/>
  <c r="P24"/>
  <c r="O29"/>
  <c r="O31"/>
  <c r="O36" s="1"/>
  <c r="P134"/>
  <c r="T62"/>
  <c r="T98"/>
  <c r="U98"/>
  <c r="O24"/>
  <c r="R24"/>
  <c r="R30" s="1"/>
  <c r="P56"/>
  <c r="O61"/>
  <c r="O63"/>
  <c r="O66"/>
  <c r="N66" s="1"/>
  <c r="R86"/>
  <c r="P85"/>
  <c r="P86" s="1"/>
  <c r="P87"/>
  <c r="P93" s="1"/>
  <c r="O92"/>
  <c r="O94"/>
  <c r="O98"/>
  <c r="N100"/>
  <c r="R120"/>
  <c r="P119"/>
  <c r="P121"/>
  <c r="P129" s="1"/>
  <c r="O128"/>
  <c r="O130"/>
  <c r="R134"/>
  <c r="J133"/>
  <c r="P155"/>
  <c r="O153"/>
  <c r="O156"/>
  <c r="R156"/>
  <c r="R164" s="1"/>
  <c r="P157"/>
  <c r="P164" s="1"/>
  <c r="O165"/>
  <c r="R165"/>
  <c r="U169"/>
  <c r="N182"/>
  <c r="N198"/>
  <c r="T198" s="1"/>
  <c r="O56"/>
  <c r="R56"/>
  <c r="R62" s="1"/>
  <c r="O85"/>
  <c r="O87"/>
  <c r="R87"/>
  <c r="R93" s="1"/>
  <c r="O119"/>
  <c r="O121"/>
  <c r="R121"/>
  <c r="R129" s="1"/>
  <c r="R155"/>
  <c r="O157"/>
  <c r="O166"/>
  <c r="O195"/>
  <c r="U241" i="3"/>
  <c r="T241"/>
  <c r="N119" i="4" l="1"/>
  <c r="T119" s="1"/>
  <c r="N61"/>
  <c r="U191"/>
  <c r="T202"/>
  <c r="U198"/>
  <c r="U119"/>
  <c r="T190"/>
  <c r="U190" s="1"/>
  <c r="N189"/>
  <c r="P109"/>
  <c r="U78"/>
  <c r="R23"/>
  <c r="R46" s="1"/>
  <c r="U183"/>
  <c r="R77"/>
  <c r="N173"/>
  <c r="U171"/>
  <c r="U182"/>
  <c r="V182"/>
  <c r="N166"/>
  <c r="X171"/>
  <c r="R144"/>
  <c r="R109"/>
  <c r="N157"/>
  <c r="T157" s="1"/>
  <c r="U157" s="1"/>
  <c r="R170"/>
  <c r="R181" s="1"/>
  <c r="N128"/>
  <c r="T128" s="1"/>
  <c r="N92"/>
  <c r="T92" s="1"/>
  <c r="U92" s="1"/>
  <c r="P30"/>
  <c r="P46" s="1"/>
  <c r="G77"/>
  <c r="N162"/>
  <c r="T162" s="1"/>
  <c r="U162" s="1"/>
  <c r="U164" s="1"/>
  <c r="G46"/>
  <c r="G181"/>
  <c r="Y172" s="1"/>
  <c r="Z172" s="1"/>
  <c r="Z173" s="1"/>
  <c r="G109"/>
  <c r="N12"/>
  <c r="G144"/>
  <c r="N101"/>
  <c r="T101" s="1"/>
  <c r="U101" s="1"/>
  <c r="T100"/>
  <c r="U100" s="1"/>
  <c r="N202"/>
  <c r="U202"/>
  <c r="P170"/>
  <c r="P181" s="1"/>
  <c r="N153"/>
  <c r="T153" s="1"/>
  <c r="U153" s="1"/>
  <c r="P120"/>
  <c r="P144" s="1"/>
  <c r="P62"/>
  <c r="P77" s="1"/>
  <c r="N29"/>
  <c r="N68"/>
  <c r="O202"/>
  <c r="N195"/>
  <c r="T195" s="1"/>
  <c r="U195" s="1"/>
  <c r="N85"/>
  <c r="O129"/>
  <c r="N121"/>
  <c r="T121" s="1"/>
  <c r="U121" s="1"/>
  <c r="O170"/>
  <c r="N165"/>
  <c r="T165" s="1"/>
  <c r="U165" s="1"/>
  <c r="N110"/>
  <c r="T120" s="1"/>
  <c r="O120"/>
  <c r="O86"/>
  <c r="O93"/>
  <c r="N87"/>
  <c r="N203"/>
  <c r="O204"/>
  <c r="O164"/>
  <c r="N156"/>
  <c r="T156" s="1"/>
  <c r="U156" s="1"/>
  <c r="N135"/>
  <c r="O136"/>
  <c r="N130"/>
  <c r="T130" s="1"/>
  <c r="O134"/>
  <c r="O99"/>
  <c r="N94"/>
  <c r="T94" s="1"/>
  <c r="O67"/>
  <c r="N63"/>
  <c r="T63" s="1"/>
  <c r="O38"/>
  <c r="N37"/>
  <c r="N31"/>
  <c r="O23"/>
  <c r="O197"/>
  <c r="O212" s="1"/>
  <c r="N212" s="1"/>
  <c r="N22"/>
  <c r="U62"/>
  <c r="O155"/>
  <c r="N145"/>
  <c r="T145" s="1"/>
  <c r="O62"/>
  <c r="N56"/>
  <c r="N62" s="1"/>
  <c r="U133"/>
  <c r="T133"/>
  <c r="O30"/>
  <c r="N24"/>
  <c r="O55"/>
  <c r="N47"/>
  <c r="N22" i="3"/>
  <c r="W144" i="4" l="1"/>
  <c r="X144" s="1"/>
  <c r="W109"/>
  <c r="X109" s="1"/>
  <c r="W23"/>
  <c r="N86"/>
  <c r="T85"/>
  <c r="N93"/>
  <c r="T87"/>
  <c r="O77"/>
  <c r="O181"/>
  <c r="U189"/>
  <c r="T197"/>
  <c r="U128"/>
  <c r="U129" s="1"/>
  <c r="T129"/>
  <c r="T29"/>
  <c r="U29" s="1"/>
  <c r="U30" s="1"/>
  <c r="N36"/>
  <c r="T31"/>
  <c r="T36" s="1"/>
  <c r="W36"/>
  <c r="T164"/>
  <c r="U166"/>
  <c r="U170" s="1"/>
  <c r="O144"/>
  <c r="N144" s="1"/>
  <c r="O109"/>
  <c r="O46"/>
  <c r="N46" s="1"/>
  <c r="N204"/>
  <c r="T204" s="1"/>
  <c r="U204" s="1"/>
  <c r="T203"/>
  <c r="U203" s="1"/>
  <c r="T189"/>
  <c r="N170"/>
  <c r="N129"/>
  <c r="N181"/>
  <c r="N77"/>
  <c r="N164"/>
  <c r="P213"/>
  <c r="W212"/>
  <c r="X212" s="1"/>
  <c r="U12"/>
  <c r="U23" s="1"/>
  <c r="T23"/>
  <c r="W46"/>
  <c r="X46" s="1"/>
  <c r="N155"/>
  <c r="N136"/>
  <c r="T136" s="1"/>
  <c r="U136" s="1"/>
  <c r="T135"/>
  <c r="U135" s="1"/>
  <c r="N120"/>
  <c r="U110"/>
  <c r="N69"/>
  <c r="T69" s="1"/>
  <c r="U69" s="1"/>
  <c r="T68"/>
  <c r="U68" s="1"/>
  <c r="N55"/>
  <c r="N99"/>
  <c r="N67"/>
  <c r="N23"/>
  <c r="N38"/>
  <c r="T37"/>
  <c r="N30"/>
  <c r="N134"/>
  <c r="U130"/>
  <c r="U134" s="1"/>
  <c r="N197"/>
  <c r="N109"/>
  <c r="U255" i="3"/>
  <c r="T255"/>
  <c r="T259" s="1"/>
  <c r="Q255"/>
  <c r="Q259" s="1"/>
  <c r="U248"/>
  <c r="T248"/>
  <c r="Q248"/>
  <c r="U247"/>
  <c r="T247"/>
  <c r="Q247"/>
  <c r="T30" i="4" l="1"/>
  <c r="U87"/>
  <c r="U93" s="1"/>
  <c r="T93"/>
  <c r="U85"/>
  <c r="T86"/>
  <c r="U86" s="1"/>
  <c r="T170"/>
  <c r="W170"/>
  <c r="R213"/>
  <c r="W181"/>
  <c r="X181" s="1"/>
  <c r="V137"/>
  <c r="U145"/>
  <c r="U155" s="1"/>
  <c r="U181" s="1"/>
  <c r="T155"/>
  <c r="U47"/>
  <c r="U55" s="1"/>
  <c r="T55"/>
  <c r="U94"/>
  <c r="U99" s="1"/>
  <c r="U109" s="1"/>
  <c r="T99"/>
  <c r="U63"/>
  <c r="U67" s="1"/>
  <c r="T67"/>
  <c r="U31"/>
  <c r="U36" s="1"/>
  <c r="U37"/>
  <c r="U38" s="1"/>
  <c r="T38"/>
  <c r="T46" s="1"/>
  <c r="W34" s="1"/>
  <c r="O213"/>
  <c r="T134"/>
  <c r="U242" i="3"/>
  <c r="T242"/>
  <c r="Q242"/>
  <c r="V241"/>
  <c r="Q241"/>
  <c r="V214"/>
  <c r="U214"/>
  <c r="V199"/>
  <c r="V200"/>
  <c r="U199"/>
  <c r="U200"/>
  <c r="V190"/>
  <c r="V188"/>
  <c r="U190"/>
  <c r="U188"/>
  <c r="V140"/>
  <c r="U140"/>
  <c r="V137"/>
  <c r="U137"/>
  <c r="O255"/>
  <c r="O248"/>
  <c r="O247"/>
  <c r="O242"/>
  <c r="O241"/>
  <c r="G14"/>
  <c r="T109" i="4" l="1"/>
  <c r="W99" s="1"/>
  <c r="U46"/>
  <c r="T181"/>
  <c r="T77"/>
  <c r="W66" s="1"/>
  <c r="U77"/>
  <c r="T144"/>
  <c r="W136" s="1"/>
  <c r="W77"/>
  <c r="X77" s="1"/>
  <c r="U120"/>
  <c r="U144" s="1"/>
  <c r="Q14" i="3"/>
  <c r="N14"/>
  <c r="G257"/>
  <c r="U257" s="1"/>
  <c r="J268"/>
  <c r="J267"/>
  <c r="Z181" i="4" l="1"/>
  <c r="W171"/>
  <c r="V257" i="3"/>
  <c r="N241"/>
  <c r="F133"/>
  <c r="T154"/>
  <c r="T142"/>
  <c r="Q142"/>
  <c r="G260"/>
  <c r="O260" s="1"/>
  <c r="G132"/>
  <c r="G133" s="1"/>
  <c r="G129"/>
  <c r="O257"/>
  <c r="G258"/>
  <c r="J258"/>
  <c r="J257"/>
  <c r="O252"/>
  <c r="G252"/>
  <c r="T252" s="1"/>
  <c r="G253"/>
  <c r="O253" s="1"/>
  <c r="K252"/>
  <c r="G251"/>
  <c r="O251" s="1"/>
  <c r="G250"/>
  <c r="O250" s="1"/>
  <c r="G245"/>
  <c r="O245" s="1"/>
  <c r="G244"/>
  <c r="J244"/>
  <c r="K236"/>
  <c r="K233"/>
  <c r="K232"/>
  <c r="G238"/>
  <c r="O238" s="1"/>
  <c r="G236"/>
  <c r="G235"/>
  <c r="O235" s="1"/>
  <c r="G233"/>
  <c r="G232"/>
  <c r="T232" s="1"/>
  <c r="K229"/>
  <c r="K224"/>
  <c r="K223"/>
  <c r="G227"/>
  <c r="O227" s="1"/>
  <c r="G228"/>
  <c r="O228" s="1"/>
  <c r="G229"/>
  <c r="Q229" s="1"/>
  <c r="G230"/>
  <c r="G226"/>
  <c r="O226" s="1"/>
  <c r="G224"/>
  <c r="Q224" s="1"/>
  <c r="G223"/>
  <c r="T223" s="1"/>
  <c r="K220"/>
  <c r="J214"/>
  <c r="G214"/>
  <c r="O214" s="1"/>
  <c r="N214" s="1"/>
  <c r="K212"/>
  <c r="G216"/>
  <c r="O216" s="1"/>
  <c r="G217"/>
  <c r="O217" s="1"/>
  <c r="G218"/>
  <c r="O218" s="1"/>
  <c r="G219"/>
  <c r="O219" s="1"/>
  <c r="G220"/>
  <c r="T220" s="1"/>
  <c r="G221"/>
  <c r="O221" s="1"/>
  <c r="G215"/>
  <c r="O215" s="1"/>
  <c r="G212"/>
  <c r="T212" s="1"/>
  <c r="G209"/>
  <c r="O209" s="1"/>
  <c r="K207"/>
  <c r="K204"/>
  <c r="J204" s="1"/>
  <c r="G206"/>
  <c r="O206" s="1"/>
  <c r="G204"/>
  <c r="Q204" s="1"/>
  <c r="J200"/>
  <c r="G200"/>
  <c r="O200" s="1"/>
  <c r="N200" s="1"/>
  <c r="J199"/>
  <c r="G199"/>
  <c r="O199" s="1"/>
  <c r="N199" s="1"/>
  <c r="K202"/>
  <c r="K195"/>
  <c r="G198"/>
  <c r="O198" s="1"/>
  <c r="G201"/>
  <c r="O201" s="1"/>
  <c r="G202"/>
  <c r="T202" s="1"/>
  <c r="G197"/>
  <c r="O197" s="1"/>
  <c r="G195"/>
  <c r="O195" s="1"/>
  <c r="J190"/>
  <c r="G190"/>
  <c r="O190" s="1"/>
  <c r="N190" s="1"/>
  <c r="G188"/>
  <c r="O188" s="1"/>
  <c r="N188" s="1"/>
  <c r="J188"/>
  <c r="K193"/>
  <c r="G193"/>
  <c r="T193" s="1"/>
  <c r="G187"/>
  <c r="O187" s="1"/>
  <c r="G189"/>
  <c r="O189" s="1"/>
  <c r="G191"/>
  <c r="O191" s="1"/>
  <c r="G192"/>
  <c r="O192" s="1"/>
  <c r="G186"/>
  <c r="O186" s="1"/>
  <c r="K184"/>
  <c r="G184"/>
  <c r="K179"/>
  <c r="K175"/>
  <c r="G181"/>
  <c r="O181" s="1"/>
  <c r="G179"/>
  <c r="G178"/>
  <c r="O178" s="1"/>
  <c r="G177"/>
  <c r="O177" s="1"/>
  <c r="G175"/>
  <c r="O175" s="1"/>
  <c r="K173"/>
  <c r="G171"/>
  <c r="O171" s="1"/>
  <c r="G172"/>
  <c r="O172" s="1"/>
  <c r="G173"/>
  <c r="O173" s="1"/>
  <c r="G170"/>
  <c r="O170" s="1"/>
  <c r="K168"/>
  <c r="G168"/>
  <c r="K166"/>
  <c r="G166"/>
  <c r="G162"/>
  <c r="O162" s="1"/>
  <c r="G163"/>
  <c r="O163" s="1"/>
  <c r="G164"/>
  <c r="O164" s="1"/>
  <c r="G165"/>
  <c r="O165" s="1"/>
  <c r="G161"/>
  <c r="O161" s="1"/>
  <c r="K159"/>
  <c r="G159"/>
  <c r="O159" s="1"/>
  <c r="G156"/>
  <c r="O156" s="1"/>
  <c r="K154"/>
  <c r="O154" s="1"/>
  <c r="K151"/>
  <c r="G153"/>
  <c r="O153" s="1"/>
  <c r="G151"/>
  <c r="O151" s="1"/>
  <c r="K149"/>
  <c r="K144"/>
  <c r="G149"/>
  <c r="O149" s="1"/>
  <c r="G147"/>
  <c r="O147" s="1"/>
  <c r="G148"/>
  <c r="O148" s="1"/>
  <c r="G146"/>
  <c r="O146" s="1"/>
  <c r="G144"/>
  <c r="O144" s="1"/>
  <c r="G138"/>
  <c r="O138" s="1"/>
  <c r="G139"/>
  <c r="O139" s="1"/>
  <c r="G140"/>
  <c r="O140" s="1"/>
  <c r="N140" s="1"/>
  <c r="G141"/>
  <c r="O141" s="1"/>
  <c r="G137"/>
  <c r="O137" s="1"/>
  <c r="N137" s="1"/>
  <c r="G135"/>
  <c r="O135" s="1"/>
  <c r="K135"/>
  <c r="K142"/>
  <c r="O142" s="1"/>
  <c r="J140"/>
  <c r="J137"/>
  <c r="K125"/>
  <c r="K127"/>
  <c r="K120"/>
  <c r="K118"/>
  <c r="K108"/>
  <c r="J108" s="1"/>
  <c r="I131"/>
  <c r="H131"/>
  <c r="F131"/>
  <c r="E131"/>
  <c r="O129"/>
  <c r="G127"/>
  <c r="G125"/>
  <c r="O125" s="1"/>
  <c r="G123"/>
  <c r="O123" s="1"/>
  <c r="G124"/>
  <c r="O124" s="1"/>
  <c r="G122"/>
  <c r="O122" s="1"/>
  <c r="G120"/>
  <c r="O120" s="1"/>
  <c r="G118"/>
  <c r="G111"/>
  <c r="O111" s="1"/>
  <c r="G112"/>
  <c r="O112" s="1"/>
  <c r="G113"/>
  <c r="O113" s="1"/>
  <c r="G114"/>
  <c r="O114" s="1"/>
  <c r="G115"/>
  <c r="O115" s="1"/>
  <c r="N115" s="1"/>
  <c r="G116"/>
  <c r="O116" s="1"/>
  <c r="G117"/>
  <c r="O117" s="1"/>
  <c r="G110"/>
  <c r="O110" s="1"/>
  <c r="V115"/>
  <c r="U115"/>
  <c r="J115"/>
  <c r="G108"/>
  <c r="T108" s="1"/>
  <c r="O244" l="1"/>
  <c r="U244"/>
  <c r="V244" s="1"/>
  <c r="O258"/>
  <c r="N258" s="1"/>
  <c r="U258"/>
  <c r="O118"/>
  <c r="O127"/>
  <c r="O166"/>
  <c r="O168"/>
  <c r="O179"/>
  <c r="O184"/>
  <c r="O233"/>
  <c r="O220"/>
  <c r="Q166"/>
  <c r="Q195"/>
  <c r="Q220"/>
  <c r="T173"/>
  <c r="N257"/>
  <c r="Q149"/>
  <c r="Q173"/>
  <c r="Q252"/>
  <c r="T149"/>
  <c r="T166"/>
  <c r="T195"/>
  <c r="Q233"/>
  <c r="T233"/>
  <c r="Q232"/>
  <c r="O232"/>
  <c r="O229"/>
  <c r="O224"/>
  <c r="T224"/>
  <c r="O223"/>
  <c r="Q223"/>
  <c r="O212"/>
  <c r="Q212"/>
  <c r="T204"/>
  <c r="O204"/>
  <c r="O202"/>
  <c r="Q202"/>
  <c r="Q193"/>
  <c r="O193"/>
  <c r="Q184"/>
  <c r="T184"/>
  <c r="Q175"/>
  <c r="T175"/>
  <c r="Q168"/>
  <c r="T168"/>
  <c r="Q159"/>
  <c r="T159"/>
  <c r="Q151"/>
  <c r="T151"/>
  <c r="Q144"/>
  <c r="T144"/>
  <c r="Q135"/>
  <c r="T135"/>
  <c r="Q127"/>
  <c r="T127"/>
  <c r="T125"/>
  <c r="Q125"/>
  <c r="Q120"/>
  <c r="T120"/>
  <c r="G119"/>
  <c r="T118"/>
  <c r="Q118"/>
  <c r="Q108"/>
  <c r="O14"/>
  <c r="O108"/>
  <c r="G126"/>
  <c r="V258" l="1"/>
  <c r="U259"/>
  <c r="O259"/>
  <c r="O22"/>
  <c r="K267"/>
  <c r="M22"/>
  <c r="M14"/>
  <c r="U14" s="1"/>
  <c r="I81"/>
  <c r="H81"/>
  <c r="F81"/>
  <c r="E81"/>
  <c r="G15"/>
  <c r="J177" l="1"/>
  <c r="J178"/>
  <c r="H38"/>
  <c r="U38" s="1"/>
  <c r="I102" l="1"/>
  <c r="I95"/>
  <c r="I88"/>
  <c r="I71"/>
  <c r="I61"/>
  <c r="I54"/>
  <c r="I46"/>
  <c r="I38"/>
  <c r="I31"/>
  <c r="I18"/>
  <c r="H102"/>
  <c r="H95"/>
  <c r="H88"/>
  <c r="H71"/>
  <c r="H61"/>
  <c r="H54"/>
  <c r="H46"/>
  <c r="H31"/>
  <c r="H18"/>
  <c r="M15"/>
  <c r="O21"/>
  <c r="M16"/>
  <c r="U16" s="1"/>
  <c r="M18"/>
  <c r="G23"/>
  <c r="Q23" s="1"/>
  <c r="E102"/>
  <c r="E95"/>
  <c r="E88"/>
  <c r="E71"/>
  <c r="E61"/>
  <c r="E54"/>
  <c r="E46"/>
  <c r="E38"/>
  <c r="E31"/>
  <c r="E18"/>
  <c r="F18"/>
  <c r="G16"/>
  <c r="O16" s="1"/>
  <c r="Q38" l="1"/>
  <c r="T22"/>
  <c r="U22" s="1"/>
  <c r="V248"/>
  <c r="V247"/>
  <c r="V255"/>
  <c r="V259" s="1"/>
  <c r="N260"/>
  <c r="Q154"/>
  <c r="G167"/>
  <c r="G150"/>
  <c r="N108"/>
  <c r="U21" l="1"/>
  <c r="V22"/>
  <c r="N125"/>
  <c r="U125" s="1"/>
  <c r="V125" s="1"/>
  <c r="J125"/>
  <c r="F102" l="1"/>
  <c r="F95"/>
  <c r="F88"/>
  <c r="M76"/>
  <c r="G80" l="1"/>
  <c r="O80" s="1"/>
  <c r="G79"/>
  <c r="O79" s="1"/>
  <c r="M79"/>
  <c r="U79" s="1"/>
  <c r="N79"/>
  <c r="V79"/>
  <c r="M80"/>
  <c r="U80" s="1"/>
  <c r="M74"/>
  <c r="F71"/>
  <c r="G70"/>
  <c r="Q70" s="1"/>
  <c r="M70"/>
  <c r="U70" s="1"/>
  <c r="M68"/>
  <c r="V68" s="1"/>
  <c r="G68"/>
  <c r="Q68" s="1"/>
  <c r="M69"/>
  <c r="V69" s="1"/>
  <c r="G69"/>
  <c r="F61"/>
  <c r="F54"/>
  <c r="G52"/>
  <c r="Q52" s="1"/>
  <c r="G51"/>
  <c r="O51" s="1"/>
  <c r="M52"/>
  <c r="U52" s="1"/>
  <c r="F46"/>
  <c r="F38"/>
  <c r="G38" s="1"/>
  <c r="F31"/>
  <c r="G31" s="1"/>
  <c r="Q31" s="1"/>
  <c r="G17"/>
  <c r="M17"/>
  <c r="V16"/>
  <c r="V15"/>
  <c r="Q69" l="1"/>
  <c r="N69"/>
  <c r="N80"/>
  <c r="Q80"/>
  <c r="Q79"/>
  <c r="T79" s="1"/>
  <c r="N70"/>
  <c r="N16"/>
  <c r="Q15"/>
  <c r="O15"/>
  <c r="N15"/>
  <c r="N17"/>
  <c r="O17"/>
  <c r="G18"/>
  <c r="Q18" s="1"/>
  <c r="N51"/>
  <c r="O70"/>
  <c r="G71"/>
  <c r="N71" s="1"/>
  <c r="V80"/>
  <c r="G54"/>
  <c r="Q16"/>
  <c r="O68"/>
  <c r="Q51"/>
  <c r="V52"/>
  <c r="N68"/>
  <c r="U68"/>
  <c r="V70"/>
  <c r="U69"/>
  <c r="U15"/>
  <c r="N52"/>
  <c r="O52"/>
  <c r="O69"/>
  <c r="U18"/>
  <c r="K268"/>
  <c r="I259"/>
  <c r="H259"/>
  <c r="T69" l="1"/>
  <c r="O13"/>
  <c r="T80"/>
  <c r="T15"/>
  <c r="T51"/>
  <c r="T16"/>
  <c r="N13"/>
  <c r="T70"/>
  <c r="T52"/>
  <c r="T68"/>
  <c r="V18"/>
  <c r="T14"/>
  <c r="G259"/>
  <c r="F259"/>
  <c r="E259"/>
  <c r="V218"/>
  <c r="U218"/>
  <c r="J218"/>
  <c r="N218"/>
  <c r="V217"/>
  <c r="U217"/>
  <c r="J217"/>
  <c r="N217"/>
  <c r="V186"/>
  <c r="V187"/>
  <c r="U186"/>
  <c r="U187"/>
  <c r="J186"/>
  <c r="N186"/>
  <c r="J187"/>
  <c r="N187"/>
  <c r="V162"/>
  <c r="U162"/>
  <c r="J162"/>
  <c r="N162"/>
  <c r="E155"/>
  <c r="J144"/>
  <c r="J142"/>
  <c r="V129"/>
  <c r="U129"/>
  <c r="J129"/>
  <c r="N129"/>
  <c r="V116"/>
  <c r="U116"/>
  <c r="J116"/>
  <c r="N116"/>
  <c r="V111"/>
  <c r="U111"/>
  <c r="J111"/>
  <c r="N111"/>
  <c r="G81"/>
  <c r="N81" s="1"/>
  <c r="G30"/>
  <c r="N255"/>
  <c r="N259" s="1"/>
  <c r="V227"/>
  <c r="U227"/>
  <c r="J227"/>
  <c r="N227"/>
  <c r="E133"/>
  <c r="G78"/>
  <c r="G76"/>
  <c r="N76" s="1"/>
  <c r="G77"/>
  <c r="G53"/>
  <c r="Q53" s="1"/>
  <c r="V253" l="1"/>
  <c r="U253"/>
  <c r="J253"/>
  <c r="N253"/>
  <c r="V245"/>
  <c r="U245"/>
  <c r="N245"/>
  <c r="J245"/>
  <c r="V215" l="1"/>
  <c r="U215"/>
  <c r="U216"/>
  <c r="U219"/>
  <c r="J215"/>
  <c r="N215"/>
  <c r="G100"/>
  <c r="G101"/>
  <c r="Q101" s="1"/>
  <c r="G102"/>
  <c r="G99"/>
  <c r="G93"/>
  <c r="G94"/>
  <c r="G95"/>
  <c r="Q95" s="1"/>
  <c r="G92"/>
  <c r="M87"/>
  <c r="U87" s="1"/>
  <c r="G87"/>
  <c r="Q87" s="1"/>
  <c r="G86"/>
  <c r="Q86" s="1"/>
  <c r="G88"/>
  <c r="Q88" s="1"/>
  <c r="G85"/>
  <c r="O85" s="1"/>
  <c r="Q76"/>
  <c r="Q78"/>
  <c r="N78"/>
  <c r="O76"/>
  <c r="Q77"/>
  <c r="O78"/>
  <c r="G75"/>
  <c r="Q75" s="1"/>
  <c r="G67"/>
  <c r="M67"/>
  <c r="U67" s="1"/>
  <c r="G66"/>
  <c r="Q71"/>
  <c r="G65"/>
  <c r="G60"/>
  <c r="Q60" s="1"/>
  <c r="G59"/>
  <c r="N59" s="1"/>
  <c r="G58"/>
  <c r="N58" s="1"/>
  <c r="N53"/>
  <c r="O53"/>
  <c r="G50"/>
  <c r="G45"/>
  <c r="O45" s="1"/>
  <c r="G44"/>
  <c r="Q44" s="1"/>
  <c r="G43"/>
  <c r="O43" s="1"/>
  <c r="G42"/>
  <c r="O42" s="1"/>
  <c r="G37"/>
  <c r="O37" s="1"/>
  <c r="G36"/>
  <c r="Q36" s="1"/>
  <c r="G35"/>
  <c r="Q35" s="1"/>
  <c r="Q30"/>
  <c r="G29"/>
  <c r="Q29" s="1"/>
  <c r="G28"/>
  <c r="Q28" s="1"/>
  <c r="G27"/>
  <c r="Q27" s="1"/>
  <c r="N18"/>
  <c r="N12" s="1"/>
  <c r="Q81"/>
  <c r="G61"/>
  <c r="Q61" s="1"/>
  <c r="Q54"/>
  <c r="G46"/>
  <c r="Q46" s="1"/>
  <c r="O99" l="1"/>
  <c r="Q99"/>
  <c r="N99"/>
  <c r="Q93"/>
  <c r="O93"/>
  <c r="Q92"/>
  <c r="O92"/>
  <c r="Q94"/>
  <c r="O94"/>
  <c r="Q100"/>
  <c r="Q98" s="1"/>
  <c r="N100"/>
  <c r="O75"/>
  <c r="N75"/>
  <c r="O67"/>
  <c r="N67"/>
  <c r="O66"/>
  <c r="N66"/>
  <c r="O65"/>
  <c r="O64" s="1"/>
  <c r="N65"/>
  <c r="N64" s="1"/>
  <c r="N63" s="1"/>
  <c r="Q26"/>
  <c r="Q25" s="1"/>
  <c r="O27"/>
  <c r="M53"/>
  <c r="V53" s="1"/>
  <c r="N35"/>
  <c r="O35"/>
  <c r="N45"/>
  <c r="Q45"/>
  <c r="O58"/>
  <c r="O71"/>
  <c r="Q66"/>
  <c r="N85"/>
  <c r="Q85"/>
  <c r="Q84" s="1"/>
  <c r="Q83" s="1"/>
  <c r="O50"/>
  <c r="O49" s="1"/>
  <c r="Q50"/>
  <c r="Q49" s="1"/>
  <c r="Q48" s="1"/>
  <c r="U53"/>
  <c r="N38"/>
  <c r="T38" s="1"/>
  <c r="O38"/>
  <c r="Q37"/>
  <c r="Q34" s="1"/>
  <c r="N43"/>
  <c r="Q43"/>
  <c r="O60"/>
  <c r="Q67"/>
  <c r="T53"/>
  <c r="N54"/>
  <c r="O54"/>
  <c r="O81"/>
  <c r="O77"/>
  <c r="Q74"/>
  <c r="N87"/>
  <c r="O87"/>
  <c r="N95"/>
  <c r="N93"/>
  <c r="O95"/>
  <c r="N102"/>
  <c r="O102"/>
  <c r="O100"/>
  <c r="N29"/>
  <c r="N42"/>
  <c r="O46"/>
  <c r="O44"/>
  <c r="O41" s="1"/>
  <c r="Q42"/>
  <c r="N50"/>
  <c r="N49" s="1"/>
  <c r="V67"/>
  <c r="Q65"/>
  <c r="Q64" s="1"/>
  <c r="O29"/>
  <c r="N27"/>
  <c r="N36"/>
  <c r="N37"/>
  <c r="O36"/>
  <c r="N46"/>
  <c r="N44"/>
  <c r="O61"/>
  <c r="N77"/>
  <c r="N88"/>
  <c r="N86"/>
  <c r="O88"/>
  <c r="O86"/>
  <c r="N92"/>
  <c r="N94"/>
  <c r="N101"/>
  <c r="O101"/>
  <c r="V87"/>
  <c r="Q58"/>
  <c r="N60"/>
  <c r="N57" s="1"/>
  <c r="O59"/>
  <c r="Q59"/>
  <c r="O28"/>
  <c r="O30"/>
  <c r="N28"/>
  <c r="N30"/>
  <c r="Q91" l="1"/>
  <c r="Q90" s="1"/>
  <c r="N98"/>
  <c r="O91"/>
  <c r="O90" s="1"/>
  <c r="O74"/>
  <c r="N74"/>
  <c r="N73" s="1"/>
  <c r="N97"/>
  <c r="O63"/>
  <c r="N48"/>
  <c r="T66"/>
  <c r="Q41"/>
  <c r="T67"/>
  <c r="T71"/>
  <c r="O84"/>
  <c r="O83" s="1"/>
  <c r="Q63"/>
  <c r="O98"/>
  <c r="O26"/>
  <c r="N84"/>
  <c r="N83" s="1"/>
  <c r="O34"/>
  <c r="Q57"/>
  <c r="T87"/>
  <c r="O57"/>
  <c r="O48"/>
  <c r="U17"/>
  <c r="U13" s="1"/>
  <c r="U12" s="1"/>
  <c r="V17"/>
  <c r="Q17"/>
  <c r="Q13" s="1"/>
  <c r="Q12" s="1"/>
  <c r="O18"/>
  <c r="O12" s="1"/>
  <c r="V198"/>
  <c r="V201"/>
  <c r="U198"/>
  <c r="U201"/>
  <c r="U197"/>
  <c r="U189"/>
  <c r="T18" l="1"/>
  <c r="T17"/>
  <c r="T13" s="1"/>
  <c r="V251"/>
  <c r="V250"/>
  <c r="U251"/>
  <c r="U250"/>
  <c r="N251"/>
  <c r="J251"/>
  <c r="J250"/>
  <c r="F261"/>
  <c r="H261"/>
  <c r="I261"/>
  <c r="N261"/>
  <c r="F222"/>
  <c r="H222"/>
  <c r="I222"/>
  <c r="J233"/>
  <c r="U233" s="1"/>
  <c r="F239"/>
  <c r="H239"/>
  <c r="I239"/>
  <c r="F231"/>
  <c r="H231"/>
  <c r="I231"/>
  <c r="F237"/>
  <c r="H237"/>
  <c r="I237"/>
  <c r="V235"/>
  <c r="U235"/>
  <c r="N235"/>
  <c r="J235"/>
  <c r="G237"/>
  <c r="V228"/>
  <c r="V226"/>
  <c r="U228"/>
  <c r="U226"/>
  <c r="N228"/>
  <c r="N226"/>
  <c r="J228"/>
  <c r="J226"/>
  <c r="N221"/>
  <c r="V219"/>
  <c r="V216"/>
  <c r="N216"/>
  <c r="J216"/>
  <c r="J219"/>
  <c r="G207"/>
  <c r="J198"/>
  <c r="J201"/>
  <c r="N209"/>
  <c r="F210"/>
  <c r="H210"/>
  <c r="I210"/>
  <c r="F208"/>
  <c r="H208"/>
  <c r="I208"/>
  <c r="V206"/>
  <c r="U206"/>
  <c r="N206"/>
  <c r="J206"/>
  <c r="F203"/>
  <c r="H203"/>
  <c r="I203"/>
  <c r="V197"/>
  <c r="J197"/>
  <c r="F194"/>
  <c r="H194"/>
  <c r="I194"/>
  <c r="V191"/>
  <c r="V192"/>
  <c r="V189"/>
  <c r="U191"/>
  <c r="U192"/>
  <c r="J191"/>
  <c r="J192"/>
  <c r="J189"/>
  <c r="V154"/>
  <c r="F155"/>
  <c r="H155"/>
  <c r="I155"/>
  <c r="J123"/>
  <c r="J124"/>
  <c r="J122"/>
  <c r="F182"/>
  <c r="H182"/>
  <c r="I182"/>
  <c r="V178"/>
  <c r="V177"/>
  <c r="U178"/>
  <c r="U177"/>
  <c r="F180"/>
  <c r="H180"/>
  <c r="I180"/>
  <c r="N177"/>
  <c r="N178"/>
  <c r="F167"/>
  <c r="H167"/>
  <c r="I167"/>
  <c r="F174"/>
  <c r="H174"/>
  <c r="I174"/>
  <c r="J170"/>
  <c r="J171"/>
  <c r="V171"/>
  <c r="V172"/>
  <c r="V170"/>
  <c r="U171"/>
  <c r="U172"/>
  <c r="U170"/>
  <c r="J172"/>
  <c r="N171"/>
  <c r="N170"/>
  <c r="N172"/>
  <c r="V163"/>
  <c r="V164"/>
  <c r="V165"/>
  <c r="V161"/>
  <c r="U163"/>
  <c r="U164"/>
  <c r="U165"/>
  <c r="U161"/>
  <c r="N163"/>
  <c r="N164"/>
  <c r="N165"/>
  <c r="N161"/>
  <c r="J161"/>
  <c r="J163"/>
  <c r="J164"/>
  <c r="J165"/>
  <c r="F157"/>
  <c r="H157"/>
  <c r="I157"/>
  <c r="V153"/>
  <c r="U153"/>
  <c r="N153"/>
  <c r="J153"/>
  <c r="F150"/>
  <c r="H150"/>
  <c r="I150"/>
  <c r="E150"/>
  <c r="V146"/>
  <c r="V147"/>
  <c r="V148"/>
  <c r="U146"/>
  <c r="U147"/>
  <c r="U148"/>
  <c r="J146"/>
  <c r="J147"/>
  <c r="J148"/>
  <c r="N146"/>
  <c r="N147"/>
  <c r="N148"/>
  <c r="H143"/>
  <c r="I143"/>
  <c r="F143"/>
  <c r="V138"/>
  <c r="V139"/>
  <c r="V141"/>
  <c r="U138"/>
  <c r="U139"/>
  <c r="U141"/>
  <c r="J138"/>
  <c r="J139"/>
  <c r="J141"/>
  <c r="N138"/>
  <c r="N139"/>
  <c r="N141"/>
  <c r="N123"/>
  <c r="N124"/>
  <c r="N122"/>
  <c r="N112"/>
  <c r="N113"/>
  <c r="N114"/>
  <c r="N117"/>
  <c r="N110"/>
  <c r="Q133"/>
  <c r="T133"/>
  <c r="T131"/>
  <c r="F126"/>
  <c r="V123"/>
  <c r="V124"/>
  <c r="V122"/>
  <c r="U123"/>
  <c r="U124"/>
  <c r="U122"/>
  <c r="V112"/>
  <c r="V113"/>
  <c r="V114"/>
  <c r="V117"/>
  <c r="V110"/>
  <c r="U112"/>
  <c r="U113"/>
  <c r="U114"/>
  <c r="U117"/>
  <c r="U110"/>
  <c r="J112"/>
  <c r="J113"/>
  <c r="J114"/>
  <c r="J117"/>
  <c r="J110"/>
  <c r="F119"/>
  <c r="L268"/>
  <c r="L267"/>
  <c r="T261"/>
  <c r="Q261"/>
  <c r="M261"/>
  <c r="E261"/>
  <c r="J260"/>
  <c r="V260" s="1"/>
  <c r="J252"/>
  <c r="V242"/>
  <c r="T246"/>
  <c r="Q246"/>
  <c r="T239"/>
  <c r="Q239"/>
  <c r="M239"/>
  <c r="E239"/>
  <c r="J238"/>
  <c r="V238" s="1"/>
  <c r="E237"/>
  <c r="J236"/>
  <c r="E231"/>
  <c r="T229"/>
  <c r="E222"/>
  <c r="J221"/>
  <c r="V221" s="1"/>
  <c r="T210"/>
  <c r="Q210"/>
  <c r="M210"/>
  <c r="E210"/>
  <c r="J209"/>
  <c r="V209" s="1"/>
  <c r="E208"/>
  <c r="J207"/>
  <c r="U207" s="1"/>
  <c r="E203"/>
  <c r="J202"/>
  <c r="E194"/>
  <c r="T182"/>
  <c r="Q182"/>
  <c r="M182"/>
  <c r="E182"/>
  <c r="J181"/>
  <c r="V181" s="1"/>
  <c r="E180"/>
  <c r="J179"/>
  <c r="E174"/>
  <c r="E167"/>
  <c r="T157"/>
  <c r="Q157"/>
  <c r="M157"/>
  <c r="E157"/>
  <c r="N156"/>
  <c r="J156"/>
  <c r="V156" s="1"/>
  <c r="V157" s="1"/>
  <c r="J151"/>
  <c r="U151" s="1"/>
  <c r="E143"/>
  <c r="U142"/>
  <c r="M133"/>
  <c r="I133"/>
  <c r="H133"/>
  <c r="J132"/>
  <c r="O132" s="1"/>
  <c r="V130"/>
  <c r="U130"/>
  <c r="I126"/>
  <c r="H126"/>
  <c r="E126"/>
  <c r="I119"/>
  <c r="H119"/>
  <c r="E119"/>
  <c r="M102"/>
  <c r="V102" s="1"/>
  <c r="M101"/>
  <c r="V101" s="1"/>
  <c r="M100"/>
  <c r="V100" s="1"/>
  <c r="O97"/>
  <c r="M99"/>
  <c r="M98"/>
  <c r="M97"/>
  <c r="M95"/>
  <c r="V95" s="1"/>
  <c r="M94"/>
  <c r="V94" s="1"/>
  <c r="M93"/>
  <c r="V93" s="1"/>
  <c r="M92"/>
  <c r="V92" s="1"/>
  <c r="M91"/>
  <c r="M90"/>
  <c r="M88"/>
  <c r="V88" s="1"/>
  <c r="M86"/>
  <c r="V86" s="1"/>
  <c r="M85"/>
  <c r="V85" s="1"/>
  <c r="M84"/>
  <c r="M83"/>
  <c r="M81"/>
  <c r="V81" s="1"/>
  <c r="M78"/>
  <c r="V78" s="1"/>
  <c r="M77"/>
  <c r="V77" s="1"/>
  <c r="V76"/>
  <c r="Q73"/>
  <c r="M75"/>
  <c r="V75" s="1"/>
  <c r="M73"/>
  <c r="M71"/>
  <c r="V71" s="1"/>
  <c r="M66"/>
  <c r="U66" s="1"/>
  <c r="M65"/>
  <c r="V65" s="1"/>
  <c r="M64"/>
  <c r="M63"/>
  <c r="N61"/>
  <c r="M61"/>
  <c r="U61" s="1"/>
  <c r="M60"/>
  <c r="V60" s="1"/>
  <c r="M59"/>
  <c r="U59" s="1"/>
  <c r="Q56"/>
  <c r="O56"/>
  <c r="M58"/>
  <c r="V58" s="1"/>
  <c r="M57"/>
  <c r="M56"/>
  <c r="M54"/>
  <c r="V54" s="1"/>
  <c r="M51"/>
  <c r="M50"/>
  <c r="V50" s="1"/>
  <c r="M49"/>
  <c r="M48"/>
  <c r="M46"/>
  <c r="V46" s="1"/>
  <c r="M45"/>
  <c r="V45" s="1"/>
  <c r="M44"/>
  <c r="V44" s="1"/>
  <c r="M43"/>
  <c r="V43" s="1"/>
  <c r="Q40"/>
  <c r="O40"/>
  <c r="M42"/>
  <c r="V42" s="1"/>
  <c r="M41"/>
  <c r="M40"/>
  <c r="M38"/>
  <c r="V38" s="1"/>
  <c r="M37"/>
  <c r="V37" s="1"/>
  <c r="M36"/>
  <c r="V36" s="1"/>
  <c r="O33"/>
  <c r="M35"/>
  <c r="V35" s="1"/>
  <c r="M34"/>
  <c r="M33"/>
  <c r="O31"/>
  <c r="O25" s="1"/>
  <c r="N31"/>
  <c r="M31"/>
  <c r="M30"/>
  <c r="V30" s="1"/>
  <c r="M29"/>
  <c r="V29" s="1"/>
  <c r="M28"/>
  <c r="V28" s="1"/>
  <c r="M27"/>
  <c r="M26"/>
  <c r="M25"/>
  <c r="O23"/>
  <c r="N23"/>
  <c r="M23"/>
  <c r="N21"/>
  <c r="Q21"/>
  <c r="Q20" s="1"/>
  <c r="M21"/>
  <c r="M20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Q207" i="3" l="1"/>
  <c r="O207"/>
  <c r="N20"/>
  <c r="V27"/>
  <c r="V26" s="1"/>
  <c r="U27"/>
  <c r="V23"/>
  <c r="U23"/>
  <c r="V99"/>
  <c r="V98" s="1"/>
  <c r="V97" s="1"/>
  <c r="U99"/>
  <c r="V132"/>
  <c r="V133" s="1"/>
  <c r="O133"/>
  <c r="V74"/>
  <c r="V73" s="1"/>
  <c r="T31"/>
  <c r="V14"/>
  <c r="V13" s="1"/>
  <c r="U51"/>
  <c r="V51"/>
  <c r="V49" s="1"/>
  <c r="V48" s="1"/>
  <c r="V31"/>
  <c r="U31"/>
  <c r="Q254"/>
  <c r="N174" i="1"/>
  <c r="M186"/>
  <c r="O186"/>
  <c r="O230" i="3"/>
  <c r="V182"/>
  <c r="V34"/>
  <c r="V33" s="1"/>
  <c r="V91"/>
  <c r="V90" s="1"/>
  <c r="V239"/>
  <c r="O246"/>
  <c r="N246" s="1"/>
  <c r="V246"/>
  <c r="G222"/>
  <c r="T126"/>
  <c r="Q126"/>
  <c r="V41"/>
  <c r="V40" s="1"/>
  <c r="V84"/>
  <c r="V83" s="1"/>
  <c r="N250"/>
  <c r="U246"/>
  <c r="G261"/>
  <c r="N219"/>
  <c r="N198"/>
  <c r="N191"/>
  <c r="Q222"/>
  <c r="T254"/>
  <c r="T262" s="1"/>
  <c r="N189"/>
  <c r="N201"/>
  <c r="N192"/>
  <c r="T222"/>
  <c r="Q237"/>
  <c r="G231"/>
  <c r="N197"/>
  <c r="V261"/>
  <c r="V233"/>
  <c r="G239"/>
  <c r="O73"/>
  <c r="Q97"/>
  <c r="Q104" s="1"/>
  <c r="O261"/>
  <c r="O208"/>
  <c r="N242"/>
  <c r="N248"/>
  <c r="G182"/>
  <c r="G157"/>
  <c r="T194"/>
  <c r="G194"/>
  <c r="G203"/>
  <c r="G208"/>
  <c r="Q208"/>
  <c r="T208"/>
  <c r="G155"/>
  <c r="G174"/>
  <c r="G210"/>
  <c r="Q167"/>
  <c r="U154"/>
  <c r="U155" s="1"/>
  <c r="J154"/>
  <c r="G143"/>
  <c r="N26"/>
  <c r="N25" s="1"/>
  <c r="O155" i="1"/>
  <c r="N168"/>
  <c r="L187"/>
  <c r="G180" i="3"/>
  <c r="O103" i="1"/>
  <c r="O151"/>
  <c r="T50" i="3"/>
  <c r="T49" s="1"/>
  <c r="O167"/>
  <c r="T180"/>
  <c r="G131"/>
  <c r="T167"/>
  <c r="Q174"/>
  <c r="Q180"/>
  <c r="Q33"/>
  <c r="P111" i="1"/>
  <c r="O119"/>
  <c r="P143"/>
  <c r="O168"/>
  <c r="T59" i="3"/>
  <c r="U204"/>
  <c r="U208" s="1"/>
  <c r="T231"/>
  <c r="Q119"/>
  <c r="Q150"/>
  <c r="Q131"/>
  <c r="T29"/>
  <c r="T35"/>
  <c r="T37"/>
  <c r="T78"/>
  <c r="T88"/>
  <c r="T92"/>
  <c r="T94"/>
  <c r="T101"/>
  <c r="J135"/>
  <c r="U135" s="1"/>
  <c r="U143" s="1"/>
  <c r="U156"/>
  <c r="U157" s="1"/>
  <c r="N166"/>
  <c r="N224"/>
  <c r="N229"/>
  <c r="T100"/>
  <c r="T21"/>
  <c r="T28"/>
  <c r="T36"/>
  <c r="T42"/>
  <c r="T44"/>
  <c r="T46"/>
  <c r="T60"/>
  <c r="T75"/>
  <c r="T77"/>
  <c r="T81"/>
  <c r="T86"/>
  <c r="T95"/>
  <c r="T99"/>
  <c r="T23"/>
  <c r="T27"/>
  <c r="U28"/>
  <c r="T30"/>
  <c r="U37"/>
  <c r="U42"/>
  <c r="T45"/>
  <c r="U46"/>
  <c r="T54"/>
  <c r="T58"/>
  <c r="T61"/>
  <c r="V61"/>
  <c r="U65"/>
  <c r="U64" s="1"/>
  <c r="T76"/>
  <c r="U77"/>
  <c r="T85"/>
  <c r="U86"/>
  <c r="U92"/>
  <c r="U101"/>
  <c r="J120"/>
  <c r="U120" s="1"/>
  <c r="U126" s="1"/>
  <c r="J168"/>
  <c r="U168" s="1"/>
  <c r="J173"/>
  <c r="U173" s="1"/>
  <c r="J184"/>
  <c r="U184" s="1"/>
  <c r="J193"/>
  <c r="U193" s="1"/>
  <c r="U209"/>
  <c r="U221"/>
  <c r="U30"/>
  <c r="U35"/>
  <c r="T43"/>
  <c r="U44"/>
  <c r="U60"/>
  <c r="U75"/>
  <c r="U81"/>
  <c r="T93"/>
  <c r="U94"/>
  <c r="T102"/>
  <c r="N247"/>
  <c r="O157"/>
  <c r="N157"/>
  <c r="V179"/>
  <c r="U179"/>
  <c r="V236"/>
  <c r="U236"/>
  <c r="O20"/>
  <c r="U29"/>
  <c r="N34"/>
  <c r="N33" s="1"/>
  <c r="U36"/>
  <c r="N41"/>
  <c r="N40" s="1"/>
  <c r="U43"/>
  <c r="U45"/>
  <c r="U50"/>
  <c r="U54"/>
  <c r="N56"/>
  <c r="U58"/>
  <c r="V59"/>
  <c r="V57" s="1"/>
  <c r="V66"/>
  <c r="V64" s="1"/>
  <c r="T65"/>
  <c r="U71"/>
  <c r="U76"/>
  <c r="U78"/>
  <c r="U85"/>
  <c r="U88"/>
  <c r="N91"/>
  <c r="N90" s="1"/>
  <c r="U93"/>
  <c r="U95"/>
  <c r="U100"/>
  <c r="U102"/>
  <c r="J118"/>
  <c r="J127"/>
  <c r="U127" s="1"/>
  <c r="N132"/>
  <c r="U132"/>
  <c r="U133" s="1"/>
  <c r="V142"/>
  <c r="J149"/>
  <c r="V151"/>
  <c r="V155" s="1"/>
  <c r="J159"/>
  <c r="J166"/>
  <c r="J175"/>
  <c r="N181"/>
  <c r="U181"/>
  <c r="U182" s="1"/>
  <c r="J195"/>
  <c r="V207"/>
  <c r="J212"/>
  <c r="J220"/>
  <c r="J223"/>
  <c r="J224"/>
  <c r="U224" s="1"/>
  <c r="J229"/>
  <c r="J232"/>
  <c r="U232" s="1"/>
  <c r="N238"/>
  <c r="U238"/>
  <c r="U239" s="1"/>
  <c r="U260"/>
  <c r="U261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T98" i="3"/>
  <c r="T97" s="1"/>
  <c r="U108"/>
  <c r="V108"/>
  <c r="U74"/>
  <c r="U73" s="1"/>
  <c r="T74"/>
  <c r="T73" s="1"/>
  <c r="T64"/>
  <c r="T63" s="1"/>
  <c r="N220"/>
  <c r="N223"/>
  <c r="V63"/>
  <c r="U57"/>
  <c r="U56" s="1"/>
  <c r="V204"/>
  <c r="V208" s="1"/>
  <c r="O182"/>
  <c r="U49"/>
  <c r="U48" s="1"/>
  <c r="N182"/>
  <c r="V25"/>
  <c r="T12"/>
  <c r="N212"/>
  <c r="T48"/>
  <c r="T155"/>
  <c r="Q231"/>
  <c r="Q240" s="1"/>
  <c r="V12"/>
  <c r="O222"/>
  <c r="N233"/>
  <c r="O237"/>
  <c r="N232"/>
  <c r="N237" s="1"/>
  <c r="O239"/>
  <c r="N154"/>
  <c r="U84"/>
  <c r="U83" s="1"/>
  <c r="T84"/>
  <c r="T83" s="1"/>
  <c r="T237"/>
  <c r="T240" s="1"/>
  <c r="U26"/>
  <c r="U25" s="1"/>
  <c r="N118"/>
  <c r="N119" s="1"/>
  <c r="N120"/>
  <c r="O126"/>
  <c r="U98"/>
  <c r="U34"/>
  <c r="U33" s="1"/>
  <c r="U63"/>
  <c r="U41"/>
  <c r="U40" s="1"/>
  <c r="Q134"/>
  <c r="Q155"/>
  <c r="L135" i="1"/>
  <c r="U91" i="3"/>
  <c r="U90" s="1"/>
  <c r="T57"/>
  <c r="T56" s="1"/>
  <c r="T26"/>
  <c r="T25" s="1"/>
  <c r="T41"/>
  <c r="T40" s="1"/>
  <c r="T91"/>
  <c r="T90" s="1"/>
  <c r="T34"/>
  <c r="T33" s="1"/>
  <c r="N252"/>
  <c r="U252" s="1"/>
  <c r="O254"/>
  <c r="N254" s="1"/>
  <c r="N262" s="1"/>
  <c r="Q262"/>
  <c r="O180"/>
  <c r="O203"/>
  <c r="O194"/>
  <c r="Q194"/>
  <c r="Q203"/>
  <c r="T203"/>
  <c r="T211" s="1"/>
  <c r="N239"/>
  <c r="U194"/>
  <c r="N193"/>
  <c r="U20"/>
  <c r="N195"/>
  <c r="N144"/>
  <c r="N184"/>
  <c r="T174"/>
  <c r="T183" s="1"/>
  <c r="V120"/>
  <c r="V126" s="1"/>
  <c r="N204"/>
  <c r="N208" s="1"/>
  <c r="N202"/>
  <c r="N149"/>
  <c r="N168"/>
  <c r="V168"/>
  <c r="N135"/>
  <c r="V135"/>
  <c r="V143" s="1"/>
  <c r="N133"/>
  <c r="O174"/>
  <c r="N175"/>
  <c r="N180" s="1"/>
  <c r="V184"/>
  <c r="O143"/>
  <c r="Q183"/>
  <c r="N173"/>
  <c r="N159"/>
  <c r="N167" s="1"/>
  <c r="Q143"/>
  <c r="T150"/>
  <c r="N142"/>
  <c r="O119"/>
  <c r="N151"/>
  <c r="N127"/>
  <c r="N131" s="1"/>
  <c r="T143"/>
  <c r="L151" i="1"/>
  <c r="O150" i="3"/>
  <c r="V173"/>
  <c r="U97"/>
  <c r="O155"/>
  <c r="P118" i="1"/>
  <c r="O131"/>
  <c r="T20" i="3"/>
  <c r="O131"/>
  <c r="T119"/>
  <c r="T134" s="1"/>
  <c r="V193"/>
  <c r="V56"/>
  <c r="U174"/>
  <c r="V232"/>
  <c r="V237" s="1"/>
  <c r="U237"/>
  <c r="V224"/>
  <c r="V220"/>
  <c r="U220"/>
  <c r="V202"/>
  <c r="U202"/>
  <c r="V175"/>
  <c r="V180" s="1"/>
  <c r="U175"/>
  <c r="U180" s="1"/>
  <c r="V159"/>
  <c r="U159"/>
  <c r="V149"/>
  <c r="U149"/>
  <c r="V127"/>
  <c r="V131" s="1"/>
  <c r="U131"/>
  <c r="V118"/>
  <c r="U118"/>
  <c r="V229"/>
  <c r="U229"/>
  <c r="V223"/>
  <c r="U223"/>
  <c r="V212"/>
  <c r="U212"/>
  <c r="V195"/>
  <c r="U195"/>
  <c r="U203" s="1"/>
  <c r="V166"/>
  <c r="U166"/>
  <c r="V144"/>
  <c r="U144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V203" i="3" l="1"/>
  <c r="O134"/>
  <c r="N134" s="1"/>
  <c r="W33"/>
  <c r="U254"/>
  <c r="U262" s="1"/>
  <c r="V252"/>
  <c r="V254" s="1"/>
  <c r="V262" s="1"/>
  <c r="N126"/>
  <c r="N222"/>
  <c r="M147" i="1"/>
  <c r="L147" s="1"/>
  <c r="Q211" i="3"/>
  <c r="N155"/>
  <c r="Q158"/>
  <c r="O183"/>
  <c r="N183" s="1"/>
  <c r="O262"/>
  <c r="N194"/>
  <c r="N203"/>
  <c r="V222"/>
  <c r="V21"/>
  <c r="V20" s="1"/>
  <c r="V194"/>
  <c r="O158"/>
  <c r="N150"/>
  <c r="N174"/>
  <c r="N143"/>
  <c r="V174"/>
  <c r="T158"/>
  <c r="L131" i="1"/>
  <c r="V119" i="3"/>
  <c r="V134" s="1"/>
  <c r="V150"/>
  <c r="V158" s="1"/>
  <c r="U167"/>
  <c r="U183" s="1"/>
  <c r="U119"/>
  <c r="U134" s="1"/>
  <c r="U150"/>
  <c r="U158" s="1"/>
  <c r="U222"/>
  <c r="V167"/>
  <c r="Q147" i="1"/>
  <c r="P163"/>
  <c r="P182"/>
  <c r="L182"/>
  <c r="Q182"/>
  <c r="M182"/>
  <c r="N158" i="3" l="1"/>
  <c r="V183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U210" i="3"/>
  <c r="U211" s="1"/>
  <c r="O210"/>
  <c r="O211" s="1"/>
  <c r="N211" l="1"/>
  <c r="N210"/>
  <c r="V210"/>
  <c r="V211" s="1"/>
  <c r="O231"/>
  <c r="O240" s="1"/>
  <c r="J230"/>
  <c r="U230" s="1"/>
  <c r="U231" s="1"/>
  <c r="U240" s="1"/>
  <c r="N230" l="1"/>
  <c r="V230"/>
  <c r="V231" s="1"/>
  <c r="V240" s="1"/>
  <c r="N231" l="1"/>
  <c r="N240" s="1"/>
  <c r="T212" i="4" l="1"/>
  <c r="U197"/>
  <c r="U212" s="1"/>
  <c r="M15" i="11"/>
  <c r="N15" s="1"/>
  <c r="M11"/>
  <c r="N11" s="1"/>
  <c r="W203" i="4" l="1"/>
  <c r="I17" i="11"/>
  <c r="J25" l="1"/>
  <c r="N17"/>
  <c r="O17" s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<sst xmlns="http://schemas.openxmlformats.org/spreadsheetml/2006/main" count="3778" uniqueCount="350">
  <si>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</si>
  <si>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</si>
  <si>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</si>
  <si>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</si>
  <si>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</si>
  <si>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</si>
  <si>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</si>
  <si>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</si>
  <si>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</si>
  <si>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</si>
  <si>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</si>
  <si>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</si>
  <si>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</si>
  <si>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</si>
  <si>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</si>
  <si>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</si>
  <si>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</si>
  <si>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</si>
  <si>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</si>
  <si>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</si>
  <si>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</si>
  <si>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</si>
  <si>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</si>
  <si>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</si>
  <si>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</si>
  <si>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</si>
  <si>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</si>
  <si>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</si>
  <si>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</si>
  <si>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</si>
  <si>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</si>
  <si>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</si>
  <si>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</si>
  <si>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</si>
  <si>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</si>
  <si>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</si>
  <si>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</si>
  <si>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</si>
  <si>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</si>
  <si>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</si>
  <si>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</si>
  <si>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</si>
  <si>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</si>
  <si>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</si>
  <si>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</si>
  <si>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</si>
  <si>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</si>
  <si>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</si>
  <si>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</si>
  <si>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</si>
  <si>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</si>
  <si>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</si>
  <si>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</si>
  <si>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</si>
  <si>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</si>
  <si>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</si>
  <si>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</si>
  <si>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</si>
  <si>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</si>
  <si>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</si>
  <si>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</si>
  <si>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</si>
  <si>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</si>
  <si>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</si>
  <si>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</si>
  <si>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</si>
  <si>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</si>
  <si>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</si>
  <si>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</si>
  <si>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</si>
  <si>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</si>
  <si>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</si>
  <si>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</si>
  <si>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</si>
  <si>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</si>
  <si>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</si>
  <si>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</si>
  <si>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</si>
  <si>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</si>
  <si>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</si>
  <si>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</si>
  <si>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</si>
  <si>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</si>
  <si>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</si>
  <si>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</si>
  <si>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</si>
  <si>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</si>
  <si>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</si>
  <si>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</si>
  <si>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</si>
  <si>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</si>
  <si>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</si>
  <si>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</si>
  <si>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</si>
  <si>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</si>
  <si>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</si>
  <si>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</si>
  <si>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</si>
  <si>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</si>
  <si>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</si>
  <si>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</si>
  <si>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</si>
  <si>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</si>
  <si>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</si>
  <si>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</si>
  <si>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</si>
  <si>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</si>
  <si>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</si>
  <si>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</si>
  <si>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</si>
  <si>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</si>
  <si>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</si>
  <si>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</si>
  <si>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</si>
  <si>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</si>
  <si>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</si>
  <si>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</si>
  <si>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</si>
  <si>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</si>
  <si>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</si>
  <si>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</si>
  <si>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</si>
  <si>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</si>
  <si>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</si>
  <si>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</si>
  <si>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</si>
  <si>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</si>
  <si>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</si>
  <si>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</si>
  <si>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</si>
  <si>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</si>
  <si>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</si>
  <si>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</si>
  <si>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</si>
  <si>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</si>
  <si>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</si>
  <si>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</si>
  <si>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</si>
  <si>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</si>
  <si>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</si>
  <si>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</si>
  <si>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</si>
  <si>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</si>
  <si>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</si>
  <si>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</si>
  <si>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</si>
  <si>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</si>
  <si>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</si>
  <si>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</si>
  <si>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</si>
  <si>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</si>
  <si>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</si>
  <si>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</si>
  <si>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</si>
  <si>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</si>
  <si>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</si>
  <si>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</si>
  <si>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</si>
  <si>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</si>
  <si>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</si>
  <si>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</si>
  <si>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</si>
  <si>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</si>
  <si>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</si>
  <si>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</si>
  <si>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</si>
  <si>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</si>
  <si>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</si>
  <si>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</si>
  <si>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</si>
  <si>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</si>
  <si>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</si>
  <si>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</si>
  <si>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</si>
  <si>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</si>
  <si>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</si>
  <si>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</si>
  <si>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</si>
  <si>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</si>
  <si>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</si>
  <si>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</si>
  <si>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</si>
  <si>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</si>
  <si>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</si>
  <si>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</si>
  <si>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</si>
  <si>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</si>
  <si>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</si>
  <si>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</si>
  <si>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</si>
  <si>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</si>
  <si>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</si>
  <si>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</si>
  <si>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</si>
  <si>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</si>
  <si>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</si>
  <si>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</si>
  <si>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</si>
  <si>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</si>
  <si>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</si>
  <si>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</si>
  <si>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</si>
  <si>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</si>
  <si>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</si>
  <si>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</si>
  <si>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</si>
  <si>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</si>
  <si>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</si>
  <si>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</si>
  <si>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</si>
  <si>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</si>
  <si>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</si>
  <si>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</si>
  <si>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</si>
  <si>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</si>
  <si>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</si>
  <si>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</si>
  <si>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</si>
  <si>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</si>
  <si>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</si>
  <si>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</si>
  <si>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</si>
  <si>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</si>
  <si>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</si>
  <si>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</si>
  <si>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</si>
  <si>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</si>
  <si>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</si>
  <si>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</si>
  <si>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</si>
  <si>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</si>
  <si>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</si>
  <si>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</si>
  <si>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</si>
  <si>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</si>
  <si>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</si>
  <si>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</si>
  <si>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</si>
  <si>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</si>
  <si>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</si>
  <si>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</si>
  <si>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</si>
  <si>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</si>
  <si>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</si>
  <si>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</si>
  <si>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</si>
  <si>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</si>
  <si>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</si>
  <si>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</si>
  <si>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</si>
  <si>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</si>
  <si>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</si>
  <si>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</si>
  <si>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</si>
  <si>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</si>
  <si>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</si>
  <si>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</si>
  <si>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</si>
  <si>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</si>
  <si>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</si>
  <si>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</si>
  <si>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</si>
  <si>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</si>
  <si>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</si>
  <si>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</si>
  <si>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</si>
  <si>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</si>
  <si>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</si>
  <si>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</si>
  <si>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</si>
  <si>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</si>
  <si>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</si>
  <si>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</si>
  <si>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</si>
  <si>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</si>
  <si>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</si>
  <si>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</si>
  <si>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</si>
  <si>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</si>
  <si>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</si>
  <si>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</si>
  <si>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</si>
  <si>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</si>
  <si>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</si>
  <si>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</si>
  <si>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</si>
  <si>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</si>
  <si>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</si>
  <si>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</si>
  <si>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</si>
  <si>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</si>
  <si>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</si>
  <si>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</si>
  <si>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</si>
  <si>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</si>
  <si>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</si>
  <si>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</si>
  <si>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</si>
  <si>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</si>
  <si>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</si>
  <si>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</si>
  <si>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</si>
  <si>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</si>
  <si>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</si>
  <si>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</si>
  <si>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</si>
  <si>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</si>
  <si>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</si>
  <si>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</si>
  <si>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</si>
  <si>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</si>
  <si>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</si>
  <si>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</si>
  <si>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</si>
  <si>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</si>
  <si>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</si>
  <si>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</si>
  <si>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</si>
  <si>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</si>
  <si>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</si>
  <si>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МБОУ №7</t>
  </si>
  <si>
    <t>10548,84- на 1 человека</t>
  </si>
  <si>
    <t>668575,57- на 1 класс+ 3817,68- на 1 человека</t>
  </si>
  <si>
    <t>628912,16- на 1 класс+ 3817,68 на 1 человека</t>
  </si>
  <si>
    <t>880020,0- на 1 класс+ 4110,78 на 1 человека</t>
  </si>
  <si>
    <t>787313,28- на 1 класс+4110,78 на 1 человека</t>
  </si>
  <si>
    <t>841148,96 на 1 класс+4454,15 на 1 человека</t>
  </si>
  <si>
    <t>668575,57- на 1 класс+25816,26 на 1 человека</t>
  </si>
  <si>
    <t>628912,16- на 1 класс+25816,26 на 1 человека</t>
  </si>
  <si>
    <t>880020,0- на 1 класс+ 26109,36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</si>
  <si>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</si>
  <si>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</si>
  <si>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</si>
  <si>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</si>
  <si>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</si>
  <si>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</si>
  <si>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</si>
  <si>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</si>
  <si>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</si>
  <si>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</si>
  <si>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</si>
  <si>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</si>
  <si>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>Молод спец</t>
  </si>
  <si>
    <t>ИТОГО:</t>
  </si>
  <si>
    <t>молод спец.</t>
  </si>
  <si>
    <t>молод спец</t>
  </si>
  <si>
    <t>20992,3- на 1 человека</t>
  </si>
  <si>
    <t>21070,3- на 1 человека</t>
  </si>
  <si>
    <t>к Приказу от 27.08.2020 г. №125</t>
  </si>
  <si>
    <t>к Приказу от 27.08.2020 г. № 125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</si>
</sst>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  <numFmt numFmtId="170" formatCode="#,##0.00000"/>
  </numFmts>
  <fonts count="24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52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0" fontId="1" fillId="5" borderId="0" xfId="0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3" fontId="2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left" vertical="center"/>
    </xf>
    <xf numFmtId="0" fontId="1" fillId="8" borderId="0" xfId="0" applyFont="1" applyFill="1"/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170" fontId="1" fillId="0" borderId="3" xfId="0" applyNumberFormat="1" applyFont="1" applyFill="1" applyBorder="1"/>
    <xf numFmtId="2" fontId="1" fillId="0" borderId="3" xfId="0" applyNumberFormat="1" applyFont="1" applyFill="1" applyBorder="1"/>
    <xf numFmtId="4" fontId="4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4" fontId="1" fillId="3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right"/>
    </xf>
    <xf numFmtId="4" fontId="16" fillId="3" borderId="4" xfId="0" applyNumberFormat="1" applyFont="1" applyFill="1" applyBorder="1" applyAlignment="1">
      <alignment horizontal="left"/>
    </xf>
    <xf numFmtId="4" fontId="9" fillId="3" borderId="4" xfId="0" applyNumberFormat="1" applyFont="1" applyFill="1" applyBorder="1" applyAlignment="1">
      <alignment horizontal="right" wrapText="1"/>
    </xf>
    <xf numFmtId="4" fontId="2" fillId="3" borderId="4" xfId="0" applyNumberFormat="1" applyFont="1" applyFill="1" applyBorder="1"/>
    <xf numFmtId="2" fontId="1" fillId="3" borderId="0" xfId="0" applyNumberFormat="1" applyFont="1" applyFill="1"/>
    <xf numFmtId="4" fontId="1" fillId="8" borderId="0" xfId="0" applyNumberFormat="1" applyFont="1" applyFill="1"/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center" wrapText="1"/>
    </xf>
    <xf numFmtId="4" fontId="8" fillId="3" borderId="4" xfId="0" applyNumberFormat="1" applyFont="1" applyFill="1" applyBorder="1" applyAlignment="1">
      <alignment horizontal="right" wrapText="1"/>
    </xf>
    <xf numFmtId="3" fontId="4" fillId="3" borderId="4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294" t="s">
        <v>1</v>
      </c>
      <c r="B3" s="294"/>
      <c r="C3" s="295"/>
      <c r="D3" s="294"/>
      <c r="E3" s="294"/>
      <c r="F3" s="294"/>
      <c r="G3" s="294"/>
      <c r="H3" s="294"/>
      <c r="I3" s="295"/>
      <c r="J3" s="294"/>
      <c r="K3" s="294"/>
      <c r="L3" s="294"/>
      <c r="M3" s="294"/>
      <c r="N3" s="295"/>
      <c r="O3" s="294"/>
      <c r="P3" s="294"/>
      <c r="Q3" s="294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301" t="s">
        <v>5</v>
      </c>
      <c r="F6" s="301"/>
      <c r="G6" s="301"/>
      <c r="H6" s="292" t="s">
        <v>6</v>
      </c>
      <c r="I6" s="292"/>
      <c r="J6" s="292"/>
      <c r="K6" s="292"/>
      <c r="L6" s="292" t="s">
        <v>7</v>
      </c>
      <c r="M6" s="292"/>
      <c r="N6" s="292"/>
      <c r="O6" s="292"/>
      <c r="P6" s="292"/>
      <c r="Q6" s="292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93" t="s">
        <v>8</v>
      </c>
      <c r="M7" s="293"/>
      <c r="N7" s="293"/>
      <c r="O7" s="293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290" t="s">
        <v>154</v>
      </c>
      <c r="B96" s="290"/>
      <c r="C96" s="290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296" t="s">
        <v>3</v>
      </c>
      <c r="B97" s="296" t="s">
        <v>86</v>
      </c>
      <c r="C97" s="7" t="s">
        <v>87</v>
      </c>
      <c r="D97" s="296" t="s">
        <v>4</v>
      </c>
      <c r="E97" s="296" t="s">
        <v>5</v>
      </c>
      <c r="F97" s="296"/>
      <c r="G97" s="296"/>
      <c r="H97" s="296" t="s">
        <v>6</v>
      </c>
      <c r="I97" s="296"/>
      <c r="J97" s="296"/>
      <c r="K97" s="296"/>
      <c r="L97" s="296" t="s">
        <v>7</v>
      </c>
      <c r="M97" s="296"/>
      <c r="N97" s="296"/>
      <c r="O97" s="296"/>
      <c r="P97" s="296"/>
      <c r="Q97" s="296"/>
    </row>
    <row r="98" spans="1:17" ht="110.4">
      <c r="A98" s="296"/>
      <c r="B98" s="296"/>
      <c r="C98" s="7"/>
      <c r="D98" s="296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291" t="s">
        <v>98</v>
      </c>
      <c r="B100" s="288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291"/>
      <c r="B101" s="288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291"/>
      <c r="B102" s="288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291"/>
      <c r="B103" s="288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291"/>
      <c r="B104" s="288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291"/>
      <c r="B105" s="288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291"/>
      <c r="B106" s="288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291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291"/>
      <c r="B108" s="288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291"/>
      <c r="B109" s="288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291"/>
      <c r="B110" s="288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291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291"/>
      <c r="B112" s="289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291"/>
      <c r="B113" s="289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291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291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291" t="s">
        <v>113</v>
      </c>
      <c r="B116" s="288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291"/>
      <c r="B117" s="288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291"/>
      <c r="B118" s="288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291"/>
      <c r="B119" s="288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291"/>
      <c r="B120" s="288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291"/>
      <c r="B121" s="288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291"/>
      <c r="B122" s="288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291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291"/>
      <c r="B124" s="288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291"/>
      <c r="B125" s="288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291"/>
      <c r="B126" s="288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291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291"/>
      <c r="B128" s="289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291"/>
      <c r="B129" s="289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291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291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291" t="s">
        <v>114</v>
      </c>
      <c r="B132" s="288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291"/>
      <c r="B133" s="288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291"/>
      <c r="B134" s="288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291"/>
      <c r="B135" s="288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291"/>
      <c r="B136" s="288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291"/>
      <c r="B137" s="288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291"/>
      <c r="B138" s="288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291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291"/>
      <c r="B140" s="288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291"/>
      <c r="B141" s="288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291"/>
      <c r="B142" s="288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291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291"/>
      <c r="B144" s="289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291"/>
      <c r="B145" s="289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291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291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291" t="s">
        <v>115</v>
      </c>
      <c r="B148" s="288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291"/>
      <c r="B149" s="288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291"/>
      <c r="B150" s="288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291"/>
      <c r="B151" s="288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291"/>
      <c r="B152" s="288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291"/>
      <c r="B153" s="288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291"/>
      <c r="B154" s="288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291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291"/>
      <c r="B156" s="288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291"/>
      <c r="B157" s="288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291"/>
      <c r="B158" s="288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291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291"/>
      <c r="B160" s="289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291"/>
      <c r="B161" s="289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291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291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291" t="s">
        <v>116</v>
      </c>
      <c r="B164" s="288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291"/>
      <c r="B165" s="288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291"/>
      <c r="B166" s="288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291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291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291"/>
      <c r="B169" s="288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291"/>
      <c r="B170" s="288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291"/>
      <c r="B171" s="288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291"/>
      <c r="B172" s="288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291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291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291"/>
      <c r="B175" s="288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291"/>
      <c r="B176" s="288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291"/>
      <c r="B177" s="288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291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291"/>
      <c r="B179" s="289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291"/>
      <c r="B180" s="289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291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291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291" t="s">
        <v>119</v>
      </c>
      <c r="B183" s="288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291"/>
      <c r="B184" s="288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291"/>
      <c r="B185" s="288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291"/>
      <c r="B186" s="288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291"/>
      <c r="B187" s="288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291"/>
      <c r="B188" s="288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291"/>
      <c r="B189" s="288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291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291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291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291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291"/>
      <c r="B194" s="289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291"/>
      <c r="B195" s="289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291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291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299" t="s">
        <v>5</v>
      </c>
      <c r="E199" s="299"/>
      <c r="F199" s="299"/>
      <c r="G199" s="300" t="s">
        <v>6</v>
      </c>
      <c r="H199" s="300" t="s">
        <v>7</v>
      </c>
      <c r="I199" s="300"/>
      <c r="J199" s="300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300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297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298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71"/>
  <sheetViews>
    <sheetView zoomScale="80" zoomScaleNormal="80" workbookViewId="0">
      <selection activeCell="T50" sqref="T50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4" style="80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customWidth="1"/>
    <col min="14" max="14" width="16.6640625" style="80" customWidth="1"/>
    <col min="15" max="16" width="15.44140625" style="80" customWidth="1"/>
    <col min="17" max="19" width="14.6640625" style="80" customWidth="1"/>
    <col min="20" max="20" width="14.33203125" style="80" customWidth="1"/>
    <col min="21" max="21" width="14.109375" style="80" customWidth="1"/>
    <col min="22" max="22" width="14.88671875" style="80" bestFit="1" customWidth="1"/>
    <col min="23" max="23" width="15.33203125" style="80" customWidth="1"/>
    <col min="24" max="24" width="13.5546875" style="80" bestFit="1" customWidth="1"/>
    <col min="25" max="25" width="9.44140625" style="80" bestFit="1" customWidth="1"/>
    <col min="26" max="16384" width="9.109375" style="80"/>
  </cols>
  <sheetData>
    <row r="1" spans="1:24">
      <c r="T1" s="117" t="s">
        <v>203</v>
      </c>
    </row>
    <row r="2" spans="1:24">
      <c r="T2" s="117" t="s">
        <v>204</v>
      </c>
    </row>
    <row r="3" spans="1:24">
      <c r="T3" s="117" t="s">
        <v>175</v>
      </c>
    </row>
    <row r="4" spans="1:24">
      <c r="T4" s="117" t="s">
        <v>189</v>
      </c>
    </row>
    <row r="5" spans="1:24">
      <c r="A5" s="310" t="s">
        <v>207</v>
      </c>
      <c r="B5" s="310"/>
      <c r="C5" s="311"/>
      <c r="D5" s="310"/>
      <c r="E5" s="310"/>
      <c r="F5" s="311"/>
      <c r="G5" s="311"/>
      <c r="H5" s="310"/>
      <c r="I5" s="310"/>
      <c r="J5" s="310"/>
      <c r="K5" s="311"/>
      <c r="L5" s="310"/>
      <c r="M5" s="310"/>
      <c r="N5" s="310"/>
      <c r="O5" s="310"/>
      <c r="P5" s="311"/>
      <c r="Q5" s="311"/>
      <c r="R5" s="311"/>
      <c r="S5" s="311"/>
      <c r="T5" s="310"/>
      <c r="U5" s="310"/>
      <c r="V5" s="310"/>
    </row>
    <row r="6" spans="1:24" ht="36.75" customHeight="1">
      <c r="A6" s="81" t="s">
        <v>155</v>
      </c>
    </row>
    <row r="8" spans="1:24" ht="49.2" customHeight="1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12" t="s">
        <v>6</v>
      </c>
      <c r="K8" s="313"/>
      <c r="L8" s="313"/>
      <c r="M8" s="314"/>
      <c r="N8" s="303" t="s">
        <v>7</v>
      </c>
      <c r="O8" s="303"/>
      <c r="P8" s="303"/>
      <c r="Q8" s="303"/>
      <c r="R8" s="303"/>
      <c r="S8" s="303"/>
      <c r="T8" s="303"/>
      <c r="U8" s="303"/>
      <c r="V8" s="303"/>
    </row>
    <row r="9" spans="1:24">
      <c r="A9" s="109"/>
      <c r="B9" s="109"/>
      <c r="C9" s="109"/>
      <c r="D9" s="109"/>
      <c r="E9" s="317"/>
      <c r="F9" s="318"/>
      <c r="G9" s="319"/>
      <c r="H9" s="108"/>
      <c r="I9" s="108"/>
      <c r="J9" s="142"/>
      <c r="K9" s="142"/>
      <c r="L9" s="142"/>
      <c r="M9" s="142"/>
      <c r="N9" s="312"/>
      <c r="O9" s="322"/>
      <c r="P9" s="322"/>
      <c r="Q9" s="322"/>
      <c r="R9" s="322"/>
      <c r="S9" s="322"/>
      <c r="T9" s="323"/>
      <c r="U9" s="109"/>
      <c r="V9" s="109"/>
    </row>
    <row r="10" spans="1:24" ht="55.2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15" t="s">
        <v>176</v>
      </c>
      <c r="O10" s="315"/>
      <c r="P10" s="315"/>
      <c r="Q10" s="315"/>
      <c r="R10" s="315"/>
      <c r="S10" s="315"/>
      <c r="T10" s="315"/>
      <c r="U10" s="154" t="s">
        <v>183</v>
      </c>
      <c r="V10" s="154" t="s">
        <v>205</v>
      </c>
    </row>
    <row r="11" spans="1:24" ht="63" customHeight="1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96.6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96.6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10.4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2.8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96.6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2.8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96.6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96.6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10.4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2.8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96.6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10.4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2.8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96.6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96.6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10.4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2.8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96.6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96.6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10.4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2.8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96.6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10.4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2.8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96.6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10.4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>
      <c r="A68" s="83"/>
      <c r="B68" s="97" t="s">
        <v>180</v>
      </c>
      <c r="C68" s="324" t="s">
        <v>78</v>
      </c>
      <c r="D68" s="326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>
      <c r="A69" s="83"/>
      <c r="B69" s="97" t="s">
        <v>181</v>
      </c>
      <c r="C69" s="325"/>
      <c r="D69" s="327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69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2.8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96.6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10.4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69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69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2.8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96.6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10.4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2.8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96.6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10.4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2.8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96.6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10.4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>
      <c r="A104" s="316" t="s">
        <v>154</v>
      </c>
      <c r="B104" s="316"/>
      <c r="C104" s="316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27.6">
      <c r="A105" s="320" t="s">
        <v>3</v>
      </c>
      <c r="B105" s="320" t="s">
        <v>86</v>
      </c>
      <c r="C105" s="114" t="s">
        <v>87</v>
      </c>
      <c r="D105" s="320" t="s">
        <v>4</v>
      </c>
      <c r="E105" s="321" t="s">
        <v>5</v>
      </c>
      <c r="F105" s="321"/>
      <c r="G105" s="321"/>
      <c r="H105" s="321"/>
      <c r="I105" s="321"/>
      <c r="J105" s="309" t="s">
        <v>6</v>
      </c>
      <c r="K105" s="309"/>
      <c r="L105" s="309"/>
      <c r="M105" s="309"/>
      <c r="N105" s="309" t="s">
        <v>7</v>
      </c>
      <c r="O105" s="309"/>
      <c r="P105" s="309"/>
      <c r="Q105" s="309"/>
      <c r="R105" s="309"/>
      <c r="S105" s="309"/>
      <c r="T105" s="309"/>
      <c r="U105" s="309"/>
      <c r="V105" s="309"/>
    </row>
    <row r="106" spans="1:22" ht="110.4">
      <c r="A106" s="320"/>
      <c r="B106" s="320"/>
      <c r="C106" s="114"/>
      <c r="D106" s="320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1.4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82.8">
      <c r="A108" s="304" t="s">
        <v>98</v>
      </c>
      <c r="B108" s="306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>
      <c r="A109" s="304"/>
      <c r="B109" s="307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>
      <c r="A110" s="304"/>
      <c r="B110" s="307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>
      <c r="A111" s="304"/>
      <c r="B111" s="307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>
      <c r="A112" s="304"/>
      <c r="B112" s="307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>
      <c r="A113" s="304"/>
      <c r="B113" s="307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>
      <c r="A114" s="304"/>
      <c r="B114" s="307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>
      <c r="A115" s="304"/>
      <c r="B115" s="307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>
      <c r="A116" s="304"/>
      <c r="B116" s="307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>
      <c r="A117" s="304"/>
      <c r="B117" s="307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10.4">
      <c r="A118" s="304"/>
      <c r="B118" s="307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>
      <c r="A119" s="304"/>
      <c r="B119" s="308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82.8">
      <c r="A120" s="304"/>
      <c r="B120" s="305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>
      <c r="A121" s="304"/>
      <c r="B121" s="305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>
      <c r="A122" s="304"/>
      <c r="B122" s="305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>
      <c r="A123" s="304"/>
      <c r="B123" s="305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>
      <c r="A124" s="304"/>
      <c r="B124" s="305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10.4">
      <c r="A125" s="304"/>
      <c r="B125" s="305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>
      <c r="A126" s="304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82.8">
      <c r="A127" s="304"/>
      <c r="B127" s="305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82.8">
      <c r="A128" s="304"/>
      <c r="B128" s="305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>
      <c r="A129" s="304"/>
      <c r="B129" s="305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10.4">
      <c r="A130" s="304"/>
      <c r="B130" s="305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>
      <c r="A131" s="304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96.6">
      <c r="A132" s="304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>
      <c r="A133" s="304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>
      <c r="A134" s="304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82.8">
      <c r="A135" s="304" t="s">
        <v>113</v>
      </c>
      <c r="B135" s="305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96.6">
      <c r="A136" s="304"/>
      <c r="B136" s="305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>
      <c r="A137" s="304"/>
      <c r="B137" s="305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>
      <c r="A138" s="304"/>
      <c r="B138" s="305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>
      <c r="A139" s="304"/>
      <c r="B139" s="305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>
      <c r="A140" s="304"/>
      <c r="B140" s="305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>
      <c r="A141" s="304"/>
      <c r="B141" s="305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10.4">
      <c r="A142" s="304"/>
      <c r="B142" s="305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>
      <c r="A143" s="304"/>
      <c r="B143" s="305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82.8">
      <c r="A144" s="304"/>
      <c r="B144" s="305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82.8">
      <c r="A145" s="304"/>
      <c r="B145" s="305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>
      <c r="A146" s="304"/>
      <c r="B146" s="305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>
      <c r="A147" s="304"/>
      <c r="B147" s="305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>
      <c r="A148" s="304"/>
      <c r="B148" s="305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10.4">
      <c r="A149" s="304"/>
      <c r="B149" s="305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>
      <c r="A150" s="304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82.8">
      <c r="A151" s="304"/>
      <c r="B151" s="305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82.8">
      <c r="A152" s="304"/>
      <c r="B152" s="305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>
      <c r="A153" s="304"/>
      <c r="B153" s="305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10.4">
      <c r="A154" s="304"/>
      <c r="B154" s="305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>
      <c r="A155" s="304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96.6">
      <c r="A156" s="304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>
      <c r="A157" s="304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>
      <c r="A158" s="304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82.8">
      <c r="A159" s="304" t="s">
        <v>114</v>
      </c>
      <c r="B159" s="305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96.6">
      <c r="A160" s="304"/>
      <c r="B160" s="305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>
      <c r="A161" s="304"/>
      <c r="B161" s="305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>
      <c r="A162" s="304"/>
      <c r="B162" s="305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>
      <c r="A163" s="304"/>
      <c r="B163" s="305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>
      <c r="A164" s="304"/>
      <c r="B164" s="305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>
      <c r="A165" s="304"/>
      <c r="B165" s="305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10.4">
      <c r="A166" s="304"/>
      <c r="B166" s="305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>
      <c r="A167" s="304"/>
      <c r="B167" s="305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82.8">
      <c r="A168" s="304"/>
      <c r="B168" s="305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96.6">
      <c r="A169" s="304"/>
      <c r="B169" s="305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>
      <c r="A170" s="304"/>
      <c r="B170" s="305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>
      <c r="A171" s="304"/>
      <c r="B171" s="305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>
      <c r="A172" s="304"/>
      <c r="B172" s="305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10.4">
      <c r="A173" s="304"/>
      <c r="B173" s="305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>
      <c r="A174" s="304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82.8">
      <c r="A175" s="304"/>
      <c r="B175" s="305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96.6">
      <c r="A176" s="304"/>
      <c r="B176" s="305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>
      <c r="A177" s="304"/>
      <c r="B177" s="305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>
      <c r="A178" s="304"/>
      <c r="B178" s="305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10.4">
      <c r="A179" s="304"/>
      <c r="B179" s="305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>
      <c r="A180" s="304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96.6">
      <c r="A181" s="304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>
      <c r="A182" s="304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>
      <c r="A183" s="304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82.8">
      <c r="A184" s="304" t="s">
        <v>115</v>
      </c>
      <c r="B184" s="305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96.6">
      <c r="A185" s="304"/>
      <c r="B185" s="305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>
      <c r="A186" s="304"/>
      <c r="B186" s="305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>
      <c r="A187" s="304"/>
      <c r="B187" s="305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>
      <c r="A188" s="304"/>
      <c r="B188" s="305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>
      <c r="A189" s="304"/>
      <c r="B189" s="305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>
      <c r="A190" s="304"/>
      <c r="B190" s="305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>
      <c r="A191" s="304"/>
      <c r="B191" s="305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>
      <c r="A192" s="304"/>
      <c r="B192" s="305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10.4">
      <c r="A193" s="304"/>
      <c r="B193" s="305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>
      <c r="A194" s="304"/>
      <c r="B194" s="305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82.8">
      <c r="A195" s="304"/>
      <c r="B195" s="305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96.6">
      <c r="A196" s="304"/>
      <c r="B196" s="305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>
      <c r="A197" s="304"/>
      <c r="B197" s="305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>
      <c r="A198" s="304"/>
      <c r="B198" s="305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>
      <c r="A199" s="304"/>
      <c r="B199" s="305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>
      <c r="A200" s="304"/>
      <c r="B200" s="305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>
      <c r="A201" s="304"/>
      <c r="B201" s="305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10.4">
      <c r="A202" s="304"/>
      <c r="B202" s="305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>
      <c r="A203" s="304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82.8">
      <c r="A204" s="304"/>
      <c r="B204" s="305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96.6">
      <c r="A205" s="304"/>
      <c r="B205" s="305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>
      <c r="A206" s="304"/>
      <c r="B206" s="305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10.4">
      <c r="A207" s="304"/>
      <c r="B207" s="305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>
      <c r="A208" s="304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96.6">
      <c r="A209" s="304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>
      <c r="A210" s="304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>
      <c r="A211" s="304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82.8">
      <c r="A212" s="304" t="s">
        <v>116</v>
      </c>
      <c r="B212" s="306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96.6">
      <c r="A213" s="304"/>
      <c r="B213" s="307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>
      <c r="A214" s="304"/>
      <c r="B214" s="307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>
      <c r="A215" s="304"/>
      <c r="B215" s="307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>
      <c r="A216" s="304"/>
      <c r="B216" s="307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>
      <c r="A217" s="304"/>
      <c r="B217" s="307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>
      <c r="A218" s="304"/>
      <c r="B218" s="307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>
      <c r="A219" s="304"/>
      <c r="B219" s="307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10.4">
      <c r="A220" s="304"/>
      <c r="B220" s="307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96.6">
      <c r="A221" s="304"/>
      <c r="B221" s="307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>
      <c r="A222" s="304"/>
      <c r="B222" s="308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82.8">
      <c r="A223" s="304"/>
      <c r="B223" s="306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96.6">
      <c r="A224" s="304"/>
      <c r="B224" s="307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82.8">
      <c r="A225" s="304"/>
      <c r="B225" s="307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>
      <c r="A226" s="304"/>
      <c r="B226" s="307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>
      <c r="A227" s="304"/>
      <c r="B227" s="307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>
      <c r="A228" s="304"/>
      <c r="B228" s="307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10.4">
      <c r="A229" s="304"/>
      <c r="B229" s="307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96.6">
      <c r="A230" s="304"/>
      <c r="B230" s="307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>
      <c r="A231" s="304"/>
      <c r="B231" s="308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82.8">
      <c r="A232" s="304"/>
      <c r="B232" s="306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96.6">
      <c r="A233" s="304"/>
      <c r="B233" s="307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82.8">
      <c r="A234" s="304"/>
      <c r="B234" s="307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>
      <c r="A235" s="304"/>
      <c r="B235" s="307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10.4">
      <c r="A236" s="304"/>
      <c r="B236" s="307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>
      <c r="A237" s="304"/>
      <c r="B237" s="308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96.6">
      <c r="A238" s="304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>
      <c r="A239" s="304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>
      <c r="A240" s="304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2" customHeight="1">
      <c r="A241" s="304" t="s">
        <v>119</v>
      </c>
      <c r="B241" s="305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2" customHeight="1">
      <c r="A242" s="304"/>
      <c r="B242" s="305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82.8">
      <c r="A243" s="304"/>
      <c r="B243" s="305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>
      <c r="A244" s="304"/>
      <c r="B244" s="305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96.6">
      <c r="A245" s="304"/>
      <c r="B245" s="305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>
      <c r="A246" s="304"/>
      <c r="B246" s="305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193.2">
      <c r="A247" s="304"/>
      <c r="B247" s="305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193.2">
      <c r="A248" s="304"/>
      <c r="B248" s="305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96.6">
      <c r="A249" s="304"/>
      <c r="B249" s="305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>
      <c r="A250" s="304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>
      <c r="A251" s="304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10.4">
      <c r="A252" s="304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96.6">
      <c r="A253" s="304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>
      <c r="A254" s="304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5" customHeight="1">
      <c r="A255" s="304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>
      <c r="A256" s="304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" customHeight="1">
      <c r="A257" s="304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2" customHeight="1">
      <c r="A258" s="304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>
      <c r="A259" s="304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96.6">
      <c r="A260" s="304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>
      <c r="A261" s="304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>
      <c r="A262" s="304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>
      <c r="A263" s="96" t="s">
        <v>156</v>
      </c>
    </row>
    <row r="264" spans="1:24" ht="27.6">
      <c r="A264" s="109" t="s">
        <v>3</v>
      </c>
      <c r="B264" s="109" t="s">
        <v>81</v>
      </c>
      <c r="C264" s="109" t="s">
        <v>4</v>
      </c>
      <c r="D264" s="302" t="s">
        <v>5</v>
      </c>
      <c r="E264" s="302"/>
      <c r="F264" s="302"/>
      <c r="G264" s="302"/>
      <c r="H264" s="302"/>
      <c r="I264" s="303" t="s">
        <v>6</v>
      </c>
      <c r="J264" s="303" t="s">
        <v>7</v>
      </c>
      <c r="K264" s="303"/>
      <c r="L264" s="303"/>
    </row>
    <row r="265" spans="1:24" ht="27.6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03"/>
      <c r="J265" s="154" t="s">
        <v>176</v>
      </c>
      <c r="K265" s="154" t="s">
        <v>183</v>
      </c>
      <c r="L265" s="154" t="s">
        <v>205</v>
      </c>
    </row>
    <row r="266" spans="1:24" ht="94.5" customHeight="1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96.6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96.6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>
      <c r="A271" s="80" t="s">
        <v>178</v>
      </c>
    </row>
  </sheetData>
  <mergeCells count="41"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99"/>
  <sheetViews>
    <sheetView zoomScale="60" zoomScaleNormal="60" workbookViewId="0">
      <selection activeCell="V1" sqref="V1:Z1048576"/>
    </sheetView>
  </sheetViews>
  <sheetFormatPr defaultColWidth="9.109375" defaultRowHeight="13.8"/>
  <cols>
    <col min="1" max="1" width="19.44140625" style="80" customWidth="1"/>
    <col min="2" max="2" width="28.6640625" style="80" customWidth="1"/>
    <col min="3" max="3" width="24.5546875" style="80" customWidth="1"/>
    <col min="4" max="4" width="8.6640625" style="80" customWidth="1"/>
    <col min="5" max="5" width="18.33203125" style="80" hidden="1" customWidth="1"/>
    <col min="6" max="6" width="13.33203125" style="80" hidden="1" customWidth="1"/>
    <col min="7" max="7" width="10.109375" style="80" bestFit="1" customWidth="1"/>
    <col min="8" max="8" width="12.88671875" style="80" bestFit="1" customWidth="1"/>
    <col min="9" max="9" width="12.109375" style="80" bestFit="1" customWidth="1"/>
    <col min="10" max="10" width="17.33203125" style="80" customWidth="1"/>
    <col min="11" max="11" width="16" style="80" customWidth="1"/>
    <col min="12" max="12" width="13.88671875" style="192" customWidth="1"/>
    <col min="13" max="13" width="13.5546875" style="192" customWidth="1"/>
    <col min="14" max="14" width="16.6640625" style="192" customWidth="1"/>
    <col min="15" max="15" width="22.109375" style="192" customWidth="1"/>
    <col min="16" max="16" width="14.6640625" style="192" customWidth="1"/>
    <col min="17" max="17" width="21.88671875" style="192" hidden="1" customWidth="1"/>
    <col min="18" max="18" width="18.109375" style="192" customWidth="1"/>
    <col min="19" max="19" width="18.5546875" style="192" hidden="1" customWidth="1"/>
    <col min="20" max="20" width="18.6640625" style="192" customWidth="1"/>
    <col min="21" max="21" width="19" style="192" customWidth="1"/>
    <col min="22" max="22" width="15.33203125" style="80" hidden="1" customWidth="1"/>
    <col min="23" max="23" width="13.5546875" style="80" hidden="1" customWidth="1"/>
    <col min="24" max="24" width="22" style="80" hidden="1" customWidth="1"/>
    <col min="25" max="25" width="18" style="80" hidden="1" customWidth="1"/>
    <col min="26" max="26" width="18.44140625" style="80" hidden="1" customWidth="1"/>
    <col min="27" max="29" width="9.109375" style="80" customWidth="1"/>
    <col min="30" max="16384" width="9.109375" style="80"/>
  </cols>
  <sheetData>
    <row r="1" spans="1:21">
      <c r="T1" s="195" t="s">
        <v>297</v>
      </c>
    </row>
    <row r="2" spans="1:21">
      <c r="T2" s="195" t="s">
        <v>349</v>
      </c>
    </row>
    <row r="3" spans="1:21">
      <c r="R3" s="195"/>
      <c r="S3" s="195"/>
      <c r="T3" s="195" t="s">
        <v>175</v>
      </c>
    </row>
    <row r="4" spans="1:21">
      <c r="R4" s="195"/>
      <c r="S4" s="195"/>
      <c r="T4" s="195" t="s">
        <v>302</v>
      </c>
    </row>
    <row r="5" spans="1:21" hidden="1">
      <c r="R5" s="195" t="s">
        <v>175</v>
      </c>
      <c r="S5" s="195"/>
    </row>
    <row r="6" spans="1:21" hidden="1">
      <c r="R6" s="195" t="s">
        <v>189</v>
      </c>
      <c r="S6" s="195"/>
    </row>
    <row r="7" spans="1:21">
      <c r="A7" s="310" t="s">
        <v>262</v>
      </c>
      <c r="B7" s="310"/>
      <c r="C7" s="311"/>
      <c r="D7" s="310"/>
      <c r="E7" s="310"/>
      <c r="F7" s="311"/>
      <c r="G7" s="311"/>
      <c r="H7" s="310"/>
      <c r="I7" s="310"/>
      <c r="J7" s="310"/>
      <c r="K7" s="311"/>
      <c r="L7" s="310"/>
      <c r="M7" s="310"/>
      <c r="N7" s="310"/>
      <c r="O7" s="310"/>
      <c r="P7" s="311"/>
      <c r="Q7" s="311"/>
      <c r="R7" s="310"/>
      <c r="S7" s="311"/>
      <c r="T7" s="310"/>
      <c r="U7" s="310"/>
    </row>
    <row r="8" spans="1:21">
      <c r="A8" s="316" t="s">
        <v>154</v>
      </c>
      <c r="B8" s="316"/>
      <c r="C8" s="316"/>
      <c r="D8" s="86"/>
      <c r="E8" s="87"/>
      <c r="F8" s="87"/>
      <c r="G8" s="87"/>
      <c r="H8" s="87"/>
      <c r="I8" s="87"/>
      <c r="J8" s="75"/>
      <c r="K8" s="75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ht="27.6">
      <c r="A9" s="320" t="s">
        <v>3</v>
      </c>
      <c r="B9" s="320" t="s">
        <v>86</v>
      </c>
      <c r="C9" s="185" t="s">
        <v>87</v>
      </c>
      <c r="D9" s="320" t="s">
        <v>4</v>
      </c>
      <c r="E9" s="321" t="s">
        <v>5</v>
      </c>
      <c r="F9" s="321"/>
      <c r="G9" s="321"/>
      <c r="H9" s="321"/>
      <c r="I9" s="321"/>
      <c r="J9" s="309" t="s">
        <v>6</v>
      </c>
      <c r="K9" s="309"/>
      <c r="L9" s="309"/>
      <c r="M9" s="309"/>
      <c r="N9" s="348" t="s">
        <v>7</v>
      </c>
      <c r="O9" s="348"/>
      <c r="P9" s="348"/>
      <c r="Q9" s="348"/>
      <c r="R9" s="348"/>
      <c r="S9" s="348"/>
      <c r="T9" s="348"/>
      <c r="U9" s="348"/>
    </row>
    <row r="10" spans="1:21" ht="110.4">
      <c r="A10" s="320"/>
      <c r="B10" s="320"/>
      <c r="C10" s="185"/>
      <c r="D10" s="320"/>
      <c r="E10" s="186" t="s">
        <v>176</v>
      </c>
      <c r="F10" s="186" t="s">
        <v>208</v>
      </c>
      <c r="G10" s="267" t="s">
        <v>264</v>
      </c>
      <c r="H10" s="267" t="s">
        <v>205</v>
      </c>
      <c r="I10" s="267" t="s">
        <v>263</v>
      </c>
      <c r="J10" s="266" t="s">
        <v>88</v>
      </c>
      <c r="K10" s="266" t="s">
        <v>89</v>
      </c>
      <c r="L10" s="277" t="s">
        <v>90</v>
      </c>
      <c r="M10" s="277" t="s">
        <v>311</v>
      </c>
      <c r="N10" s="277" t="s">
        <v>265</v>
      </c>
      <c r="O10" s="277" t="s">
        <v>93</v>
      </c>
      <c r="P10" s="277" t="s">
        <v>94</v>
      </c>
      <c r="Q10" s="277" t="s">
        <v>222</v>
      </c>
      <c r="R10" s="277" t="s">
        <v>95</v>
      </c>
      <c r="S10" s="277" t="s">
        <v>223</v>
      </c>
      <c r="T10" s="277" t="s">
        <v>210</v>
      </c>
      <c r="U10" s="277" t="s">
        <v>266</v>
      </c>
    </row>
    <row r="11" spans="1:21" ht="41.4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266" t="s">
        <v>17</v>
      </c>
      <c r="K11" s="266" t="s">
        <v>17</v>
      </c>
      <c r="L11" s="277" t="s">
        <v>17</v>
      </c>
      <c r="M11" s="277" t="s">
        <v>17</v>
      </c>
      <c r="N11" s="277" t="s">
        <v>17</v>
      </c>
      <c r="O11" s="277" t="s">
        <v>17</v>
      </c>
      <c r="P11" s="277" t="s">
        <v>17</v>
      </c>
      <c r="Q11" s="277"/>
      <c r="R11" s="277" t="s">
        <v>17</v>
      </c>
      <c r="S11" s="277"/>
      <c r="T11" s="277" t="s">
        <v>17</v>
      </c>
      <c r="U11" s="277" t="s">
        <v>17</v>
      </c>
    </row>
    <row r="12" spans="1:21" ht="82.8">
      <c r="A12" s="304" t="s">
        <v>98</v>
      </c>
      <c r="B12" s="306" t="s">
        <v>237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47822.669493809997</v>
      </c>
      <c r="K12" s="107">
        <f>20483.63+1329.32+2092.83</f>
        <v>23905.78</v>
      </c>
      <c r="L12" s="349">
        <f>4001.99*2.411294+806.67</f>
        <v>10456.644475059999</v>
      </c>
      <c r="M12" s="349">
        <f>7790.73-12.84104938+5531.48+63.0324074+50.92592593+36.9177348</f>
        <v>13460.245018749998</v>
      </c>
      <c r="N12" s="278">
        <f>SUM(O12:R12)</f>
        <v>13677271.625229659</v>
      </c>
      <c r="O12" s="278">
        <f>G12*K12-0.1</f>
        <v>6837052.9800000004</v>
      </c>
      <c r="P12" s="278">
        <f>G12*L12-8.71</f>
        <v>2990591.6098671597</v>
      </c>
      <c r="Q12" s="278"/>
      <c r="R12" s="46">
        <f>G12*M12-3.04</f>
        <v>3849627.0353624993</v>
      </c>
      <c r="S12" s="46"/>
      <c r="T12" s="46">
        <f>N12+961005.91-97767.69</f>
        <v>14540509.845229659</v>
      </c>
      <c r="U12" s="46">
        <f>T12</f>
        <v>14540509.845229659</v>
      </c>
    </row>
    <row r="13" spans="1:21" ht="82.8">
      <c r="A13" s="304"/>
      <c r="B13" s="307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193" t="s">
        <v>104</v>
      </c>
      <c r="M13" s="193" t="s">
        <v>104</v>
      </c>
      <c r="N13" s="277"/>
      <c r="O13" s="278"/>
      <c r="P13" s="193" t="s">
        <v>104</v>
      </c>
      <c r="Q13" s="193"/>
      <c r="R13" s="193" t="s">
        <v>104</v>
      </c>
      <c r="S13" s="193"/>
      <c r="T13" s="279"/>
      <c r="U13" s="279"/>
    </row>
    <row r="14" spans="1:21">
      <c r="A14" s="304"/>
      <c r="B14" s="307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193" t="s">
        <v>104</v>
      </c>
      <c r="M14" s="193" t="s">
        <v>104</v>
      </c>
      <c r="N14" s="277">
        <f>O14</f>
        <v>0</v>
      </c>
      <c r="O14" s="278">
        <f>G14*K14</f>
        <v>0</v>
      </c>
      <c r="P14" s="193" t="s">
        <v>104</v>
      </c>
      <c r="Q14" s="193"/>
      <c r="R14" s="193" t="s">
        <v>104</v>
      </c>
      <c r="S14" s="193"/>
      <c r="T14" s="279">
        <f>H14*K14</f>
        <v>0</v>
      </c>
      <c r="U14" s="279">
        <f>I14*K14</f>
        <v>0</v>
      </c>
    </row>
    <row r="15" spans="1:21">
      <c r="A15" s="304"/>
      <c r="B15" s="307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193" t="s">
        <v>104</v>
      </c>
      <c r="M15" s="193" t="s">
        <v>104</v>
      </c>
      <c r="N15" s="277">
        <f>O15</f>
        <v>624263.94000000006</v>
      </c>
      <c r="O15" s="278">
        <f t="shared" ref="O15:O21" si="0">G15*K15</f>
        <v>624263.94000000006</v>
      </c>
      <c r="P15" s="193" t="s">
        <v>104</v>
      </c>
      <c r="Q15" s="193"/>
      <c r="R15" s="193" t="s">
        <v>104</v>
      </c>
      <c r="S15" s="193"/>
      <c r="T15" s="279">
        <f>H15*K15</f>
        <v>624263.94000000006</v>
      </c>
      <c r="U15" s="279">
        <f>I15*K15</f>
        <v>624263.94000000006</v>
      </c>
    </row>
    <row r="16" spans="1:21">
      <c r="A16" s="304"/>
      <c r="B16" s="307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193" t="s">
        <v>104</v>
      </c>
      <c r="M16" s="193" t="s">
        <v>104</v>
      </c>
      <c r="N16" s="277">
        <f t="shared" ref="N16:N21" si="2">O16</f>
        <v>184936.5</v>
      </c>
      <c r="O16" s="278">
        <f t="shared" si="0"/>
        <v>184936.5</v>
      </c>
      <c r="P16" s="193" t="s">
        <v>104</v>
      </c>
      <c r="Q16" s="193"/>
      <c r="R16" s="193" t="s">
        <v>104</v>
      </c>
      <c r="S16" s="193"/>
      <c r="T16" s="279">
        <f t="shared" ref="T16:T21" si="3">H16*K16</f>
        <v>184936.5</v>
      </c>
      <c r="U16" s="279">
        <f t="shared" ref="U16:U21" si="4">I16*K16</f>
        <v>184936.5</v>
      </c>
    </row>
    <row r="17" spans="1:24">
      <c r="A17" s="304"/>
      <c r="B17" s="307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193" t="s">
        <v>104</v>
      </c>
      <c r="M17" s="193" t="s">
        <v>104</v>
      </c>
      <c r="N17" s="277">
        <f t="shared" si="2"/>
        <v>1459949.04</v>
      </c>
      <c r="O17" s="278">
        <f t="shared" si="0"/>
        <v>1459949.04</v>
      </c>
      <c r="P17" s="193" t="s">
        <v>104</v>
      </c>
      <c r="Q17" s="193"/>
      <c r="R17" s="193" t="s">
        <v>104</v>
      </c>
      <c r="S17" s="193"/>
      <c r="T17" s="279">
        <f t="shared" si="3"/>
        <v>1459949.04</v>
      </c>
      <c r="U17" s="279">
        <f t="shared" si="4"/>
        <v>1459949.04</v>
      </c>
    </row>
    <row r="18" spans="1:24">
      <c r="A18" s="304"/>
      <c r="B18" s="307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193" t="s">
        <v>104</v>
      </c>
      <c r="M18" s="193" t="s">
        <v>104</v>
      </c>
      <c r="N18" s="277">
        <f t="shared" si="2"/>
        <v>349781.66</v>
      </c>
      <c r="O18" s="278">
        <f t="shared" si="0"/>
        <v>349781.66</v>
      </c>
      <c r="P18" s="193" t="s">
        <v>104</v>
      </c>
      <c r="Q18" s="193"/>
      <c r="R18" s="193" t="s">
        <v>104</v>
      </c>
      <c r="S18" s="193"/>
      <c r="T18" s="279">
        <f t="shared" si="3"/>
        <v>349781.66</v>
      </c>
      <c r="U18" s="279">
        <f t="shared" si="4"/>
        <v>349781.66</v>
      </c>
    </row>
    <row r="19" spans="1:24">
      <c r="A19" s="304"/>
      <c r="B19" s="307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193"/>
      <c r="M19" s="193"/>
      <c r="N19" s="277">
        <f t="shared" si="2"/>
        <v>0</v>
      </c>
      <c r="O19" s="278">
        <f t="shared" si="0"/>
        <v>0</v>
      </c>
      <c r="P19" s="193" t="s">
        <v>104</v>
      </c>
      <c r="Q19" s="193"/>
      <c r="R19" s="193" t="s">
        <v>104</v>
      </c>
      <c r="S19" s="193"/>
      <c r="T19" s="279">
        <f t="shared" si="3"/>
        <v>0</v>
      </c>
      <c r="U19" s="279">
        <f t="shared" si="4"/>
        <v>0</v>
      </c>
    </row>
    <row r="20" spans="1:24">
      <c r="A20" s="304"/>
      <c r="B20" s="307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193" t="s">
        <v>104</v>
      </c>
      <c r="M20" s="193" t="s">
        <v>104</v>
      </c>
      <c r="N20" s="277">
        <f t="shared" si="2"/>
        <v>99648.29</v>
      </c>
      <c r="O20" s="278">
        <f t="shared" si="0"/>
        <v>99648.29</v>
      </c>
      <c r="P20" s="193" t="s">
        <v>104</v>
      </c>
      <c r="Q20" s="193"/>
      <c r="R20" s="193" t="s">
        <v>104</v>
      </c>
      <c r="S20" s="193"/>
      <c r="T20" s="279">
        <f t="shared" si="3"/>
        <v>99648.29</v>
      </c>
      <c r="U20" s="279">
        <f t="shared" si="4"/>
        <v>99648.29</v>
      </c>
    </row>
    <row r="21" spans="1:24">
      <c r="A21" s="304"/>
      <c r="B21" s="307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193" t="s">
        <v>104</v>
      </c>
      <c r="M21" s="193" t="s">
        <v>104</v>
      </c>
      <c r="N21" s="277">
        <f t="shared" si="2"/>
        <v>23553.439999999999</v>
      </c>
      <c r="O21" s="278">
        <f t="shared" si="0"/>
        <v>23553.439999999999</v>
      </c>
      <c r="P21" s="193" t="s">
        <v>104</v>
      </c>
      <c r="Q21" s="193"/>
      <c r="R21" s="193" t="s">
        <v>104</v>
      </c>
      <c r="S21" s="193"/>
      <c r="T21" s="279">
        <f t="shared" si="3"/>
        <v>23553.439999999999</v>
      </c>
      <c r="U21" s="279">
        <f t="shared" si="4"/>
        <v>23553.439999999999</v>
      </c>
    </row>
    <row r="22" spans="1:24" ht="82.8">
      <c r="A22" s="304"/>
      <c r="B22" s="307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148751.95949380999</v>
      </c>
      <c r="K22" s="75">
        <f>121412.92+1329.32+2092.83</f>
        <v>124835.07</v>
      </c>
      <c r="L22" s="193">
        <f>4001.99*2.411294+806.67</f>
        <v>10456.644475059999</v>
      </c>
      <c r="M22" s="349">
        <f>7790.73-12.84104938+5531.48+63.0324074+50.92592593+36.9177348</f>
        <v>13460.245018749998</v>
      </c>
      <c r="N22" s="278">
        <f>SUM(O22:R22)</f>
        <v>446255.87848143</v>
      </c>
      <c r="O22" s="278">
        <f>G22*K22</f>
        <v>374505.21</v>
      </c>
      <c r="P22" s="278">
        <f>G22*L22</f>
        <v>31369.933425179996</v>
      </c>
      <c r="Q22" s="278"/>
      <c r="R22" s="46">
        <f>G22*M22</f>
        <v>40380.735056249992</v>
      </c>
      <c r="S22" s="46"/>
      <c r="T22" s="279">
        <f>H22*J22+10080.48</f>
        <v>456336.35848142998</v>
      </c>
      <c r="U22" s="279">
        <f>T22</f>
        <v>456336.35848142998</v>
      </c>
    </row>
    <row r="23" spans="1:24">
      <c r="A23" s="304"/>
      <c r="B23" s="308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6">H12+H22</f>
        <v>289</v>
      </c>
      <c r="I23" s="59">
        <f t="shared" si="6"/>
        <v>289</v>
      </c>
      <c r="J23" s="71" t="s">
        <v>104</v>
      </c>
      <c r="K23" s="71" t="s">
        <v>104</v>
      </c>
      <c r="L23" s="278" t="s">
        <v>104</v>
      </c>
      <c r="M23" s="278" t="s">
        <v>104</v>
      </c>
      <c r="N23" s="278">
        <f>SUM(N12:N22)</f>
        <v>16865660.373711087</v>
      </c>
      <c r="O23" s="278">
        <f t="shared" ref="O23:R23" si="7">SUM(O12:O22)</f>
        <v>9953691.0600000005</v>
      </c>
      <c r="P23" s="278">
        <f t="shared" si="7"/>
        <v>3021961.5432923399</v>
      </c>
      <c r="Q23" s="278"/>
      <c r="R23" s="278">
        <f t="shared" si="7"/>
        <v>3890007.7704187492</v>
      </c>
      <c r="S23" s="278"/>
      <c r="T23" s="46">
        <f>SUM(T12:T22)</f>
        <v>17738979.07371109</v>
      </c>
      <c r="U23" s="46">
        <f>SUM(U12:U22)</f>
        <v>17738979.07371109</v>
      </c>
      <c r="W23" s="85">
        <f>R23+R30+R36+R42</f>
        <v>8722235.7321499977</v>
      </c>
    </row>
    <row r="24" spans="1:24" ht="82.8">
      <c r="A24" s="304"/>
      <c r="B24" s="305" t="s">
        <v>238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61978.189493810001</v>
      </c>
      <c r="K24" s="107">
        <f>34346.05+1622.42+2092.83</f>
        <v>38061.300000000003</v>
      </c>
      <c r="L24" s="349">
        <f>4001.99*2.411294+806.67</f>
        <v>10456.644475059999</v>
      </c>
      <c r="M24" s="349">
        <f>7790.73-12.84104938+5531.48+63.0324074+50.92592593+36.9177348</f>
        <v>13460.245018749998</v>
      </c>
      <c r="N24" s="278">
        <f>SUM(O24:R24)</f>
        <v>14998721.857502021</v>
      </c>
      <c r="O24" s="278">
        <f>G24*K24</f>
        <v>9210834.6000000015</v>
      </c>
      <c r="P24" s="280">
        <f>G24*L24</f>
        <v>2530507.9629645199</v>
      </c>
      <c r="Q24" s="280"/>
      <c r="R24" s="46">
        <f>G24*M24</f>
        <v>3257379.2945374995</v>
      </c>
      <c r="S24" s="46"/>
      <c r="T24" s="46">
        <f>H24*J24+813158.84-415950</f>
        <v>15395930.697502021</v>
      </c>
      <c r="U24" s="46">
        <f>T24</f>
        <v>15395930.697502021</v>
      </c>
      <c r="X24" s="85"/>
    </row>
    <row r="25" spans="1:24" ht="111.75" customHeight="1">
      <c r="A25" s="304"/>
      <c r="B25" s="305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123" t="s">
        <v>104</v>
      </c>
      <c r="M25" s="123" t="s">
        <v>104</v>
      </c>
      <c r="N25" s="278"/>
      <c r="O25" s="278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>
      <c r="A26" s="304"/>
      <c r="B26" s="305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123" t="s">
        <v>104</v>
      </c>
      <c r="M26" s="123" t="s">
        <v>104</v>
      </c>
      <c r="N26" s="278">
        <f>O26</f>
        <v>277404.75</v>
      </c>
      <c r="O26" s="278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>
      <c r="A27" s="304"/>
      <c r="B27" s="305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8">K27</f>
        <v>266106.15000000002</v>
      </c>
      <c r="K27" s="75">
        <v>266106.15000000002</v>
      </c>
      <c r="L27" s="123" t="s">
        <v>104</v>
      </c>
      <c r="M27" s="123" t="s">
        <v>104</v>
      </c>
      <c r="N27" s="278">
        <f t="shared" ref="N27:N28" si="9">O27</f>
        <v>532212.30000000005</v>
      </c>
      <c r="O27" s="278">
        <f t="shared" ref="O27:O28" si="10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1">H27*K27</f>
        <v>532212.30000000005</v>
      </c>
      <c r="U27" s="46">
        <f t="shared" ref="U27:U28" si="12">I27*K27</f>
        <v>532212.30000000005</v>
      </c>
    </row>
    <row r="28" spans="1:24" ht="21" customHeight="1">
      <c r="A28" s="304"/>
      <c r="B28" s="305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8"/>
        <v>23553.439999999999</v>
      </c>
      <c r="K28" s="75">
        <v>23553.439999999999</v>
      </c>
      <c r="L28" s="123" t="s">
        <v>104</v>
      </c>
      <c r="M28" s="123" t="s">
        <v>104</v>
      </c>
      <c r="N28" s="278">
        <f t="shared" si="9"/>
        <v>23553.439999999999</v>
      </c>
      <c r="O28" s="278">
        <f t="shared" si="10"/>
        <v>23553.439999999999</v>
      </c>
      <c r="P28" s="123" t="s">
        <v>104</v>
      </c>
      <c r="Q28" s="123"/>
      <c r="R28" s="123" t="s">
        <v>104</v>
      </c>
      <c r="S28" s="123"/>
      <c r="T28" s="46">
        <f t="shared" si="11"/>
        <v>23553.439999999999</v>
      </c>
      <c r="U28" s="46">
        <f t="shared" si="12"/>
        <v>23553.439999999999</v>
      </c>
    </row>
    <row r="29" spans="1:24" ht="82.8">
      <c r="A29" s="304"/>
      <c r="B29" s="305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155122.88</v>
      </c>
      <c r="K29" s="73">
        <f>151407.63+1622.42+2092.83</f>
        <v>155122.88</v>
      </c>
      <c r="L29" s="349">
        <f>4001.99*2.411294+806.67</f>
        <v>10456.644475059999</v>
      </c>
      <c r="M29" s="349">
        <f>7790.73-12.84104938+5531.48+63.0324074+50.92592593+36.9177348</f>
        <v>13460.245018749998</v>
      </c>
      <c r="N29" s="278">
        <f>SUM(O29:R29)</f>
        <v>358079.53898761998</v>
      </c>
      <c r="O29" s="278">
        <f>G29*K29</f>
        <v>310245.76000000001</v>
      </c>
      <c r="P29" s="280">
        <f>G29*L29</f>
        <v>20913.288950119997</v>
      </c>
      <c r="Q29" s="280"/>
      <c r="R29" s="46">
        <f>G29*M29</f>
        <v>26920.490037499996</v>
      </c>
      <c r="S29" s="46"/>
      <c r="T29" s="46">
        <f>N29+6720.32</f>
        <v>364799.85898761998</v>
      </c>
      <c r="U29" s="46">
        <f>T29</f>
        <v>364799.85898761998</v>
      </c>
    </row>
    <row r="30" spans="1:24">
      <c r="A30" s="304"/>
      <c r="B30" s="187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3">H24+H29</f>
        <v>244</v>
      </c>
      <c r="I30" s="60">
        <f t="shared" si="13"/>
        <v>244</v>
      </c>
      <c r="J30" s="59" t="s">
        <v>104</v>
      </c>
      <c r="K30" s="59" t="s">
        <v>104</v>
      </c>
      <c r="L30" s="123" t="s">
        <v>104</v>
      </c>
      <c r="M30" s="123" t="s">
        <v>104</v>
      </c>
      <c r="N30" s="194">
        <f>SUM(N24:N29)</f>
        <v>16189971.886489641</v>
      </c>
      <c r="O30" s="194">
        <f t="shared" ref="O30:U30" si="14">SUM(O24:O29)</f>
        <v>10354250.850000001</v>
      </c>
      <c r="P30" s="194">
        <f t="shared" si="14"/>
        <v>2551421.25191464</v>
      </c>
      <c r="Q30" s="194"/>
      <c r="R30" s="194">
        <f t="shared" si="14"/>
        <v>3284299.7845749995</v>
      </c>
      <c r="S30" s="194"/>
      <c r="T30" s="194">
        <f t="shared" si="14"/>
        <v>16593901.046489641</v>
      </c>
      <c r="U30" s="194">
        <f t="shared" si="14"/>
        <v>16593901.046489641</v>
      </c>
    </row>
    <row r="31" spans="1:24" ht="82.95" customHeight="1">
      <c r="A31" s="304"/>
      <c r="B31" s="306" t="s">
        <v>239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69080.629493810004</v>
      </c>
      <c r="K31" s="107">
        <f>41105.12+1965.79+2092.83</f>
        <v>45163.740000000005</v>
      </c>
      <c r="L31" s="349">
        <f>4001.99*2.411294+806.67</f>
        <v>10456.644475059999</v>
      </c>
      <c r="M31" s="349">
        <f>7790.73-12.84104938+5531.48+63.0324074+50.92592593+36.9177348</f>
        <v>13460.245018749998</v>
      </c>
      <c r="N31" s="280">
        <f>SUM(O31:R31)</f>
        <v>3177709.0467152605</v>
      </c>
      <c r="O31" s="280">
        <f>G31*K31</f>
        <v>2077532.0400000003</v>
      </c>
      <c r="P31" s="280">
        <f>G31*L31+0.09</f>
        <v>481005.73585275997</v>
      </c>
      <c r="Q31" s="280"/>
      <c r="R31" s="46">
        <f>G31*M31</f>
        <v>619171.27086249995</v>
      </c>
      <c r="S31" s="46"/>
      <c r="T31" s="46">
        <f>N31+154567.38</f>
        <v>3332276.4267152604</v>
      </c>
      <c r="U31" s="46">
        <f>T31</f>
        <v>3332276.4267152604</v>
      </c>
    </row>
    <row r="32" spans="1:24" ht="82.8">
      <c r="A32" s="304"/>
      <c r="B32" s="307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123" t="s">
        <v>104</v>
      </c>
      <c r="M32" s="123" t="s">
        <v>104</v>
      </c>
      <c r="N32" s="278"/>
      <c r="O32" s="278"/>
      <c r="P32" s="123" t="s">
        <v>104</v>
      </c>
      <c r="Q32" s="123"/>
      <c r="R32" s="123" t="s">
        <v>104</v>
      </c>
      <c r="S32" s="123"/>
      <c r="T32" s="46"/>
      <c r="U32" s="46"/>
    </row>
    <row r="33" spans="1:24">
      <c r="A33" s="304"/>
      <c r="B33" s="307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5">K33</f>
        <v>23553.439999999999</v>
      </c>
      <c r="K33" s="75">
        <v>23553.439999999999</v>
      </c>
      <c r="L33" s="123" t="s">
        <v>104</v>
      </c>
      <c r="M33" s="123" t="s">
        <v>104</v>
      </c>
      <c r="N33" s="278">
        <f t="shared" ref="N33" si="16">O33</f>
        <v>0</v>
      </c>
      <c r="O33" s="278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7">H33*K33</f>
        <v>0</v>
      </c>
      <c r="U33" s="46">
        <f t="shared" ref="U33" si="18">I33*K33</f>
        <v>0</v>
      </c>
      <c r="W33" s="80">
        <v>44488515.039999999</v>
      </c>
    </row>
    <row r="34" spans="1:24" ht="82.8">
      <c r="A34" s="304"/>
      <c r="B34" s="307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194"/>
      <c r="M34" s="280"/>
      <c r="N34" s="280"/>
      <c r="O34" s="280"/>
      <c r="P34" s="280"/>
      <c r="Q34" s="280"/>
      <c r="R34" s="280"/>
      <c r="S34" s="280"/>
      <c r="T34" s="46">
        <f t="shared" ref="T34:T133" si="19">H34*J34</f>
        <v>0</v>
      </c>
      <c r="U34" s="46">
        <f t="shared" ref="U34:U133" si="20">I34*J34</f>
        <v>0</v>
      </c>
      <c r="W34" s="85">
        <f>T46-W33</f>
        <v>1.9888803362846375E-3</v>
      </c>
    </row>
    <row r="35" spans="1:24" ht="92.4" customHeight="1">
      <c r="A35" s="304"/>
      <c r="B35" s="308"/>
      <c r="C35" s="166" t="s">
        <v>254</v>
      </c>
      <c r="D35" s="167" t="s">
        <v>101</v>
      </c>
      <c r="E35" s="168">
        <v>69</v>
      </c>
      <c r="F35" s="168">
        <v>69</v>
      </c>
      <c r="G35" s="60">
        <v>69</v>
      </c>
      <c r="H35" s="60">
        <v>69</v>
      </c>
      <c r="I35" s="60">
        <v>69</v>
      </c>
      <c r="J35" s="73">
        <f>K35+L35</f>
        <v>46839.094475060003</v>
      </c>
      <c r="K35" s="73">
        <f>32323.83+1965.79+2092.83</f>
        <v>36382.450000000004</v>
      </c>
      <c r="L35" s="349">
        <f>4001.99*2.411294+806.67</f>
        <v>10456.644475059999</v>
      </c>
      <c r="M35" s="349">
        <f>7790.73-12.84104938+5531.48+63.0324074+50.92592593+36.9177348</f>
        <v>13460.245018749998</v>
      </c>
      <c r="N35" s="280">
        <f>SUM(O35:R35)</f>
        <v>4160654.4250728898</v>
      </c>
      <c r="O35" s="280">
        <f>G35*K35</f>
        <v>2510389.0500000003</v>
      </c>
      <c r="P35" s="280">
        <f>G35*L35</f>
        <v>721508.46877913992</v>
      </c>
      <c r="Q35" s="123" t="s">
        <v>104</v>
      </c>
      <c r="R35" s="278">
        <f>M35*G35</f>
        <v>928756.90629374981</v>
      </c>
      <c r="S35" s="123" t="s">
        <v>104</v>
      </c>
      <c r="T35" s="46">
        <f>N35+231851.07</f>
        <v>4392505.4950728901</v>
      </c>
      <c r="U35" s="46">
        <f>T35</f>
        <v>4392505.4950728901</v>
      </c>
    </row>
    <row r="36" spans="1:24">
      <c r="A36" s="304"/>
      <c r="B36" s="187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280" t="s">
        <v>104</v>
      </c>
      <c r="M36" s="280" t="s">
        <v>104</v>
      </c>
      <c r="N36" s="194">
        <f>SUM(N31:N35)</f>
        <v>7338363.4717881503</v>
      </c>
      <c r="O36" s="194">
        <f>SUM(O31:O35)</f>
        <v>4587921.0900000008</v>
      </c>
      <c r="P36" s="194">
        <f>SUM(P31:P35)</f>
        <v>1202514.2046318999</v>
      </c>
      <c r="Q36" s="194"/>
      <c r="R36" s="194">
        <f>SUM(R31:R35)</f>
        <v>1547928.1771562498</v>
      </c>
      <c r="S36" s="194"/>
      <c r="T36" s="194">
        <f>SUM(T31:T35)</f>
        <v>7724781.9217881504</v>
      </c>
      <c r="U36" s="194">
        <f>SUM(U31:U35)</f>
        <v>7724781.9217881504</v>
      </c>
      <c r="W36" s="80">
        <f>R46/576</f>
        <v>15142.770368315969</v>
      </c>
    </row>
    <row r="37" spans="1:24" ht="100.95" customHeight="1">
      <c r="A37" s="304"/>
      <c r="B37" s="137" t="s">
        <v>240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280" t="s">
        <v>104</v>
      </c>
      <c r="M37" s="280" t="s">
        <v>104</v>
      </c>
      <c r="N37" s="280">
        <f>SUM(O37:R37)</f>
        <v>2430853</v>
      </c>
      <c r="O37" s="280">
        <f>J37*G37+0.85+165747</f>
        <v>2430853</v>
      </c>
      <c r="P37" s="280" t="s">
        <v>104</v>
      </c>
      <c r="Q37" s="280"/>
      <c r="R37" s="280" t="s">
        <v>104</v>
      </c>
      <c r="S37" s="280"/>
      <c r="T37" s="46">
        <f>N37</f>
        <v>2430853</v>
      </c>
      <c r="U37" s="46">
        <f>T37</f>
        <v>2430853</v>
      </c>
    </row>
    <row r="38" spans="1:24">
      <c r="A38" s="304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280" t="s">
        <v>104</v>
      </c>
      <c r="M38" s="194">
        <f t="shared" ref="M38:U38" si="22">SUM(M37:M37)</f>
        <v>0</v>
      </c>
      <c r="N38" s="194">
        <f t="shared" si="22"/>
        <v>2430853</v>
      </c>
      <c r="O38" s="194">
        <f t="shared" si="22"/>
        <v>2430853</v>
      </c>
      <c r="P38" s="194">
        <f t="shared" si="22"/>
        <v>0</v>
      </c>
      <c r="Q38" s="194"/>
      <c r="R38" s="194">
        <f t="shared" si="22"/>
        <v>0</v>
      </c>
      <c r="S38" s="194"/>
      <c r="T38" s="194">
        <f t="shared" si="22"/>
        <v>2430853</v>
      </c>
      <c r="U38" s="194">
        <f t="shared" si="22"/>
        <v>2430853</v>
      </c>
    </row>
    <row r="39" spans="1:24" ht="27" hidden="1" customHeight="1">
      <c r="A39" s="304"/>
      <c r="B39" s="214" t="s">
        <v>292</v>
      </c>
      <c r="C39" s="183" t="s">
        <v>226</v>
      </c>
      <c r="D39" s="69"/>
      <c r="E39" s="60"/>
      <c r="F39" s="60"/>
      <c r="G39" s="59"/>
      <c r="H39" s="60"/>
      <c r="I39" s="60"/>
      <c r="J39" s="73"/>
      <c r="K39" s="73"/>
      <c r="L39" s="280"/>
      <c r="M39" s="194"/>
      <c r="N39" s="194">
        <f>P39</f>
        <v>0</v>
      </c>
      <c r="O39" s="194"/>
      <c r="P39" s="194"/>
      <c r="Q39" s="194"/>
      <c r="R39" s="194"/>
      <c r="S39" s="194"/>
      <c r="T39" s="194">
        <f>P39</f>
        <v>0</v>
      </c>
      <c r="U39" s="194">
        <f>T39</f>
        <v>0</v>
      </c>
    </row>
    <row r="40" spans="1:24" hidden="1">
      <c r="A40" s="304"/>
      <c r="B40" s="89" t="s">
        <v>225</v>
      </c>
      <c r="C40" s="183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280"/>
      <c r="M40" s="194"/>
      <c r="N40" s="194">
        <f>S40</f>
        <v>0</v>
      </c>
      <c r="O40" s="194"/>
      <c r="P40" s="194"/>
      <c r="Q40" s="194"/>
      <c r="R40" s="194"/>
      <c r="S40" s="194"/>
      <c r="T40" s="194">
        <f>S40</f>
        <v>0</v>
      </c>
      <c r="U40" s="194">
        <f>T40</f>
        <v>0</v>
      </c>
    </row>
    <row r="41" spans="1:24" hidden="1">
      <c r="A41" s="304"/>
      <c r="B41" s="89" t="s">
        <v>225</v>
      </c>
      <c r="C41" s="183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280"/>
      <c r="M41" s="194"/>
      <c r="N41" s="194"/>
      <c r="O41" s="194"/>
      <c r="P41" s="194"/>
      <c r="Q41" s="194"/>
      <c r="R41" s="194"/>
      <c r="S41" s="194"/>
      <c r="T41" s="194">
        <f>Q41</f>
        <v>0</v>
      </c>
      <c r="U41" s="194">
        <f>T41</f>
        <v>0</v>
      </c>
    </row>
    <row r="42" spans="1:24" hidden="1">
      <c r="A42" s="304"/>
      <c r="B42" s="89" t="s">
        <v>291</v>
      </c>
      <c r="C42" s="183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280"/>
      <c r="M42" s="194"/>
      <c r="N42" s="194">
        <f>S42</f>
        <v>0</v>
      </c>
      <c r="O42" s="194"/>
      <c r="P42" s="194"/>
      <c r="Q42" s="194"/>
      <c r="R42" s="194"/>
      <c r="S42" s="194"/>
      <c r="T42" s="194"/>
      <c r="U42" s="194"/>
    </row>
    <row r="43" spans="1:24" hidden="1">
      <c r="A43" s="304"/>
      <c r="B43" s="89" t="s">
        <v>307</v>
      </c>
      <c r="C43" s="183" t="s">
        <v>226</v>
      </c>
      <c r="D43" s="64"/>
      <c r="E43" s="60"/>
      <c r="F43" s="60"/>
      <c r="G43" s="59">
        <v>26</v>
      </c>
      <c r="H43" s="59">
        <v>26</v>
      </c>
      <c r="I43" s="59">
        <v>26</v>
      </c>
      <c r="J43" s="73"/>
      <c r="K43" s="73"/>
      <c r="L43" s="280"/>
      <c r="M43" s="194"/>
      <c r="N43" s="194">
        <f>O43</f>
        <v>0</v>
      </c>
      <c r="O43" s="194"/>
      <c r="P43" s="194"/>
      <c r="Q43" s="194"/>
      <c r="R43" s="194"/>
      <c r="S43" s="194"/>
      <c r="T43" s="194"/>
      <c r="U43" s="194">
        <f>T43</f>
        <v>0</v>
      </c>
    </row>
    <row r="44" spans="1:24" hidden="1">
      <c r="A44" s="304"/>
      <c r="B44" s="89" t="s">
        <v>259</v>
      </c>
      <c r="C44" s="183" t="s">
        <v>226</v>
      </c>
      <c r="D44" s="64"/>
      <c r="E44" s="60"/>
      <c r="F44" s="60"/>
      <c r="G44" s="59"/>
      <c r="H44" s="60"/>
      <c r="I44" s="60"/>
      <c r="J44" s="73"/>
      <c r="K44" s="73"/>
      <c r="L44" s="280"/>
      <c r="M44" s="194"/>
      <c r="N44" s="194">
        <f>O44</f>
        <v>0</v>
      </c>
      <c r="O44" s="194"/>
      <c r="P44" s="194"/>
      <c r="Q44" s="194"/>
      <c r="R44" s="194"/>
      <c r="S44" s="194"/>
      <c r="T44" s="194">
        <f>O44</f>
        <v>0</v>
      </c>
      <c r="U44" s="194">
        <f>T44</f>
        <v>0</v>
      </c>
    </row>
    <row r="45" spans="1:24" hidden="1">
      <c r="A45" s="304"/>
      <c r="B45" s="89" t="s">
        <v>308</v>
      </c>
      <c r="C45" s="183" t="s">
        <v>226</v>
      </c>
      <c r="D45" s="64"/>
      <c r="E45" s="60"/>
      <c r="F45" s="60"/>
      <c r="G45" s="59"/>
      <c r="H45" s="60"/>
      <c r="I45" s="60"/>
      <c r="J45" s="73"/>
      <c r="K45" s="73"/>
      <c r="L45" s="280"/>
      <c r="M45" s="194"/>
      <c r="N45" s="194">
        <f>P45</f>
        <v>0</v>
      </c>
      <c r="O45" s="194"/>
      <c r="P45" s="194"/>
      <c r="Q45" s="194"/>
      <c r="R45" s="194"/>
      <c r="S45" s="194"/>
      <c r="T45" s="194"/>
      <c r="U45" s="194">
        <f>T45</f>
        <v>0</v>
      </c>
    </row>
    <row r="46" spans="1:24">
      <c r="A46" s="304"/>
      <c r="B46" s="101" t="s">
        <v>112</v>
      </c>
      <c r="C46" s="101"/>
      <c r="D46" s="69"/>
      <c r="E46" s="102">
        <f t="shared" ref="E46:F46" si="23">E23+E30+E36</f>
        <v>648</v>
      </c>
      <c r="F46" s="102">
        <f t="shared" si="23"/>
        <v>648</v>
      </c>
      <c r="G46" s="102">
        <f>G23+G30+G36</f>
        <v>648</v>
      </c>
      <c r="H46" s="102">
        <f>H23+H30+H36</f>
        <v>648</v>
      </c>
      <c r="I46" s="102">
        <f>I23+I30+I36</f>
        <v>648</v>
      </c>
      <c r="J46" s="104"/>
      <c r="K46" s="104"/>
      <c r="L46" s="138"/>
      <c r="M46" s="138"/>
      <c r="N46" s="138">
        <f>SUM(O46:S46)</f>
        <v>42824848.731988877</v>
      </c>
      <c r="O46" s="138">
        <f>O23+O30+O36+O38+O43+O44</f>
        <v>27326716.000000004</v>
      </c>
      <c r="P46" s="138">
        <f>P23+P30+P36+P38+P39+P40+P41+P45</f>
        <v>6775896.9998388793</v>
      </c>
      <c r="Q46" s="138">
        <f t="shared" ref="Q46" si="24">Q23+Q30+Q36+Q38+Q39+Q40+Q41</f>
        <v>0</v>
      </c>
      <c r="R46" s="138">
        <f>R23+R30+R36+R38+R39+R40+R41+R42</f>
        <v>8722235.7321499977</v>
      </c>
      <c r="S46" s="138">
        <f>S23+S30+S36+S38+S39+S40+S41+S42</f>
        <v>0</v>
      </c>
      <c r="T46" s="138">
        <f>T23+T30+T36+T38+T39+T40+T41+T42+T43+T44+T45</f>
        <v>44488515.041988879</v>
      </c>
      <c r="U46" s="138">
        <f>U23+U30+U36+U38+U39+U40+U41+U42+U43+U44+U45</f>
        <v>44488515.041988879</v>
      </c>
      <c r="V46" s="80">
        <v>8722235.7300000004</v>
      </c>
      <c r="W46" s="85">
        <f>V46-R46</f>
        <v>-2.149997279047966E-3</v>
      </c>
      <c r="X46" s="80">
        <f>W46/I46</f>
        <v>-3.3178970355678487E-6</v>
      </c>
    </row>
    <row r="47" spans="1:24" ht="82.8">
      <c r="A47" s="304" t="s">
        <v>113</v>
      </c>
      <c r="B47" s="305" t="s">
        <v>237</v>
      </c>
      <c r="C47" s="61" t="s">
        <v>100</v>
      </c>
      <c r="D47" s="62" t="s">
        <v>101</v>
      </c>
      <c r="E47" s="59">
        <v>261</v>
      </c>
      <c r="F47" s="59">
        <v>261</v>
      </c>
      <c r="G47" s="59">
        <v>261</v>
      </c>
      <c r="H47" s="59">
        <v>261</v>
      </c>
      <c r="I47" s="59">
        <v>261</v>
      </c>
      <c r="J47" s="107">
        <f>SUM(K47:M47)</f>
        <v>51272.148850079997</v>
      </c>
      <c r="K47" s="107">
        <f>20483.63+1329.32+1946.36</f>
        <v>23759.31</v>
      </c>
      <c r="L47" s="350">
        <f>4001.99*2.411294+1952.93</f>
        <v>11602.904475059999</v>
      </c>
      <c r="M47" s="349">
        <f>7790.73-12.75568182+7807.95+18.93939394+305.0706629</f>
        <v>15909.934375019999</v>
      </c>
      <c r="N47" s="278">
        <f>SUM(O47:R47)</f>
        <v>13382029.55987088</v>
      </c>
      <c r="O47" s="278">
        <f>G47*K47+0.06</f>
        <v>6201179.9699999997</v>
      </c>
      <c r="P47" s="278">
        <f>G47*L47-0.75</f>
        <v>3028357.3179906597</v>
      </c>
      <c r="Q47" s="278"/>
      <c r="R47" s="46">
        <f>G47*M47-0.6</f>
        <v>4152492.2718802197</v>
      </c>
      <c r="S47" s="46"/>
      <c r="T47" s="46">
        <f>N47+827983.95-171077.31</f>
        <v>14038936.199870879</v>
      </c>
      <c r="U47" s="46">
        <f>T47</f>
        <v>14038936.199870879</v>
      </c>
    </row>
    <row r="48" spans="1:24" ht="82.8">
      <c r="A48" s="304"/>
      <c r="B48" s="305"/>
      <c r="C48" s="63" t="s">
        <v>163</v>
      </c>
      <c r="D48" s="64" t="s">
        <v>101</v>
      </c>
      <c r="E48" s="59" t="s">
        <v>104</v>
      </c>
      <c r="F48" s="59" t="s">
        <v>104</v>
      </c>
      <c r="G48" s="59" t="s">
        <v>104</v>
      </c>
      <c r="H48" s="59" t="s">
        <v>104</v>
      </c>
      <c r="I48" s="59" t="s">
        <v>104</v>
      </c>
      <c r="J48" s="59" t="s">
        <v>104</v>
      </c>
      <c r="K48" s="59" t="s">
        <v>104</v>
      </c>
      <c r="L48" s="123" t="s">
        <v>104</v>
      </c>
      <c r="M48" s="123" t="s">
        <v>104</v>
      </c>
      <c r="N48" s="278"/>
      <c r="O48" s="278"/>
      <c r="P48" s="123" t="s">
        <v>104</v>
      </c>
      <c r="Q48" s="123"/>
      <c r="R48" s="123" t="s">
        <v>104</v>
      </c>
      <c r="S48" s="123"/>
      <c r="T48" s="46"/>
      <c r="U48" s="46"/>
    </row>
    <row r="49" spans="1:21">
      <c r="A49" s="304"/>
      <c r="B49" s="305"/>
      <c r="C49" s="63" t="s">
        <v>169</v>
      </c>
      <c r="D49" s="64" t="s">
        <v>101</v>
      </c>
      <c r="E49" s="59">
        <v>5</v>
      </c>
      <c r="F49" s="59">
        <v>5</v>
      </c>
      <c r="G49" s="59">
        <v>5</v>
      </c>
      <c r="H49" s="59">
        <v>5</v>
      </c>
      <c r="I49" s="59">
        <v>5</v>
      </c>
      <c r="J49" s="75">
        <f t="shared" ref="J49:J53" si="25">K49</f>
        <v>69362.66</v>
      </c>
      <c r="K49" s="71">
        <v>69362.66</v>
      </c>
      <c r="L49" s="123"/>
      <c r="M49" s="123"/>
      <c r="N49" s="278">
        <f t="shared" ref="N49:N53" si="26">O49</f>
        <v>346813.30000000005</v>
      </c>
      <c r="O49" s="278">
        <f t="shared" ref="O49:O54" si="27">G49*K49</f>
        <v>346813.30000000005</v>
      </c>
      <c r="P49" s="123" t="s">
        <v>104</v>
      </c>
      <c r="Q49" s="123"/>
      <c r="R49" s="123" t="s">
        <v>104</v>
      </c>
      <c r="S49" s="123"/>
      <c r="T49" s="46">
        <f t="shared" ref="T49:T53" si="28">H49*K49</f>
        <v>346813.30000000005</v>
      </c>
      <c r="U49" s="46">
        <f t="shared" ref="U49:U53" si="29">I49*K49</f>
        <v>346813.30000000005</v>
      </c>
    </row>
    <row r="50" spans="1:21">
      <c r="A50" s="304"/>
      <c r="B50" s="305"/>
      <c r="C50" s="63" t="s">
        <v>166</v>
      </c>
      <c r="D50" s="64" t="s">
        <v>101</v>
      </c>
      <c r="E50" s="59">
        <v>17</v>
      </c>
      <c r="F50" s="59">
        <v>17</v>
      </c>
      <c r="G50" s="59">
        <v>17</v>
      </c>
      <c r="H50" s="59">
        <v>17</v>
      </c>
      <c r="I50" s="59">
        <v>17</v>
      </c>
      <c r="J50" s="75">
        <f t="shared" si="25"/>
        <v>66361.320000000007</v>
      </c>
      <c r="K50" s="75">
        <v>66361.320000000007</v>
      </c>
      <c r="L50" s="123" t="s">
        <v>104</v>
      </c>
      <c r="M50" s="123" t="s">
        <v>104</v>
      </c>
      <c r="N50" s="278">
        <f>O50</f>
        <v>1128142.4400000002</v>
      </c>
      <c r="O50" s="278">
        <f t="shared" si="27"/>
        <v>1128142.4400000002</v>
      </c>
      <c r="P50" s="123" t="s">
        <v>104</v>
      </c>
      <c r="Q50" s="123"/>
      <c r="R50" s="123" t="s">
        <v>104</v>
      </c>
      <c r="S50" s="123"/>
      <c r="T50" s="46">
        <f t="shared" si="28"/>
        <v>1128142.4400000002</v>
      </c>
      <c r="U50" s="46">
        <f t="shared" si="29"/>
        <v>1128142.4400000002</v>
      </c>
    </row>
    <row r="51" spans="1:21">
      <c r="A51" s="304"/>
      <c r="B51" s="305"/>
      <c r="C51" s="63" t="s">
        <v>167</v>
      </c>
      <c r="D51" s="64" t="s">
        <v>101</v>
      </c>
      <c r="E51" s="59">
        <v>3</v>
      </c>
      <c r="F51" s="59">
        <v>3</v>
      </c>
      <c r="G51" s="59">
        <v>3</v>
      </c>
      <c r="H51" s="59">
        <v>3</v>
      </c>
      <c r="I51" s="59">
        <v>3</v>
      </c>
      <c r="J51" s="75">
        <f t="shared" si="25"/>
        <v>174890.83</v>
      </c>
      <c r="K51" s="75">
        <v>174890.83</v>
      </c>
      <c r="L51" s="123" t="s">
        <v>104</v>
      </c>
      <c r="M51" s="123" t="s">
        <v>104</v>
      </c>
      <c r="N51" s="278">
        <f t="shared" si="26"/>
        <v>524672.49</v>
      </c>
      <c r="O51" s="278">
        <f t="shared" si="27"/>
        <v>524672.49</v>
      </c>
      <c r="P51" s="123" t="s">
        <v>104</v>
      </c>
      <c r="Q51" s="123"/>
      <c r="R51" s="123" t="s">
        <v>104</v>
      </c>
      <c r="S51" s="123"/>
      <c r="T51" s="46">
        <f t="shared" si="28"/>
        <v>524672.49</v>
      </c>
      <c r="U51" s="46">
        <f t="shared" si="29"/>
        <v>524672.49</v>
      </c>
    </row>
    <row r="52" spans="1:21">
      <c r="A52" s="304"/>
      <c r="B52" s="305"/>
      <c r="C52" s="63" t="s">
        <v>170</v>
      </c>
      <c r="D52" s="64" t="s">
        <v>101</v>
      </c>
      <c r="E52" s="59">
        <v>5</v>
      </c>
      <c r="F52" s="59">
        <v>5</v>
      </c>
      <c r="G52" s="59">
        <v>5</v>
      </c>
      <c r="H52" s="59">
        <v>5</v>
      </c>
      <c r="I52" s="59">
        <v>5</v>
      </c>
      <c r="J52" s="75">
        <f t="shared" si="25"/>
        <v>99648.29</v>
      </c>
      <c r="K52" s="75">
        <v>99648.29</v>
      </c>
      <c r="L52" s="123"/>
      <c r="M52" s="123"/>
      <c r="N52" s="278">
        <f t="shared" si="26"/>
        <v>498241.44999999995</v>
      </c>
      <c r="O52" s="278">
        <f t="shared" si="27"/>
        <v>498241.44999999995</v>
      </c>
      <c r="P52" s="123" t="s">
        <v>104</v>
      </c>
      <c r="Q52" s="123"/>
      <c r="R52" s="123" t="s">
        <v>104</v>
      </c>
      <c r="S52" s="123"/>
      <c r="T52" s="46">
        <f t="shared" si="28"/>
        <v>498241.44999999995</v>
      </c>
      <c r="U52" s="46">
        <f t="shared" si="29"/>
        <v>498241.44999999995</v>
      </c>
    </row>
    <row r="53" spans="1:21">
      <c r="A53" s="304"/>
      <c r="B53" s="305"/>
      <c r="C53" s="63" t="s">
        <v>168</v>
      </c>
      <c r="D53" s="64" t="s">
        <v>101</v>
      </c>
      <c r="E53" s="59"/>
      <c r="F53" s="59"/>
      <c r="G53" s="59"/>
      <c r="H53" s="59"/>
      <c r="I53" s="59"/>
      <c r="J53" s="75">
        <f t="shared" si="25"/>
        <v>23553.439999999999</v>
      </c>
      <c r="K53" s="75">
        <v>23553.439999999999</v>
      </c>
      <c r="L53" s="123" t="s">
        <v>104</v>
      </c>
      <c r="M53" s="123" t="s">
        <v>104</v>
      </c>
      <c r="N53" s="278">
        <f t="shared" si="26"/>
        <v>0</v>
      </c>
      <c r="O53" s="278">
        <f t="shared" si="27"/>
        <v>0</v>
      </c>
      <c r="P53" s="123" t="s">
        <v>104</v>
      </c>
      <c r="Q53" s="123"/>
      <c r="R53" s="123" t="s">
        <v>104</v>
      </c>
      <c r="S53" s="123"/>
      <c r="T53" s="46">
        <f t="shared" si="28"/>
        <v>0</v>
      </c>
      <c r="U53" s="46">
        <f t="shared" si="29"/>
        <v>0</v>
      </c>
    </row>
    <row r="54" spans="1:21" ht="82.8">
      <c r="A54" s="304"/>
      <c r="B54" s="305"/>
      <c r="C54" s="61" t="s">
        <v>105</v>
      </c>
      <c r="D54" s="64" t="s">
        <v>101</v>
      </c>
      <c r="E54" s="59">
        <v>2</v>
      </c>
      <c r="F54" s="59">
        <v>2</v>
      </c>
      <c r="G54" s="59">
        <v>2</v>
      </c>
      <c r="H54" s="59">
        <v>2</v>
      </c>
      <c r="I54" s="59">
        <v>2</v>
      </c>
      <c r="J54" s="75">
        <f>SUM(K54:M54)</f>
        <v>152201.43885008001</v>
      </c>
      <c r="K54" s="75">
        <f>121412.92+1329.32+1946.36</f>
        <v>124688.6</v>
      </c>
      <c r="L54" s="46">
        <f>4001.99*2.411294+1952.93</f>
        <v>11602.904475059999</v>
      </c>
      <c r="M54" s="349">
        <f>7790.73-12.75568182+7807.95+18.93939394+305.0706629</f>
        <v>15909.934375019999</v>
      </c>
      <c r="N54" s="278">
        <f>SUM(O54:R54)</f>
        <v>304402.87770016002</v>
      </c>
      <c r="O54" s="278">
        <f t="shared" si="27"/>
        <v>249377.2</v>
      </c>
      <c r="P54" s="278">
        <f>G54*L54</f>
        <v>23205.808950119997</v>
      </c>
      <c r="Q54" s="278"/>
      <c r="R54" s="46">
        <f>G54*M54</f>
        <v>31819.868750039997</v>
      </c>
      <c r="S54" s="46"/>
      <c r="T54" s="46">
        <f>H54*J54+6344.7</f>
        <v>310747.57770016004</v>
      </c>
      <c r="U54" s="46">
        <f>T54</f>
        <v>310747.57770016004</v>
      </c>
    </row>
    <row r="55" spans="1:21">
      <c r="A55" s="304"/>
      <c r="B55" s="305"/>
      <c r="C55" s="66" t="s">
        <v>106</v>
      </c>
      <c r="D55" s="67"/>
      <c r="E55" s="59">
        <f>E47+E54</f>
        <v>263</v>
      </c>
      <c r="F55" s="59">
        <f>F47+F54</f>
        <v>263</v>
      </c>
      <c r="G55" s="59">
        <f>G47+G54</f>
        <v>263</v>
      </c>
      <c r="H55" s="59">
        <f>H47+H54</f>
        <v>263</v>
      </c>
      <c r="I55" s="59">
        <f>I47+I54</f>
        <v>263</v>
      </c>
      <c r="J55" s="71" t="s">
        <v>104</v>
      </c>
      <c r="K55" s="71" t="s">
        <v>104</v>
      </c>
      <c r="L55" s="278" t="s">
        <v>104</v>
      </c>
      <c r="M55" s="278" t="s">
        <v>104</v>
      </c>
      <c r="N55" s="278">
        <f t="shared" ref="N55:R55" si="30">SUM(N47:N54)</f>
        <v>16184302.117571039</v>
      </c>
      <c r="O55" s="278">
        <f t="shared" si="30"/>
        <v>8948426.8499999996</v>
      </c>
      <c r="P55" s="278">
        <f>SUM(P47:P54)</f>
        <v>3051563.1269407799</v>
      </c>
      <c r="Q55" s="278"/>
      <c r="R55" s="278">
        <f t="shared" si="30"/>
        <v>4184312.1406302596</v>
      </c>
      <c r="S55" s="278"/>
      <c r="T55" s="46">
        <f>SUM(T47:T54)</f>
        <v>16847553.457571037</v>
      </c>
      <c r="U55" s="46">
        <f>SUM(U47:U54)</f>
        <v>16847553.457571037</v>
      </c>
    </row>
    <row r="56" spans="1:21" ht="82.8">
      <c r="A56" s="304"/>
      <c r="B56" s="305" t="s">
        <v>238</v>
      </c>
      <c r="C56" s="61" t="s">
        <v>100</v>
      </c>
      <c r="D56" s="62" t="s">
        <v>101</v>
      </c>
      <c r="E56" s="59">
        <v>219</v>
      </c>
      <c r="F56" s="59">
        <v>219</v>
      </c>
      <c r="G56" s="59">
        <v>219</v>
      </c>
      <c r="H56" s="59">
        <v>219</v>
      </c>
      <c r="I56" s="59">
        <v>219</v>
      </c>
      <c r="J56" s="107">
        <f>SUM(K56:M56)</f>
        <v>65427.668850080001</v>
      </c>
      <c r="K56" s="107">
        <f>34346.05+1622.42+1946.36</f>
        <v>37914.83</v>
      </c>
      <c r="L56" s="349">
        <f>4001.99*2.411294+1952.93</f>
        <v>11602.904475059999</v>
      </c>
      <c r="M56" s="349">
        <f>7790.73-12.75568182+7807.95+18.93939394+305.0706629</f>
        <v>15909.934375019999</v>
      </c>
      <c r="N56" s="278">
        <f>SUM(O56:R56)</f>
        <v>14328659.478167521</v>
      </c>
      <c r="O56" s="278">
        <f>G56*K56</f>
        <v>8303347.7700000005</v>
      </c>
      <c r="P56" s="278">
        <f>G56*L56</f>
        <v>2541036.0800381396</v>
      </c>
      <c r="Q56" s="278"/>
      <c r="R56" s="46">
        <f>G56*M56</f>
        <v>3484275.6281293798</v>
      </c>
      <c r="S56" s="46"/>
      <c r="T56" s="46">
        <f>H56*J56+694745.15-315850</f>
        <v>14707554.628167521</v>
      </c>
      <c r="U56" s="46">
        <f>T56</f>
        <v>14707554.628167521</v>
      </c>
    </row>
    <row r="57" spans="1:21" ht="82.8">
      <c r="A57" s="304"/>
      <c r="B57" s="305"/>
      <c r="C57" s="63" t="s">
        <v>102</v>
      </c>
      <c r="D57" s="64" t="s">
        <v>101</v>
      </c>
      <c r="E57" s="59" t="s">
        <v>104</v>
      </c>
      <c r="F57" s="59" t="s">
        <v>104</v>
      </c>
      <c r="G57" s="59" t="s">
        <v>104</v>
      </c>
      <c r="H57" s="59" t="s">
        <v>104</v>
      </c>
      <c r="I57" s="59" t="s">
        <v>104</v>
      </c>
      <c r="J57" s="59" t="s">
        <v>104</v>
      </c>
      <c r="K57" s="59" t="s">
        <v>191</v>
      </c>
      <c r="L57" s="123" t="s">
        <v>104</v>
      </c>
      <c r="M57" s="123" t="s">
        <v>104</v>
      </c>
      <c r="N57" s="278"/>
      <c r="O57" s="278"/>
      <c r="P57" s="123" t="s">
        <v>104</v>
      </c>
      <c r="Q57" s="123"/>
      <c r="R57" s="123" t="s">
        <v>104</v>
      </c>
      <c r="S57" s="123"/>
      <c r="T57" s="46"/>
      <c r="U57" s="46"/>
    </row>
    <row r="58" spans="1:21">
      <c r="A58" s="304"/>
      <c r="B58" s="305"/>
      <c r="C58" s="63" t="s">
        <v>190</v>
      </c>
      <c r="D58" s="64" t="s">
        <v>101</v>
      </c>
      <c r="E58" s="60">
        <v>1</v>
      </c>
      <c r="F58" s="60">
        <v>1</v>
      </c>
      <c r="G58" s="60">
        <v>1</v>
      </c>
      <c r="H58" s="60">
        <v>1</v>
      </c>
      <c r="I58" s="60">
        <v>1</v>
      </c>
      <c r="J58" s="75">
        <f t="shared" ref="J58:J60" si="31">K58</f>
        <v>165500.54</v>
      </c>
      <c r="K58" s="75">
        <v>165500.54</v>
      </c>
      <c r="L58" s="123" t="s">
        <v>104</v>
      </c>
      <c r="M58" s="123" t="s">
        <v>104</v>
      </c>
      <c r="N58" s="278">
        <f t="shared" ref="N58:N60" si="32">O58</f>
        <v>165500.54</v>
      </c>
      <c r="O58" s="278">
        <f>G58*K58</f>
        <v>165500.54</v>
      </c>
      <c r="P58" s="123" t="s">
        <v>104</v>
      </c>
      <c r="Q58" s="123"/>
      <c r="R58" s="123" t="s">
        <v>104</v>
      </c>
      <c r="S58" s="123"/>
      <c r="T58" s="46">
        <f t="shared" ref="T58:T60" si="33">H58*K58</f>
        <v>165500.54</v>
      </c>
      <c r="U58" s="46">
        <f t="shared" ref="U58:U60" si="34">I58*K58</f>
        <v>165500.54</v>
      </c>
    </row>
    <row r="59" spans="1:21">
      <c r="A59" s="304"/>
      <c r="B59" s="305"/>
      <c r="C59" s="63" t="s">
        <v>170</v>
      </c>
      <c r="D59" s="64" t="s">
        <v>101</v>
      </c>
      <c r="E59" s="60">
        <v>2</v>
      </c>
      <c r="F59" s="60">
        <v>2</v>
      </c>
      <c r="G59" s="60">
        <v>2</v>
      </c>
      <c r="H59" s="60">
        <v>2</v>
      </c>
      <c r="I59" s="60">
        <v>2</v>
      </c>
      <c r="J59" s="75">
        <f t="shared" si="31"/>
        <v>32769.75</v>
      </c>
      <c r="K59" s="75">
        <v>32769.75</v>
      </c>
      <c r="L59" s="123" t="s">
        <v>104</v>
      </c>
      <c r="M59" s="123" t="s">
        <v>104</v>
      </c>
      <c r="N59" s="278">
        <f t="shared" si="32"/>
        <v>65539.5</v>
      </c>
      <c r="O59" s="278">
        <f t="shared" ref="O59:O60" si="35">G59*K59</f>
        <v>65539.5</v>
      </c>
      <c r="P59" s="123" t="s">
        <v>104</v>
      </c>
      <c r="Q59" s="123"/>
      <c r="R59" s="123" t="s">
        <v>104</v>
      </c>
      <c r="S59" s="123"/>
      <c r="T59" s="46">
        <f t="shared" si="33"/>
        <v>65539.5</v>
      </c>
      <c r="U59" s="46">
        <f t="shared" si="34"/>
        <v>65539.5</v>
      </c>
    </row>
    <row r="60" spans="1:21">
      <c r="A60" s="304"/>
      <c r="B60" s="305"/>
      <c r="C60" s="63" t="s">
        <v>168</v>
      </c>
      <c r="D60" s="64" t="s">
        <v>101</v>
      </c>
      <c r="E60" s="60">
        <v>4</v>
      </c>
      <c r="F60" s="60">
        <v>4</v>
      </c>
      <c r="G60" s="60">
        <v>4</v>
      </c>
      <c r="H60" s="60">
        <v>4</v>
      </c>
      <c r="I60" s="60">
        <v>4</v>
      </c>
      <c r="J60" s="75">
        <f t="shared" si="31"/>
        <v>23553.439999999999</v>
      </c>
      <c r="K60" s="75">
        <v>23553.439999999999</v>
      </c>
      <c r="L60" s="123" t="s">
        <v>104</v>
      </c>
      <c r="M60" s="123" t="s">
        <v>104</v>
      </c>
      <c r="N60" s="278">
        <f t="shared" si="32"/>
        <v>94213.759999999995</v>
      </c>
      <c r="O60" s="278">
        <f t="shared" si="35"/>
        <v>94213.759999999995</v>
      </c>
      <c r="P60" s="123" t="s">
        <v>104</v>
      </c>
      <c r="Q60" s="123"/>
      <c r="R60" s="123" t="s">
        <v>104</v>
      </c>
      <c r="S60" s="123"/>
      <c r="T60" s="46">
        <f t="shared" si="33"/>
        <v>94213.759999999995</v>
      </c>
      <c r="U60" s="46">
        <f t="shared" si="34"/>
        <v>94213.759999999995</v>
      </c>
    </row>
    <row r="61" spans="1:21" ht="82.8">
      <c r="A61" s="304"/>
      <c r="B61" s="305"/>
      <c r="C61" s="61" t="s">
        <v>105</v>
      </c>
      <c r="D61" s="64" t="s">
        <v>101</v>
      </c>
      <c r="E61" s="60">
        <v>2</v>
      </c>
      <c r="F61" s="60">
        <v>2</v>
      </c>
      <c r="G61" s="59">
        <f t="shared" ref="G61" si="36">((E61*8)+(F61*4))/12</f>
        <v>2</v>
      </c>
      <c r="H61" s="60">
        <v>2</v>
      </c>
      <c r="I61" s="60">
        <v>2</v>
      </c>
      <c r="J61" s="75">
        <f>SUM(K61:M61)</f>
        <v>182489.24885008001</v>
      </c>
      <c r="K61" s="75">
        <f>151407.63+1622.42+1946.36</f>
        <v>154976.41</v>
      </c>
      <c r="L61" s="193">
        <f>4001.99*2.411294+1952.93</f>
        <v>11602.904475059999</v>
      </c>
      <c r="M61" s="349">
        <f>7790.73-12.75568182+7807.95+18.93939394+305.0706629</f>
        <v>15909.934375019999</v>
      </c>
      <c r="N61" s="278">
        <f>SUM(O61:R61)</f>
        <v>364978.49770016002</v>
      </c>
      <c r="O61" s="278">
        <f>G61*K61</f>
        <v>309952.82</v>
      </c>
      <c r="P61" s="280">
        <f>G61*L61</f>
        <v>23205.808950119997</v>
      </c>
      <c r="Q61" s="280"/>
      <c r="R61" s="46">
        <f>G61*M61</f>
        <v>31819.868750039997</v>
      </c>
      <c r="S61" s="46"/>
      <c r="T61" s="46">
        <f>H61*J61+6344.7</f>
        <v>371323.19770016003</v>
      </c>
      <c r="U61" s="46">
        <f>T61</f>
        <v>371323.19770016003</v>
      </c>
    </row>
    <row r="62" spans="1:21">
      <c r="A62" s="304"/>
      <c r="B62" s="187"/>
      <c r="C62" s="66" t="s">
        <v>106</v>
      </c>
      <c r="D62" s="64"/>
      <c r="E62" s="60">
        <f>E56+E61</f>
        <v>221</v>
      </c>
      <c r="F62" s="60">
        <f>F56+F61</f>
        <v>221</v>
      </c>
      <c r="G62" s="60">
        <f>G56+G61</f>
        <v>221</v>
      </c>
      <c r="H62" s="60">
        <f>H56+H61</f>
        <v>221</v>
      </c>
      <c r="I62" s="60">
        <f>I56+I61</f>
        <v>221</v>
      </c>
      <c r="J62" s="73" t="s">
        <v>104</v>
      </c>
      <c r="K62" s="73" t="s">
        <v>104</v>
      </c>
      <c r="L62" s="194" t="s">
        <v>104</v>
      </c>
      <c r="M62" s="194" t="s">
        <v>104</v>
      </c>
      <c r="N62" s="194">
        <f t="shared" ref="N62:U62" si="37">SUM(N56:N61)</f>
        <v>15018891.77586768</v>
      </c>
      <c r="O62" s="194">
        <f t="shared" si="37"/>
        <v>8938554.3900000006</v>
      </c>
      <c r="P62" s="194">
        <f t="shared" si="37"/>
        <v>2564241.8889882597</v>
      </c>
      <c r="Q62" s="194"/>
      <c r="R62" s="194">
        <f t="shared" si="37"/>
        <v>3516095.4968794198</v>
      </c>
      <c r="S62" s="194"/>
      <c r="T62" s="46">
        <f t="shared" si="37"/>
        <v>15404131.62586768</v>
      </c>
      <c r="U62" s="46">
        <f t="shared" si="37"/>
        <v>15404131.62586768</v>
      </c>
    </row>
    <row r="63" spans="1:21" ht="82.8">
      <c r="A63" s="304"/>
      <c r="B63" s="305" t="s">
        <v>239</v>
      </c>
      <c r="C63" s="61" t="s">
        <v>100</v>
      </c>
      <c r="D63" s="62" t="s">
        <v>101</v>
      </c>
      <c r="E63" s="60">
        <v>44</v>
      </c>
      <c r="F63" s="60">
        <v>44</v>
      </c>
      <c r="G63" s="60">
        <v>44</v>
      </c>
      <c r="H63" s="60">
        <v>44</v>
      </c>
      <c r="I63" s="60">
        <v>44</v>
      </c>
      <c r="J63" s="107">
        <f>SUM(K63:M63)</f>
        <v>72530.108850079996</v>
      </c>
      <c r="K63" s="107">
        <f>41105.12+1965.79+1946.36</f>
        <v>45017.270000000004</v>
      </c>
      <c r="L63" s="349">
        <f>4001.99*2.411294+1952.93</f>
        <v>11602.904475059999</v>
      </c>
      <c r="M63" s="349">
        <f>7790.73-12.75568182+7807.95+18.93939394+305.0706629</f>
        <v>15909.934375019999</v>
      </c>
      <c r="N63" s="280">
        <f>SUM(O63:R63)</f>
        <v>3191324.97940352</v>
      </c>
      <c r="O63" s="280">
        <f>G63*K63</f>
        <v>1980759.8800000001</v>
      </c>
      <c r="P63" s="280">
        <f>G63*L63+0.19</f>
        <v>510527.98690263997</v>
      </c>
      <c r="Q63" s="280"/>
      <c r="R63" s="46">
        <f>G63*M63</f>
        <v>700037.11250087991</v>
      </c>
      <c r="S63" s="46"/>
      <c r="T63" s="46">
        <f>N63+139583.5</f>
        <v>3330908.47940352</v>
      </c>
      <c r="U63" s="46">
        <f>T63</f>
        <v>3330908.47940352</v>
      </c>
    </row>
    <row r="64" spans="1:21" ht="82.8">
      <c r="A64" s="304"/>
      <c r="B64" s="305"/>
      <c r="C64" s="63" t="s">
        <v>102</v>
      </c>
      <c r="D64" s="64" t="s">
        <v>101</v>
      </c>
      <c r="E64" s="59" t="s">
        <v>104</v>
      </c>
      <c r="F64" s="59" t="s">
        <v>104</v>
      </c>
      <c r="G64" s="59" t="s">
        <v>104</v>
      </c>
      <c r="H64" s="59" t="s">
        <v>104</v>
      </c>
      <c r="I64" s="59" t="s">
        <v>104</v>
      </c>
      <c r="J64" s="59" t="s">
        <v>104</v>
      </c>
      <c r="K64" s="59" t="s">
        <v>104</v>
      </c>
      <c r="L64" s="123" t="s">
        <v>104</v>
      </c>
      <c r="M64" s="123" t="s">
        <v>104</v>
      </c>
      <c r="N64" s="278"/>
      <c r="O64" s="278"/>
      <c r="P64" s="123" t="s">
        <v>104</v>
      </c>
      <c r="Q64" s="123"/>
      <c r="R64" s="123" t="s">
        <v>104</v>
      </c>
      <c r="S64" s="123"/>
      <c r="T64" s="46"/>
      <c r="U64" s="46"/>
    </row>
    <row r="65" spans="1:24">
      <c r="A65" s="304"/>
      <c r="B65" s="305"/>
      <c r="C65" s="63" t="s">
        <v>168</v>
      </c>
      <c r="D65" s="64" t="s">
        <v>101</v>
      </c>
      <c r="E65" s="60">
        <v>2</v>
      </c>
      <c r="F65" s="60">
        <v>2</v>
      </c>
      <c r="G65" s="60">
        <v>2</v>
      </c>
      <c r="H65" s="60">
        <v>2</v>
      </c>
      <c r="I65" s="60">
        <v>2</v>
      </c>
      <c r="J65" s="75">
        <f>K65</f>
        <v>23553.439999999999</v>
      </c>
      <c r="K65" s="75">
        <v>23553.439999999999</v>
      </c>
      <c r="L65" s="123" t="s">
        <v>104</v>
      </c>
      <c r="M65" s="123" t="s">
        <v>104</v>
      </c>
      <c r="N65" s="278">
        <f>O65</f>
        <v>47106.879999999997</v>
      </c>
      <c r="O65" s="278">
        <f>G65*K65</f>
        <v>47106.879999999997</v>
      </c>
      <c r="P65" s="123" t="s">
        <v>104</v>
      </c>
      <c r="Q65" s="123"/>
      <c r="R65" s="123" t="s">
        <v>104</v>
      </c>
      <c r="S65" s="123"/>
      <c r="T65" s="46">
        <f>H65*K65</f>
        <v>47106.879999999997</v>
      </c>
      <c r="U65" s="46">
        <f>I65*K65</f>
        <v>47106.879999999997</v>
      </c>
      <c r="W65" s="80">
        <v>38236341.439999998</v>
      </c>
    </row>
    <row r="66" spans="1:24" ht="82.8">
      <c r="A66" s="304"/>
      <c r="B66" s="305"/>
      <c r="C66" s="61" t="s">
        <v>105</v>
      </c>
      <c r="D66" s="64" t="s">
        <v>101</v>
      </c>
      <c r="E66" s="60">
        <v>0</v>
      </c>
      <c r="F66" s="60"/>
      <c r="G66" s="60"/>
      <c r="H66" s="60">
        <v>0</v>
      </c>
      <c r="I66" s="60">
        <v>0</v>
      </c>
      <c r="J66" s="73">
        <f>K66</f>
        <v>185314.5</v>
      </c>
      <c r="K66" s="73">
        <f>181402.35+1965.79+1946.36</f>
        <v>185314.5</v>
      </c>
      <c r="L66" s="349">
        <f>4001.99*2.411294+1952.93</f>
        <v>11602.904475059999</v>
      </c>
      <c r="M66" s="349">
        <f>7790.73-12.75568182+7807.95+18.93939394+305.0706629</f>
        <v>15909.934375019999</v>
      </c>
      <c r="N66" s="278">
        <f>SUM(O66:R66)</f>
        <v>0</v>
      </c>
      <c r="O66" s="280">
        <f>G66*K66</f>
        <v>0</v>
      </c>
      <c r="P66" s="280">
        <f>E66*L66</f>
        <v>0</v>
      </c>
      <c r="Q66" s="280"/>
      <c r="R66" s="46">
        <f>G66*M66</f>
        <v>0</v>
      </c>
      <c r="S66" s="46"/>
      <c r="T66" s="46">
        <f>H66*K66</f>
        <v>0</v>
      </c>
      <c r="U66" s="46">
        <f>I66*K66</f>
        <v>0</v>
      </c>
      <c r="W66" s="85">
        <f>T77-W65</f>
        <v>2.842240035533905E-3</v>
      </c>
    </row>
    <row r="67" spans="1:24">
      <c r="A67" s="304"/>
      <c r="B67" s="187"/>
      <c r="C67" s="66" t="s">
        <v>106</v>
      </c>
      <c r="D67" s="64"/>
      <c r="E67" s="60">
        <f>E63+E66</f>
        <v>44</v>
      </c>
      <c r="F67" s="60">
        <f>F63+F66</f>
        <v>44</v>
      </c>
      <c r="G67" s="60">
        <f>G63+G66</f>
        <v>44</v>
      </c>
      <c r="H67" s="60">
        <f>H63+H66</f>
        <v>44</v>
      </c>
      <c r="I67" s="60">
        <f>I63+I66</f>
        <v>44</v>
      </c>
      <c r="J67" s="73" t="s">
        <v>104</v>
      </c>
      <c r="K67" s="73" t="s">
        <v>104</v>
      </c>
      <c r="L67" s="194" t="s">
        <v>104</v>
      </c>
      <c r="M67" s="194" t="s">
        <v>104</v>
      </c>
      <c r="N67" s="194">
        <f t="shared" ref="N67:R67" si="38">SUM(N63:N66)</f>
        <v>3238431.8594035199</v>
      </c>
      <c r="O67" s="194">
        <f t="shared" si="38"/>
        <v>2027866.76</v>
      </c>
      <c r="P67" s="194">
        <f t="shared" si="38"/>
        <v>510527.98690263997</v>
      </c>
      <c r="Q67" s="194"/>
      <c r="R67" s="194">
        <f t="shared" si="38"/>
        <v>700037.11250087991</v>
      </c>
      <c r="S67" s="194"/>
      <c r="T67" s="46">
        <f>SUM(T63:T66)</f>
        <v>3378015.3594035199</v>
      </c>
      <c r="U67" s="46">
        <f>SUM(U63:U66)</f>
        <v>3378015.3594035199</v>
      </c>
    </row>
    <row r="68" spans="1:24" ht="100.95" customHeight="1">
      <c r="A68" s="304"/>
      <c r="B68" s="137" t="s">
        <v>240</v>
      </c>
      <c r="C68" s="61" t="s">
        <v>187</v>
      </c>
      <c r="D68" s="64" t="s">
        <v>101</v>
      </c>
      <c r="E68" s="60">
        <v>777</v>
      </c>
      <c r="F68" s="60">
        <v>777</v>
      </c>
      <c r="G68" s="60">
        <v>777</v>
      </c>
      <c r="H68" s="60">
        <v>777</v>
      </c>
      <c r="I68" s="60">
        <v>777</v>
      </c>
      <c r="J68" s="75">
        <f>K68</f>
        <v>3268.55</v>
      </c>
      <c r="K68" s="75">
        <v>3268.55</v>
      </c>
      <c r="L68" s="193" t="s">
        <v>104</v>
      </c>
      <c r="M68" s="193" t="s">
        <v>104</v>
      </c>
      <c r="N68" s="280">
        <f>SUM(O68:R68)</f>
        <v>2606641</v>
      </c>
      <c r="O68" s="280">
        <f>K68*G68+0.65+66977</f>
        <v>2606641</v>
      </c>
      <c r="P68" s="280" t="s">
        <v>104</v>
      </c>
      <c r="Q68" s="280"/>
      <c r="R68" s="280" t="s">
        <v>104</v>
      </c>
      <c r="S68" s="280"/>
      <c r="T68" s="46">
        <f>N68</f>
        <v>2606641</v>
      </c>
      <c r="U68" s="46">
        <f t="shared" ref="U68:U75" si="39">T68</f>
        <v>2606641</v>
      </c>
    </row>
    <row r="69" spans="1:24">
      <c r="A69" s="304"/>
      <c r="B69" s="69"/>
      <c r="C69" s="66" t="s">
        <v>106</v>
      </c>
      <c r="D69" s="69"/>
      <c r="E69" s="60">
        <f>SUM(E68:E68)</f>
        <v>777</v>
      </c>
      <c r="F69" s="60">
        <f>SUM(F68:F68)</f>
        <v>777</v>
      </c>
      <c r="G69" s="60">
        <f>SUM(G68:G68)</f>
        <v>777</v>
      </c>
      <c r="H69" s="60">
        <f>SUM(H68:H68)</f>
        <v>777</v>
      </c>
      <c r="I69" s="60">
        <f>SUM(I68:I68)</f>
        <v>777</v>
      </c>
      <c r="J69" s="73" t="s">
        <v>104</v>
      </c>
      <c r="K69" s="73" t="s">
        <v>104</v>
      </c>
      <c r="L69" s="194" t="s">
        <v>104</v>
      </c>
      <c r="M69" s="194">
        <f t="shared" ref="M69:R69" si="40">SUM(M68:M68)</f>
        <v>0</v>
      </c>
      <c r="N69" s="194">
        <f t="shared" si="40"/>
        <v>2606641</v>
      </c>
      <c r="O69" s="194">
        <f>SUM(O68:O68)</f>
        <v>2606641</v>
      </c>
      <c r="P69" s="194">
        <f t="shared" si="40"/>
        <v>0</v>
      </c>
      <c r="Q69" s="194"/>
      <c r="R69" s="194">
        <f t="shared" si="40"/>
        <v>0</v>
      </c>
      <c r="S69" s="194"/>
      <c r="T69" s="46">
        <f>N69</f>
        <v>2606641</v>
      </c>
      <c r="U69" s="46">
        <f t="shared" si="39"/>
        <v>2606641</v>
      </c>
    </row>
    <row r="70" spans="1:24" hidden="1">
      <c r="A70" s="304"/>
      <c r="B70" s="69" t="s">
        <v>292</v>
      </c>
      <c r="C70" s="183" t="s">
        <v>226</v>
      </c>
      <c r="D70" s="69"/>
      <c r="E70" s="60"/>
      <c r="F70" s="60"/>
      <c r="G70" s="60"/>
      <c r="H70" s="60"/>
      <c r="I70" s="60"/>
      <c r="J70" s="73"/>
      <c r="K70" s="73"/>
      <c r="L70" s="194"/>
      <c r="M70" s="194"/>
      <c r="N70" s="194">
        <f>P70</f>
        <v>0</v>
      </c>
      <c r="O70" s="194"/>
      <c r="P70" s="194"/>
      <c r="Q70" s="194"/>
      <c r="R70" s="194"/>
      <c r="S70" s="194"/>
      <c r="T70" s="46">
        <f>P70</f>
        <v>0</v>
      </c>
      <c r="U70" s="46">
        <f t="shared" si="39"/>
        <v>0</v>
      </c>
    </row>
    <row r="71" spans="1:24" hidden="1">
      <c r="A71" s="304"/>
      <c r="B71" s="89" t="s">
        <v>225</v>
      </c>
      <c r="C71" s="183" t="s">
        <v>219</v>
      </c>
      <c r="D71" s="64" t="s">
        <v>101</v>
      </c>
      <c r="E71" s="60">
        <v>19</v>
      </c>
      <c r="F71" s="60">
        <v>19</v>
      </c>
      <c r="G71" s="60">
        <v>19</v>
      </c>
      <c r="H71" s="60">
        <v>19</v>
      </c>
      <c r="I71" s="60">
        <v>19</v>
      </c>
      <c r="J71" s="73"/>
      <c r="K71" s="73"/>
      <c r="L71" s="194"/>
      <c r="M71" s="194"/>
      <c r="N71" s="194">
        <f>S71</f>
        <v>0</v>
      </c>
      <c r="O71" s="194"/>
      <c r="P71" s="194"/>
      <c r="Q71" s="194"/>
      <c r="R71" s="194"/>
      <c r="S71" s="194"/>
      <c r="T71" s="46">
        <f>S71</f>
        <v>0</v>
      </c>
      <c r="U71" s="46">
        <f t="shared" si="39"/>
        <v>0</v>
      </c>
    </row>
    <row r="72" spans="1:24" hidden="1">
      <c r="A72" s="304"/>
      <c r="B72" s="89" t="s">
        <v>225</v>
      </c>
      <c r="C72" s="183" t="s">
        <v>226</v>
      </c>
      <c r="D72" s="64" t="s">
        <v>101</v>
      </c>
      <c r="E72" s="60">
        <v>4</v>
      </c>
      <c r="F72" s="60">
        <v>4</v>
      </c>
      <c r="G72" s="60">
        <v>4</v>
      </c>
      <c r="H72" s="60">
        <v>4</v>
      </c>
      <c r="I72" s="60">
        <v>4</v>
      </c>
      <c r="J72" s="73"/>
      <c r="K72" s="73"/>
      <c r="L72" s="194"/>
      <c r="M72" s="194"/>
      <c r="N72" s="194">
        <f>Q72</f>
        <v>0</v>
      </c>
      <c r="O72" s="194"/>
      <c r="P72" s="194"/>
      <c r="Q72" s="194"/>
      <c r="R72" s="194"/>
      <c r="S72" s="194"/>
      <c r="T72" s="46"/>
      <c r="U72" s="46">
        <f t="shared" si="39"/>
        <v>0</v>
      </c>
      <c r="V72" s="85">
        <f>Q72-T72</f>
        <v>0</v>
      </c>
    </row>
    <row r="73" spans="1:24" hidden="1">
      <c r="A73" s="304"/>
      <c r="B73" s="89" t="s">
        <v>291</v>
      </c>
      <c r="C73" s="183" t="s">
        <v>219</v>
      </c>
      <c r="D73" s="64"/>
      <c r="E73" s="60"/>
      <c r="F73" s="60"/>
      <c r="G73" s="60"/>
      <c r="H73" s="60"/>
      <c r="I73" s="60"/>
      <c r="J73" s="73"/>
      <c r="K73" s="73"/>
      <c r="L73" s="194"/>
      <c r="M73" s="194"/>
      <c r="N73" s="194">
        <f>S73</f>
        <v>0</v>
      </c>
      <c r="O73" s="194"/>
      <c r="P73" s="194"/>
      <c r="Q73" s="194"/>
      <c r="R73" s="194"/>
      <c r="S73" s="194"/>
      <c r="T73" s="46"/>
      <c r="U73" s="46"/>
    </row>
    <row r="74" spans="1:24" hidden="1">
      <c r="A74" s="304"/>
      <c r="B74" s="89" t="s">
        <v>307</v>
      </c>
      <c r="C74" s="183" t="s">
        <v>226</v>
      </c>
      <c r="D74" s="64"/>
      <c r="E74" s="60"/>
      <c r="F74" s="60"/>
      <c r="G74" s="60">
        <v>21</v>
      </c>
      <c r="H74" s="60">
        <v>21</v>
      </c>
      <c r="I74" s="60">
        <v>21</v>
      </c>
      <c r="J74" s="73"/>
      <c r="K74" s="73"/>
      <c r="L74" s="194"/>
      <c r="M74" s="194"/>
      <c r="N74" s="194">
        <f>O74</f>
        <v>0</v>
      </c>
      <c r="O74" s="194"/>
      <c r="P74" s="194"/>
      <c r="Q74" s="194"/>
      <c r="R74" s="194"/>
      <c r="S74" s="194"/>
      <c r="T74" s="46"/>
      <c r="U74" s="46">
        <f>T74</f>
        <v>0</v>
      </c>
    </row>
    <row r="75" spans="1:24" hidden="1">
      <c r="A75" s="304"/>
      <c r="B75" s="89" t="s">
        <v>259</v>
      </c>
      <c r="C75" s="183" t="s">
        <v>226</v>
      </c>
      <c r="D75" s="64"/>
      <c r="E75" s="60"/>
      <c r="F75" s="60"/>
      <c r="G75" s="60"/>
      <c r="H75" s="60"/>
      <c r="I75" s="60"/>
      <c r="J75" s="73"/>
      <c r="K75" s="73"/>
      <c r="L75" s="194"/>
      <c r="M75" s="194"/>
      <c r="N75" s="194">
        <f>O75</f>
        <v>0</v>
      </c>
      <c r="O75" s="194"/>
      <c r="P75" s="194"/>
      <c r="Q75" s="194"/>
      <c r="R75" s="194"/>
      <c r="S75" s="194"/>
      <c r="T75" s="46">
        <f>O75</f>
        <v>0</v>
      </c>
      <c r="U75" s="46">
        <f t="shared" si="39"/>
        <v>0</v>
      </c>
    </row>
    <row r="76" spans="1:24" hidden="1">
      <c r="A76" s="304"/>
      <c r="B76" s="89" t="s">
        <v>308</v>
      </c>
      <c r="C76" s="183" t="s">
        <v>226</v>
      </c>
      <c r="D76" s="64"/>
      <c r="E76" s="60"/>
      <c r="F76" s="60"/>
      <c r="G76" s="60"/>
      <c r="H76" s="60"/>
      <c r="I76" s="60"/>
      <c r="J76" s="73"/>
      <c r="K76" s="73"/>
      <c r="L76" s="194"/>
      <c r="M76" s="194"/>
      <c r="N76" s="194">
        <f>P76</f>
        <v>0</v>
      </c>
      <c r="O76" s="194"/>
      <c r="P76" s="194"/>
      <c r="Q76" s="194"/>
      <c r="R76" s="194"/>
      <c r="S76" s="194"/>
      <c r="T76" s="46"/>
      <c r="U76" s="46">
        <f>T76</f>
        <v>0</v>
      </c>
    </row>
    <row r="77" spans="1:24">
      <c r="A77" s="304"/>
      <c r="B77" s="101" t="s">
        <v>112</v>
      </c>
      <c r="C77" s="101"/>
      <c r="D77" s="69"/>
      <c r="E77" s="102">
        <f t="shared" ref="E77:F77" si="41">E55+E62+E67</f>
        <v>528</v>
      </c>
      <c r="F77" s="102">
        <f t="shared" si="41"/>
        <v>528</v>
      </c>
      <c r="G77" s="102">
        <f>G55+G62+G67</f>
        <v>528</v>
      </c>
      <c r="H77" s="102">
        <f t="shared" ref="H77:I77" si="42">H55+H62+H67</f>
        <v>528</v>
      </c>
      <c r="I77" s="102">
        <f t="shared" si="42"/>
        <v>528</v>
      </c>
      <c r="J77" s="104"/>
      <c r="K77" s="104"/>
      <c r="L77" s="138"/>
      <c r="M77" s="138"/>
      <c r="N77" s="138">
        <f>SUM(O77:S77)</f>
        <v>37048266.75284224</v>
      </c>
      <c r="O77" s="138">
        <f>O55+O62+O67+O69+O74+O75</f>
        <v>22521489.000000004</v>
      </c>
      <c r="P77" s="138">
        <f>P55+P62+P67+P69+P70+P71+P72+P76</f>
        <v>6126333.0028316798</v>
      </c>
      <c r="Q77" s="138">
        <f t="shared" ref="Q77" si="43">Q55+Q62+Q67+Q69+Q70+Q71+Q72</f>
        <v>0</v>
      </c>
      <c r="R77" s="138">
        <f>R55+R62+R67+R69+R70+R71+R72+R73</f>
        <v>8400444.7500105593</v>
      </c>
      <c r="S77" s="138">
        <f>S55+S62+S67+S69+S70+S71+S72+S73</f>
        <v>0</v>
      </c>
      <c r="T77" s="138">
        <f>T55+T62+T67+T69+T70+T71+T72+T73+T74+T75+T76</f>
        <v>38236341.442842238</v>
      </c>
      <c r="U77" s="138">
        <f>U55+U62+U67+U69+U70+U71+U72+U73+U74+U75+U76</f>
        <v>38236341.442842238</v>
      </c>
      <c r="V77" s="85">
        <v>8400444.75</v>
      </c>
      <c r="W77" s="85">
        <f>V77-R77</f>
        <v>-1.0559335350990295E-5</v>
      </c>
      <c r="X77" s="80">
        <f>W77/I77</f>
        <v>-1.9998741195057377E-8</v>
      </c>
    </row>
    <row r="78" spans="1:24" ht="82.8">
      <c r="A78" s="304" t="s">
        <v>114</v>
      </c>
      <c r="B78" s="305" t="s">
        <v>237</v>
      </c>
      <c r="C78" s="61" t="s">
        <v>100</v>
      </c>
      <c r="D78" s="62" t="s">
        <v>101</v>
      </c>
      <c r="E78" s="59">
        <v>242</v>
      </c>
      <c r="F78" s="59">
        <v>242</v>
      </c>
      <c r="G78" s="59">
        <v>242</v>
      </c>
      <c r="H78" s="59">
        <v>242</v>
      </c>
      <c r="I78" s="59">
        <v>242</v>
      </c>
      <c r="J78" s="107">
        <f>SUM(K78:M78)</f>
        <v>44736.760783039994</v>
      </c>
      <c r="K78" s="107">
        <f>20483.63+1329.32+1623.27</f>
        <v>23436.22</v>
      </c>
      <c r="L78" s="349">
        <f>4001.99*2.411294+1110.02</f>
        <v>10759.994475059999</v>
      </c>
      <c r="M78" s="349">
        <f>7790.73-13.14656772+2744.41+18.5528757</f>
        <v>10540.546307979999</v>
      </c>
      <c r="N78" s="278">
        <f>SUM(O78:R78)</f>
        <v>10826300.45949568</v>
      </c>
      <c r="O78" s="278">
        <f>G78*K78+2.07</f>
        <v>5671567.3100000005</v>
      </c>
      <c r="P78" s="278">
        <f>G78*L78+1.27</f>
        <v>2603919.9329645196</v>
      </c>
      <c r="Q78" s="278"/>
      <c r="R78" s="46">
        <f>G78*M78+1.01</f>
        <v>2550813.2165311598</v>
      </c>
      <c r="S78" s="46"/>
      <c r="T78" s="46">
        <f>N78+840796.01-10000</f>
        <v>11657096.46949568</v>
      </c>
      <c r="U78" s="46">
        <f>T78</f>
        <v>11657096.46949568</v>
      </c>
    </row>
    <row r="79" spans="1:24" ht="82.8">
      <c r="A79" s="304"/>
      <c r="B79" s="305"/>
      <c r="C79" s="63" t="s">
        <v>163</v>
      </c>
      <c r="D79" s="64" t="s">
        <v>101</v>
      </c>
      <c r="E79" s="59" t="s">
        <v>104</v>
      </c>
      <c r="F79" s="59" t="s">
        <v>104</v>
      </c>
      <c r="G79" s="59" t="s">
        <v>104</v>
      </c>
      <c r="H79" s="59" t="s">
        <v>104</v>
      </c>
      <c r="I79" s="59" t="s">
        <v>104</v>
      </c>
      <c r="J79" s="59" t="s">
        <v>104</v>
      </c>
      <c r="K79" s="59" t="s">
        <v>104</v>
      </c>
      <c r="L79" s="123" t="s">
        <v>104</v>
      </c>
      <c r="M79" s="123" t="s">
        <v>104</v>
      </c>
      <c r="N79" s="123"/>
      <c r="O79" s="123"/>
      <c r="P79" s="123" t="s">
        <v>104</v>
      </c>
      <c r="Q79" s="123"/>
      <c r="R79" s="123" t="s">
        <v>104</v>
      </c>
      <c r="S79" s="123"/>
      <c r="T79" s="46"/>
      <c r="U79" s="46"/>
    </row>
    <row r="80" spans="1:24">
      <c r="A80" s="304"/>
      <c r="B80" s="305"/>
      <c r="C80" s="63" t="s">
        <v>171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ref="J80:J84" si="44">K80</f>
        <v>69362.66</v>
      </c>
      <c r="K80" s="75">
        <v>69362.66</v>
      </c>
      <c r="L80" s="123" t="s">
        <v>104</v>
      </c>
      <c r="M80" s="123" t="s">
        <v>104</v>
      </c>
      <c r="N80" s="278">
        <f>O80</f>
        <v>69362.66</v>
      </c>
      <c r="O80" s="278">
        <f>G80*K80</f>
        <v>69362.66</v>
      </c>
      <c r="P80" s="123" t="s">
        <v>104</v>
      </c>
      <c r="Q80" s="123"/>
      <c r="R80" s="123" t="s">
        <v>104</v>
      </c>
      <c r="S80" s="123"/>
      <c r="T80" s="46">
        <f>H80*K80</f>
        <v>69362.66</v>
      </c>
      <c r="U80" s="46">
        <f>I80*K80</f>
        <v>69362.66</v>
      </c>
    </row>
    <row r="81" spans="1:23">
      <c r="A81" s="304"/>
      <c r="B81" s="305"/>
      <c r="C81" s="63" t="s">
        <v>164</v>
      </c>
      <c r="D81" s="64" t="s">
        <v>101</v>
      </c>
      <c r="E81" s="59">
        <v>3</v>
      </c>
      <c r="F81" s="59">
        <v>3</v>
      </c>
      <c r="G81" s="59">
        <v>3</v>
      </c>
      <c r="H81" s="59">
        <v>3</v>
      </c>
      <c r="I81" s="59">
        <v>3</v>
      </c>
      <c r="J81" s="75">
        <f t="shared" si="44"/>
        <v>25589.72</v>
      </c>
      <c r="K81" s="75">
        <v>25589.72</v>
      </c>
      <c r="L81" s="123" t="s">
        <v>104</v>
      </c>
      <c r="M81" s="123" t="s">
        <v>104</v>
      </c>
      <c r="N81" s="278">
        <f>O81</f>
        <v>76769.16</v>
      </c>
      <c r="O81" s="278">
        <f t="shared" ref="O81:O85" si="45">G81*K81</f>
        <v>76769.16</v>
      </c>
      <c r="P81" s="123" t="s">
        <v>104</v>
      </c>
      <c r="Q81" s="123"/>
      <c r="R81" s="123" t="s">
        <v>104</v>
      </c>
      <c r="S81" s="123"/>
      <c r="T81" s="46">
        <f>H81*K81</f>
        <v>76769.16</v>
      </c>
      <c r="U81" s="46">
        <f>I81*K81</f>
        <v>76769.16</v>
      </c>
    </row>
    <row r="82" spans="1:23">
      <c r="A82" s="304"/>
      <c r="B82" s="305"/>
      <c r="C82" s="63" t="s">
        <v>169</v>
      </c>
      <c r="D82" s="64" t="s">
        <v>101</v>
      </c>
      <c r="E82" s="59">
        <v>18</v>
      </c>
      <c r="F82" s="59">
        <v>18</v>
      </c>
      <c r="G82" s="59">
        <v>18</v>
      </c>
      <c r="H82" s="59">
        <v>18</v>
      </c>
      <c r="I82" s="59">
        <v>18</v>
      </c>
      <c r="J82" s="75">
        <f t="shared" si="44"/>
        <v>69362.66</v>
      </c>
      <c r="K82" s="75">
        <v>69362.66</v>
      </c>
      <c r="L82" s="123" t="s">
        <v>104</v>
      </c>
      <c r="M82" s="123" t="s">
        <v>104</v>
      </c>
      <c r="N82" s="278">
        <f t="shared" ref="N82:N84" si="46">O82</f>
        <v>1248527.8800000001</v>
      </c>
      <c r="O82" s="278">
        <f t="shared" si="45"/>
        <v>1248527.8800000001</v>
      </c>
      <c r="P82" s="123" t="s">
        <v>104</v>
      </c>
      <c r="Q82" s="123"/>
      <c r="R82" s="123" t="s">
        <v>104</v>
      </c>
      <c r="S82" s="123"/>
      <c r="T82" s="46">
        <f t="shared" ref="T82:T84" si="47">H82*K82</f>
        <v>1248527.8800000001</v>
      </c>
      <c r="U82" s="46">
        <f t="shared" ref="U82:U84" si="48">I82*K82</f>
        <v>1248527.8800000001</v>
      </c>
    </row>
    <row r="83" spans="1:23">
      <c r="A83" s="304"/>
      <c r="B83" s="305"/>
      <c r="C83" s="63" t="s">
        <v>166</v>
      </c>
      <c r="D83" s="64" t="s">
        <v>101</v>
      </c>
      <c r="E83" s="59">
        <v>5</v>
      </c>
      <c r="F83" s="59">
        <v>5</v>
      </c>
      <c r="G83" s="59">
        <v>5</v>
      </c>
      <c r="H83" s="59">
        <v>5</v>
      </c>
      <c r="I83" s="59">
        <v>5</v>
      </c>
      <c r="J83" s="75">
        <f t="shared" si="44"/>
        <v>66361.320000000007</v>
      </c>
      <c r="K83" s="75">
        <v>66361.320000000007</v>
      </c>
      <c r="L83" s="123" t="s">
        <v>104</v>
      </c>
      <c r="M83" s="123" t="s">
        <v>104</v>
      </c>
      <c r="N83" s="278">
        <f t="shared" si="46"/>
        <v>331806.60000000003</v>
      </c>
      <c r="O83" s="278">
        <f t="shared" si="45"/>
        <v>331806.60000000003</v>
      </c>
      <c r="P83" s="123" t="s">
        <v>104</v>
      </c>
      <c r="Q83" s="123"/>
      <c r="R83" s="123" t="s">
        <v>104</v>
      </c>
      <c r="S83" s="123"/>
      <c r="T83" s="46">
        <f t="shared" si="47"/>
        <v>331806.60000000003</v>
      </c>
      <c r="U83" s="46">
        <f t="shared" si="48"/>
        <v>331806.60000000003</v>
      </c>
    </row>
    <row r="84" spans="1:23">
      <c r="A84" s="304"/>
      <c r="B84" s="305"/>
      <c r="C84" s="63" t="s">
        <v>168</v>
      </c>
      <c r="D84" s="64" t="s">
        <v>101</v>
      </c>
      <c r="E84" s="59">
        <v>1</v>
      </c>
      <c r="F84" s="59">
        <v>1</v>
      </c>
      <c r="G84" s="59">
        <v>1</v>
      </c>
      <c r="H84" s="59">
        <v>1</v>
      </c>
      <c r="I84" s="59">
        <v>1</v>
      </c>
      <c r="J84" s="75">
        <f t="shared" si="44"/>
        <v>23553.439999999999</v>
      </c>
      <c r="K84" s="75">
        <v>23553.439999999999</v>
      </c>
      <c r="L84" s="123" t="s">
        <v>104</v>
      </c>
      <c r="M84" s="123" t="s">
        <v>104</v>
      </c>
      <c r="N84" s="278">
        <f t="shared" si="46"/>
        <v>23553.439999999999</v>
      </c>
      <c r="O84" s="278">
        <f t="shared" si="45"/>
        <v>23553.439999999999</v>
      </c>
      <c r="P84" s="123" t="s">
        <v>104</v>
      </c>
      <c r="Q84" s="123"/>
      <c r="R84" s="123" t="s">
        <v>104</v>
      </c>
      <c r="S84" s="123"/>
      <c r="T84" s="46">
        <f t="shared" si="47"/>
        <v>23553.439999999999</v>
      </c>
      <c r="U84" s="46">
        <f t="shared" si="48"/>
        <v>23553.439999999999</v>
      </c>
    </row>
    <row r="85" spans="1:23" ht="82.8">
      <c r="A85" s="304"/>
      <c r="B85" s="305"/>
      <c r="C85" s="61" t="s">
        <v>105</v>
      </c>
      <c r="D85" s="64" t="s">
        <v>101</v>
      </c>
      <c r="E85" s="59">
        <v>1</v>
      </c>
      <c r="F85" s="59">
        <v>1</v>
      </c>
      <c r="G85" s="59">
        <v>1</v>
      </c>
      <c r="H85" s="59">
        <v>1</v>
      </c>
      <c r="I85" s="59">
        <v>1</v>
      </c>
      <c r="J85" s="75">
        <f>SUM(K85:M85)</f>
        <v>145666.05078304</v>
      </c>
      <c r="K85" s="75">
        <f>121412.92+1329.32+1623.27</f>
        <v>124365.51000000001</v>
      </c>
      <c r="L85" s="193">
        <f>4001.99*2.411294+1110.02</f>
        <v>10759.994475059999</v>
      </c>
      <c r="M85" s="349">
        <f>7790.73-13.14656772+2744.41+18.5528757</f>
        <v>10540.546307979999</v>
      </c>
      <c r="N85" s="278">
        <f>SUM(O85:R85)</f>
        <v>145666.05078304</v>
      </c>
      <c r="O85" s="278">
        <f t="shared" si="45"/>
        <v>124365.51000000001</v>
      </c>
      <c r="P85" s="278">
        <f>G85*L85</f>
        <v>10759.994475059999</v>
      </c>
      <c r="Q85" s="278"/>
      <c r="R85" s="46">
        <f>G85*M85</f>
        <v>10540.546307979999</v>
      </c>
      <c r="S85" s="46"/>
      <c r="T85" s="46">
        <f>N85+3474.36</f>
        <v>149140.41078303999</v>
      </c>
      <c r="U85" s="46">
        <f>T85</f>
        <v>149140.41078303999</v>
      </c>
    </row>
    <row r="86" spans="1:23">
      <c r="A86" s="304"/>
      <c r="B86" s="305"/>
      <c r="C86" s="66" t="s">
        <v>106</v>
      </c>
      <c r="D86" s="67"/>
      <c r="E86" s="59">
        <f>E78+E85</f>
        <v>243</v>
      </c>
      <c r="F86" s="59">
        <f t="shared" ref="F86:I86" si="49">F78+F85</f>
        <v>243</v>
      </c>
      <c r="G86" s="59">
        <f>G78+G85</f>
        <v>243</v>
      </c>
      <c r="H86" s="59">
        <f t="shared" si="49"/>
        <v>243</v>
      </c>
      <c r="I86" s="59">
        <f t="shared" si="49"/>
        <v>243</v>
      </c>
      <c r="J86" s="71" t="s">
        <v>104</v>
      </c>
      <c r="K86" s="71" t="s">
        <v>104</v>
      </c>
      <c r="L86" s="278" t="s">
        <v>104</v>
      </c>
      <c r="M86" s="278" t="s">
        <v>104</v>
      </c>
      <c r="N86" s="278">
        <f t="shared" ref="N86:T86" si="50">SUM(N78:N85)</f>
        <v>12721986.250278721</v>
      </c>
      <c r="O86" s="278">
        <f t="shared" si="50"/>
        <v>7545952.5600000005</v>
      </c>
      <c r="P86" s="278">
        <f t="shared" si="50"/>
        <v>2614679.9274395797</v>
      </c>
      <c r="Q86" s="278"/>
      <c r="R86" s="278">
        <f t="shared" si="50"/>
        <v>2561353.7628391399</v>
      </c>
      <c r="S86" s="278"/>
      <c r="T86" s="278">
        <f t="shared" si="50"/>
        <v>13556256.62027872</v>
      </c>
      <c r="U86" s="278">
        <f>T86</f>
        <v>13556256.62027872</v>
      </c>
    </row>
    <row r="87" spans="1:23" ht="82.8">
      <c r="A87" s="304"/>
      <c r="B87" s="305" t="s">
        <v>238</v>
      </c>
      <c r="C87" s="61" t="s">
        <v>100</v>
      </c>
      <c r="D87" s="62" t="s">
        <v>101</v>
      </c>
      <c r="E87" s="59">
        <v>224</v>
      </c>
      <c r="F87" s="59">
        <v>224</v>
      </c>
      <c r="G87" s="59">
        <v>224</v>
      </c>
      <c r="H87" s="59">
        <v>224</v>
      </c>
      <c r="I87" s="59">
        <v>224</v>
      </c>
      <c r="J87" s="107">
        <f>SUM(K87:M87)</f>
        <v>58892.280783039998</v>
      </c>
      <c r="K87" s="107">
        <f>34346.05+1622.42+1623.27</f>
        <v>37591.74</v>
      </c>
      <c r="L87" s="349">
        <f>4001.99*2.411294+1110.02</f>
        <v>10759.994475059999</v>
      </c>
      <c r="M87" s="349">
        <f>7790.73-13.14656772+2744.41+18.5528757</f>
        <v>10540.546307979999</v>
      </c>
      <c r="N87" s="278">
        <f>SUM(O87:R87)</f>
        <v>13191870.89540096</v>
      </c>
      <c r="O87" s="278">
        <f>G87*K87</f>
        <v>8420549.7599999998</v>
      </c>
      <c r="P87" s="278">
        <f>G87*L87</f>
        <v>2410238.7624134398</v>
      </c>
      <c r="Q87" s="278"/>
      <c r="R87" s="46">
        <f>G87*M87</f>
        <v>2361082.3729875199</v>
      </c>
      <c r="S87" s="46"/>
      <c r="T87" s="46">
        <f>N87+778257.45-335281</f>
        <v>13634847.345400959</v>
      </c>
      <c r="U87" s="46">
        <f>T87</f>
        <v>13634847.345400959</v>
      </c>
    </row>
    <row r="88" spans="1:23" ht="82.8">
      <c r="A88" s="304"/>
      <c r="B88" s="305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123" t="s">
        <v>104</v>
      </c>
      <c r="M88" s="123" t="s">
        <v>104</v>
      </c>
      <c r="N88" s="278"/>
      <c r="O88" s="278"/>
      <c r="P88" s="123" t="s">
        <v>104</v>
      </c>
      <c r="Q88" s="123"/>
      <c r="R88" s="123" t="s">
        <v>104</v>
      </c>
      <c r="S88" s="123"/>
      <c r="T88" s="46"/>
      <c r="U88" s="46"/>
    </row>
    <row r="89" spans="1:23">
      <c r="A89" s="304"/>
      <c r="B89" s="305"/>
      <c r="C89" s="63" t="s">
        <v>171</v>
      </c>
      <c r="D89" s="64" t="s">
        <v>101</v>
      </c>
      <c r="E89" s="60">
        <v>1</v>
      </c>
      <c r="F89" s="60">
        <v>1</v>
      </c>
      <c r="G89" s="60">
        <v>1</v>
      </c>
      <c r="H89" s="60">
        <v>1</v>
      </c>
      <c r="I89" s="60">
        <v>1</v>
      </c>
      <c r="J89" s="75">
        <f t="shared" ref="J89:J90" si="51">K89</f>
        <v>69362.66</v>
      </c>
      <c r="K89" s="75">
        <v>69362.66</v>
      </c>
      <c r="L89" s="123" t="s">
        <v>104</v>
      </c>
      <c r="M89" s="123" t="s">
        <v>104</v>
      </c>
      <c r="N89" s="278">
        <f t="shared" ref="N89:N90" si="52">O89</f>
        <v>69362.66</v>
      </c>
      <c r="O89" s="278">
        <f>G89*K89</f>
        <v>69362.66</v>
      </c>
      <c r="P89" s="123" t="s">
        <v>104</v>
      </c>
      <c r="Q89" s="123"/>
      <c r="R89" s="123" t="s">
        <v>104</v>
      </c>
      <c r="S89" s="123"/>
      <c r="T89" s="46">
        <f>H89*K89</f>
        <v>69362.66</v>
      </c>
      <c r="U89" s="46">
        <f>I89*K89</f>
        <v>69362.66</v>
      </c>
    </row>
    <row r="90" spans="1:23">
      <c r="A90" s="304"/>
      <c r="B90" s="305"/>
      <c r="C90" s="63" t="s">
        <v>165</v>
      </c>
      <c r="D90" s="64" t="s">
        <v>101</v>
      </c>
      <c r="E90" s="60"/>
      <c r="F90" s="60"/>
      <c r="G90" s="59"/>
      <c r="H90" s="60"/>
      <c r="I90" s="60"/>
      <c r="J90" s="75">
        <f t="shared" si="51"/>
        <v>92468.25</v>
      </c>
      <c r="K90" s="75">
        <v>92468.25</v>
      </c>
      <c r="L90" s="123" t="s">
        <v>104</v>
      </c>
      <c r="M90" s="123" t="s">
        <v>104</v>
      </c>
      <c r="N90" s="278">
        <f t="shared" si="52"/>
        <v>0</v>
      </c>
      <c r="O90" s="278">
        <f t="shared" ref="O90:O92" si="53">G90*K90</f>
        <v>0</v>
      </c>
      <c r="P90" s="123" t="s">
        <v>104</v>
      </c>
      <c r="Q90" s="123"/>
      <c r="R90" s="123" t="s">
        <v>104</v>
      </c>
      <c r="S90" s="123"/>
      <c r="T90" s="46">
        <f t="shared" ref="T90:T91" si="54">H90*K90</f>
        <v>0</v>
      </c>
      <c r="U90" s="46">
        <f t="shared" ref="U90:U91" si="55">I90*K90</f>
        <v>0</v>
      </c>
    </row>
    <row r="91" spans="1:23">
      <c r="A91" s="304"/>
      <c r="B91" s="305"/>
      <c r="C91" s="63" t="s">
        <v>168</v>
      </c>
      <c r="D91" s="64" t="s">
        <v>101</v>
      </c>
      <c r="E91" s="60">
        <v>6</v>
      </c>
      <c r="F91" s="60">
        <v>6</v>
      </c>
      <c r="G91" s="60">
        <v>6</v>
      </c>
      <c r="H91" s="60">
        <v>6</v>
      </c>
      <c r="I91" s="60">
        <v>6</v>
      </c>
      <c r="J91" s="75">
        <f>K91</f>
        <v>23553.439999999999</v>
      </c>
      <c r="K91" s="75">
        <v>23553.439999999999</v>
      </c>
      <c r="L91" s="123" t="s">
        <v>104</v>
      </c>
      <c r="M91" s="123" t="s">
        <v>104</v>
      </c>
      <c r="N91" s="278">
        <f>O91</f>
        <v>141320.63999999998</v>
      </c>
      <c r="O91" s="278">
        <f t="shared" si="53"/>
        <v>141320.63999999998</v>
      </c>
      <c r="P91" s="123" t="s">
        <v>104</v>
      </c>
      <c r="Q91" s="123"/>
      <c r="R91" s="123" t="s">
        <v>104</v>
      </c>
      <c r="S91" s="123"/>
      <c r="T91" s="46">
        <f t="shared" si="54"/>
        <v>141320.63999999998</v>
      </c>
      <c r="U91" s="46">
        <f t="shared" si="55"/>
        <v>141320.63999999998</v>
      </c>
    </row>
    <row r="92" spans="1:23" ht="82.8">
      <c r="A92" s="304"/>
      <c r="B92" s="305"/>
      <c r="C92" s="61" t="s">
        <v>105</v>
      </c>
      <c r="D92" s="64" t="s">
        <v>101</v>
      </c>
      <c r="E92" s="60">
        <v>3</v>
      </c>
      <c r="F92" s="60">
        <v>3</v>
      </c>
      <c r="G92" s="60">
        <v>3</v>
      </c>
      <c r="H92" s="60">
        <v>3</v>
      </c>
      <c r="I92" s="60">
        <v>3</v>
      </c>
      <c r="J92" s="75">
        <f>SUM(K92:M92)</f>
        <v>175953.86078304</v>
      </c>
      <c r="K92" s="75">
        <f>151407.63+1622.42+1623.27</f>
        <v>154653.32</v>
      </c>
      <c r="L92" s="193">
        <f>4001.99*2.411294+1110.02</f>
        <v>10759.994475059999</v>
      </c>
      <c r="M92" s="349">
        <f>7790.73-13.14656772+2744.41+18.5528757</f>
        <v>10540.546307979999</v>
      </c>
      <c r="N92" s="280">
        <f>SUM(O92:R92)</f>
        <v>527861.58234912006</v>
      </c>
      <c r="O92" s="278">
        <f t="shared" si="53"/>
        <v>463959.96</v>
      </c>
      <c r="P92" s="280">
        <f>G92*L92</f>
        <v>32279.983425179998</v>
      </c>
      <c r="Q92" s="280"/>
      <c r="R92" s="46">
        <f>G92*M92</f>
        <v>31621.638923939998</v>
      </c>
      <c r="S92" s="46"/>
      <c r="T92" s="46">
        <f>N92+10423.09</f>
        <v>538284.67234912002</v>
      </c>
      <c r="U92" s="46">
        <f>T92</f>
        <v>538284.67234912002</v>
      </c>
    </row>
    <row r="93" spans="1:23">
      <c r="A93" s="304"/>
      <c r="B93" s="187"/>
      <c r="C93" s="66" t="s">
        <v>106</v>
      </c>
      <c r="D93" s="64"/>
      <c r="E93" s="60">
        <f>E87+E92</f>
        <v>227</v>
      </c>
      <c r="F93" s="60">
        <f t="shared" ref="F93:I93" si="56">F87+F92</f>
        <v>227</v>
      </c>
      <c r="G93" s="60">
        <f t="shared" si="56"/>
        <v>227</v>
      </c>
      <c r="H93" s="60">
        <f t="shared" si="56"/>
        <v>227</v>
      </c>
      <c r="I93" s="60">
        <f t="shared" si="56"/>
        <v>227</v>
      </c>
      <c r="J93" s="73" t="s">
        <v>104</v>
      </c>
      <c r="K93" s="73" t="s">
        <v>104</v>
      </c>
      <c r="L93" s="194" t="s">
        <v>104</v>
      </c>
      <c r="M93" s="194" t="s">
        <v>104</v>
      </c>
      <c r="N93" s="194">
        <f t="shared" ref="N93:U93" si="57">SUM(N87:N92)</f>
        <v>13930415.77775008</v>
      </c>
      <c r="O93" s="194">
        <f t="shared" si="57"/>
        <v>9095193.0200000014</v>
      </c>
      <c r="P93" s="194">
        <f t="shared" si="57"/>
        <v>2442518.7458386198</v>
      </c>
      <c r="Q93" s="194"/>
      <c r="R93" s="194">
        <f t="shared" si="57"/>
        <v>2392704.0119114597</v>
      </c>
      <c r="S93" s="194"/>
      <c r="T93" s="194">
        <f t="shared" si="57"/>
        <v>14383815.31775008</v>
      </c>
      <c r="U93" s="194">
        <f t="shared" si="57"/>
        <v>14383815.31775008</v>
      </c>
    </row>
    <row r="94" spans="1:23" ht="82.8">
      <c r="A94" s="304"/>
      <c r="B94" s="305" t="s">
        <v>239</v>
      </c>
      <c r="C94" s="61" t="s">
        <v>100</v>
      </c>
      <c r="D94" s="62" t="s">
        <v>101</v>
      </c>
      <c r="E94" s="60">
        <v>69</v>
      </c>
      <c r="F94" s="60">
        <v>69</v>
      </c>
      <c r="G94" s="60">
        <v>69</v>
      </c>
      <c r="H94" s="60">
        <v>69</v>
      </c>
      <c r="I94" s="60">
        <v>69</v>
      </c>
      <c r="J94" s="107">
        <f>SUM(K94:M94)</f>
        <v>65994.72078304</v>
      </c>
      <c r="K94" s="107">
        <f>41105.12+1965.79+1623.27</f>
        <v>44694.18</v>
      </c>
      <c r="L94" s="349">
        <f>4001.99*2.411294+1110.02</f>
        <v>10759.994475059999</v>
      </c>
      <c r="M94" s="349">
        <f>7790.73-13.14656772+2744.41+18.5528757</f>
        <v>10540.546307979999</v>
      </c>
      <c r="N94" s="280">
        <f>SUM(O94:R94)</f>
        <v>4553635.4450297598</v>
      </c>
      <c r="O94" s="280">
        <f>G94*K94</f>
        <v>3083898.42</v>
      </c>
      <c r="P94" s="280">
        <f>G94*L94-0.289</f>
        <v>742439.32977913995</v>
      </c>
      <c r="Q94" s="280"/>
      <c r="R94" s="46">
        <f>G94*M94</f>
        <v>727297.6952506199</v>
      </c>
      <c r="S94" s="46"/>
      <c r="T94" s="46">
        <f>N94+239731.09</f>
        <v>4793366.5350297596</v>
      </c>
      <c r="U94" s="46">
        <f>T94</f>
        <v>4793366.5350297596</v>
      </c>
    </row>
    <row r="95" spans="1:23" ht="82.8">
      <c r="A95" s="304"/>
      <c r="B95" s="305"/>
      <c r="C95" s="63" t="s">
        <v>163</v>
      </c>
      <c r="D95" s="64" t="s">
        <v>101</v>
      </c>
      <c r="E95" s="59" t="s">
        <v>104</v>
      </c>
      <c r="F95" s="59" t="s">
        <v>104</v>
      </c>
      <c r="G95" s="59" t="s">
        <v>104</v>
      </c>
      <c r="H95" s="59" t="s">
        <v>104</v>
      </c>
      <c r="I95" s="59" t="s">
        <v>104</v>
      </c>
      <c r="J95" s="59" t="s">
        <v>104</v>
      </c>
      <c r="K95" s="59" t="s">
        <v>104</v>
      </c>
      <c r="L95" s="123" t="s">
        <v>104</v>
      </c>
      <c r="M95" s="123" t="s">
        <v>104</v>
      </c>
      <c r="N95" s="278"/>
      <c r="O95" s="278"/>
      <c r="P95" s="123" t="s">
        <v>104</v>
      </c>
      <c r="Q95" s="123"/>
      <c r="R95" s="123" t="s">
        <v>104</v>
      </c>
      <c r="S95" s="123"/>
      <c r="T95" s="46"/>
      <c r="U95" s="46"/>
    </row>
    <row r="96" spans="1:23">
      <c r="A96" s="304"/>
      <c r="B96" s="305"/>
      <c r="C96" s="63" t="s">
        <v>165</v>
      </c>
      <c r="D96" s="64" t="s">
        <v>101</v>
      </c>
      <c r="E96" s="60"/>
      <c r="F96" s="60"/>
      <c r="G96" s="59">
        <f t="shared" ref="G96:G98" si="58">((E96*8)+(F96*4))/12</f>
        <v>0</v>
      </c>
      <c r="H96" s="60"/>
      <c r="I96" s="60"/>
      <c r="J96" s="75">
        <f>K96</f>
        <v>92468.25</v>
      </c>
      <c r="K96" s="75">
        <v>92468.25</v>
      </c>
      <c r="L96" s="123" t="s">
        <v>104</v>
      </c>
      <c r="M96" s="123" t="s">
        <v>104</v>
      </c>
      <c r="N96" s="278">
        <f>O96</f>
        <v>0</v>
      </c>
      <c r="O96" s="278">
        <f>G96*K96</f>
        <v>0</v>
      </c>
      <c r="P96" s="123" t="s">
        <v>104</v>
      </c>
      <c r="Q96" s="123"/>
      <c r="R96" s="123" t="s">
        <v>104</v>
      </c>
      <c r="S96" s="123"/>
      <c r="T96" s="46">
        <f>H96*K96</f>
        <v>0</v>
      </c>
      <c r="U96" s="46">
        <f>I96*K96</f>
        <v>0</v>
      </c>
      <c r="W96" s="80">
        <v>35861908.469999999</v>
      </c>
    </row>
    <row r="97" spans="1:26">
      <c r="A97" s="304"/>
      <c r="B97" s="305"/>
      <c r="C97" s="63" t="s">
        <v>168</v>
      </c>
      <c r="D97" s="64" t="s">
        <v>101</v>
      </c>
      <c r="E97" s="60"/>
      <c r="F97" s="60"/>
      <c r="G97" s="59">
        <f t="shared" si="58"/>
        <v>0</v>
      </c>
      <c r="H97" s="60"/>
      <c r="I97" s="60"/>
      <c r="J97" s="75">
        <f>K97</f>
        <v>23553.439999999999</v>
      </c>
      <c r="K97" s="75">
        <v>23553.439999999999</v>
      </c>
      <c r="L97" s="123" t="s">
        <v>104</v>
      </c>
      <c r="M97" s="123" t="s">
        <v>104</v>
      </c>
      <c r="N97" s="278">
        <f>O97</f>
        <v>0</v>
      </c>
      <c r="O97" s="278">
        <f>G97*K97</f>
        <v>0</v>
      </c>
      <c r="P97" s="123" t="s">
        <v>104</v>
      </c>
      <c r="Q97" s="123"/>
      <c r="R97" s="123" t="s">
        <v>104</v>
      </c>
      <c r="S97" s="123"/>
      <c r="T97" s="46">
        <f>H97*K97</f>
        <v>0</v>
      </c>
      <c r="U97" s="46">
        <f>I97*K97</f>
        <v>0</v>
      </c>
    </row>
    <row r="98" spans="1:26" ht="82.8">
      <c r="A98" s="304"/>
      <c r="B98" s="305"/>
      <c r="C98" s="61" t="s">
        <v>105</v>
      </c>
      <c r="D98" s="64" t="s">
        <v>101</v>
      </c>
      <c r="E98" s="60"/>
      <c r="F98" s="60"/>
      <c r="G98" s="59">
        <f t="shared" si="58"/>
        <v>0</v>
      </c>
      <c r="H98" s="60"/>
      <c r="I98" s="60"/>
      <c r="J98" s="75">
        <f>SUM(K98:M98)</f>
        <v>206291.95078304</v>
      </c>
      <c r="K98" s="75">
        <f>181402.35+1965.79+1623.27</f>
        <v>184991.41</v>
      </c>
      <c r="L98" s="193">
        <f>4001.99*2.411294+1110.02</f>
        <v>10759.994475059999</v>
      </c>
      <c r="M98" s="349">
        <f>7790.73-13.14656772+2744.41+18.5528757</f>
        <v>10540.546307979999</v>
      </c>
      <c r="N98" s="280"/>
      <c r="O98" s="278">
        <f>G98*K98</f>
        <v>0</v>
      </c>
      <c r="P98" s="280"/>
      <c r="Q98" s="280"/>
      <c r="R98" s="280"/>
      <c r="S98" s="280"/>
      <c r="T98" s="46">
        <f t="shared" si="19"/>
        <v>0</v>
      </c>
      <c r="U98" s="46">
        <f t="shared" si="20"/>
        <v>0</v>
      </c>
    </row>
    <row r="99" spans="1:26">
      <c r="A99" s="304"/>
      <c r="B99" s="187"/>
      <c r="C99" s="66" t="s">
        <v>106</v>
      </c>
      <c r="D99" s="64"/>
      <c r="E99" s="60">
        <f>E94+E98</f>
        <v>69</v>
      </c>
      <c r="F99" s="60">
        <f t="shared" ref="F99:I99" si="59">F94+F98</f>
        <v>69</v>
      </c>
      <c r="G99" s="60">
        <f t="shared" si="59"/>
        <v>69</v>
      </c>
      <c r="H99" s="60">
        <f t="shared" si="59"/>
        <v>69</v>
      </c>
      <c r="I99" s="60">
        <f t="shared" si="59"/>
        <v>69</v>
      </c>
      <c r="J99" s="73" t="s">
        <v>104</v>
      </c>
      <c r="K99" s="73" t="s">
        <v>104</v>
      </c>
      <c r="L99" s="194" t="s">
        <v>104</v>
      </c>
      <c r="M99" s="194" t="s">
        <v>104</v>
      </c>
      <c r="N99" s="194">
        <f t="shared" ref="N99:U99" si="60">SUM(N94:N98)</f>
        <v>4553635.4450297598</v>
      </c>
      <c r="O99" s="194">
        <f t="shared" si="60"/>
        <v>3083898.42</v>
      </c>
      <c r="P99" s="194">
        <f t="shared" si="60"/>
        <v>742439.32977913995</v>
      </c>
      <c r="Q99" s="194"/>
      <c r="R99" s="194">
        <f t="shared" si="60"/>
        <v>727297.6952506199</v>
      </c>
      <c r="S99" s="194"/>
      <c r="T99" s="194">
        <f t="shared" si="60"/>
        <v>4793366.5350297596</v>
      </c>
      <c r="U99" s="194">
        <f t="shared" si="60"/>
        <v>4793366.5350297596</v>
      </c>
      <c r="W99" s="85">
        <f>T109-W96</f>
        <v>3.0585601925849915E-3</v>
      </c>
    </row>
    <row r="100" spans="1:26" ht="100.2" customHeight="1">
      <c r="A100" s="304"/>
      <c r="B100" s="137" t="s">
        <v>240</v>
      </c>
      <c r="C100" s="61" t="s">
        <v>187</v>
      </c>
      <c r="D100" s="64" t="s">
        <v>101</v>
      </c>
      <c r="E100" s="60">
        <v>921</v>
      </c>
      <c r="F100" s="60">
        <v>921</v>
      </c>
      <c r="G100" s="60">
        <v>921</v>
      </c>
      <c r="H100" s="60">
        <v>921</v>
      </c>
      <c r="I100" s="60">
        <v>921</v>
      </c>
      <c r="J100" s="75">
        <f>K100</f>
        <v>3268.55</v>
      </c>
      <c r="K100" s="75">
        <v>3268.55</v>
      </c>
      <c r="L100" s="193" t="s">
        <v>104</v>
      </c>
      <c r="M100" s="193" t="s">
        <v>104</v>
      </c>
      <c r="N100" s="280">
        <f>SUM(O100:R100)</f>
        <v>3128470.0000000005</v>
      </c>
      <c r="O100" s="280">
        <f>K100*G100-0.55+118136</f>
        <v>3128470.0000000005</v>
      </c>
      <c r="P100" s="280" t="s">
        <v>104</v>
      </c>
      <c r="Q100" s="280"/>
      <c r="R100" s="280" t="s">
        <v>104</v>
      </c>
      <c r="S100" s="280"/>
      <c r="T100" s="46">
        <f>N100</f>
        <v>3128470.0000000005</v>
      </c>
      <c r="U100" s="46">
        <f t="shared" ref="U100:U107" si="61">T100</f>
        <v>3128470.0000000005</v>
      </c>
    </row>
    <row r="101" spans="1:26">
      <c r="A101" s="304"/>
      <c r="B101" s="69"/>
      <c r="C101" s="66" t="s">
        <v>106</v>
      </c>
      <c r="D101" s="69"/>
      <c r="E101" s="60">
        <f>SUM(E100:E100)</f>
        <v>921</v>
      </c>
      <c r="F101" s="60">
        <f>SUM(F100:F100)</f>
        <v>921</v>
      </c>
      <c r="G101" s="60">
        <f>SUM(G100:G100)</f>
        <v>921</v>
      </c>
      <c r="H101" s="60">
        <f>SUM(H100:H100)</f>
        <v>921</v>
      </c>
      <c r="I101" s="60">
        <f>SUM(I100:I100)</f>
        <v>921</v>
      </c>
      <c r="J101" s="73" t="s">
        <v>104</v>
      </c>
      <c r="K101" s="73" t="s">
        <v>104</v>
      </c>
      <c r="L101" s="194" t="s">
        <v>104</v>
      </c>
      <c r="M101" s="194">
        <f t="shared" ref="M101:R101" si="62">SUM(M100:M100)</f>
        <v>0</v>
      </c>
      <c r="N101" s="194">
        <f t="shared" si="62"/>
        <v>3128470.0000000005</v>
      </c>
      <c r="O101" s="194">
        <f>SUM(O100:O100)</f>
        <v>3128470.0000000005</v>
      </c>
      <c r="P101" s="194">
        <f t="shared" si="62"/>
        <v>0</v>
      </c>
      <c r="Q101" s="194"/>
      <c r="R101" s="194">
        <f t="shared" si="62"/>
        <v>0</v>
      </c>
      <c r="S101" s="194"/>
      <c r="T101" s="46">
        <f>N101</f>
        <v>3128470.0000000005</v>
      </c>
      <c r="U101" s="46">
        <f t="shared" si="61"/>
        <v>3128470.0000000005</v>
      </c>
    </row>
    <row r="102" spans="1:26" hidden="1">
      <c r="A102" s="304"/>
      <c r="B102" s="69" t="s">
        <v>292</v>
      </c>
      <c r="C102" s="183" t="s">
        <v>226</v>
      </c>
      <c r="D102" s="69"/>
      <c r="E102" s="60"/>
      <c r="F102" s="60"/>
      <c r="G102" s="60"/>
      <c r="H102" s="60"/>
      <c r="I102" s="60"/>
      <c r="J102" s="73"/>
      <c r="K102" s="73"/>
      <c r="L102" s="194"/>
      <c r="M102" s="194"/>
      <c r="N102" s="194">
        <f>P102</f>
        <v>0</v>
      </c>
      <c r="O102" s="194"/>
      <c r="P102" s="194"/>
      <c r="Q102" s="194"/>
      <c r="R102" s="194"/>
      <c r="S102" s="194"/>
      <c r="T102" s="46">
        <f>P102</f>
        <v>0</v>
      </c>
      <c r="U102" s="46">
        <f t="shared" si="61"/>
        <v>0</v>
      </c>
    </row>
    <row r="103" spans="1:26" hidden="1">
      <c r="A103" s="304"/>
      <c r="B103" s="89" t="s">
        <v>225</v>
      </c>
      <c r="C103" s="183" t="s">
        <v>219</v>
      </c>
      <c r="D103" s="64" t="s">
        <v>101</v>
      </c>
      <c r="E103" s="60">
        <v>12</v>
      </c>
      <c r="F103" s="60">
        <v>12</v>
      </c>
      <c r="G103" s="60">
        <v>12</v>
      </c>
      <c r="H103" s="60">
        <v>12</v>
      </c>
      <c r="I103" s="60">
        <v>12</v>
      </c>
      <c r="J103" s="73"/>
      <c r="K103" s="73"/>
      <c r="L103" s="194"/>
      <c r="M103" s="194"/>
      <c r="N103" s="194">
        <f>S103</f>
        <v>0</v>
      </c>
      <c r="O103" s="194"/>
      <c r="P103" s="194"/>
      <c r="Q103" s="194"/>
      <c r="R103" s="194"/>
      <c r="S103" s="194"/>
      <c r="T103" s="46">
        <f>S103</f>
        <v>0</v>
      </c>
      <c r="U103" s="46">
        <f t="shared" si="61"/>
        <v>0</v>
      </c>
    </row>
    <row r="104" spans="1:26" hidden="1">
      <c r="A104" s="304"/>
      <c r="B104" s="89" t="s">
        <v>225</v>
      </c>
      <c r="C104" s="183" t="s">
        <v>226</v>
      </c>
      <c r="D104" s="64" t="s">
        <v>101</v>
      </c>
      <c r="E104" s="60">
        <v>1</v>
      </c>
      <c r="F104" s="60">
        <v>1</v>
      </c>
      <c r="G104" s="60">
        <v>1</v>
      </c>
      <c r="H104" s="60">
        <v>1</v>
      </c>
      <c r="I104" s="60">
        <v>1</v>
      </c>
      <c r="J104" s="73"/>
      <c r="K104" s="73"/>
      <c r="L104" s="194"/>
      <c r="M104" s="194"/>
      <c r="N104" s="194">
        <f>Q104</f>
        <v>0</v>
      </c>
      <c r="O104" s="194"/>
      <c r="P104" s="194"/>
      <c r="Q104" s="194"/>
      <c r="R104" s="194"/>
      <c r="S104" s="194"/>
      <c r="T104" s="46"/>
      <c r="U104" s="46">
        <f t="shared" si="61"/>
        <v>0</v>
      </c>
      <c r="V104" s="85">
        <f>Q104-T104</f>
        <v>0</v>
      </c>
    </row>
    <row r="105" spans="1:26" hidden="1">
      <c r="A105" s="304"/>
      <c r="B105" s="89" t="s">
        <v>291</v>
      </c>
      <c r="C105" s="183" t="s">
        <v>219</v>
      </c>
      <c r="D105" s="64"/>
      <c r="E105" s="60"/>
      <c r="F105" s="60"/>
      <c r="G105" s="60"/>
      <c r="H105" s="60"/>
      <c r="I105" s="60"/>
      <c r="J105" s="73"/>
      <c r="K105" s="73"/>
      <c r="L105" s="194"/>
      <c r="M105" s="194"/>
      <c r="N105" s="194">
        <f>O105+P105+Q105+R105+S105</f>
        <v>0</v>
      </c>
      <c r="O105" s="194"/>
      <c r="P105" s="194"/>
      <c r="Q105" s="194"/>
      <c r="R105" s="194"/>
      <c r="S105" s="194"/>
      <c r="T105" s="46"/>
      <c r="U105" s="46"/>
    </row>
    <row r="106" spans="1:26" hidden="1">
      <c r="A106" s="304"/>
      <c r="B106" s="89" t="s">
        <v>307</v>
      </c>
      <c r="C106" s="183" t="s">
        <v>226</v>
      </c>
      <c r="D106" s="64"/>
      <c r="E106" s="60"/>
      <c r="F106" s="60"/>
      <c r="G106" s="60">
        <v>21</v>
      </c>
      <c r="H106" s="60">
        <v>21</v>
      </c>
      <c r="I106" s="60">
        <v>21</v>
      </c>
      <c r="J106" s="73"/>
      <c r="K106" s="73"/>
      <c r="L106" s="194"/>
      <c r="M106" s="194"/>
      <c r="N106" s="194">
        <f>O106</f>
        <v>0</v>
      </c>
      <c r="O106" s="194"/>
      <c r="P106" s="194"/>
      <c r="Q106" s="194"/>
      <c r="R106" s="194"/>
      <c r="S106" s="194"/>
      <c r="T106" s="46"/>
      <c r="U106" s="46">
        <f>T106</f>
        <v>0</v>
      </c>
    </row>
    <row r="107" spans="1:26" hidden="1">
      <c r="A107" s="304"/>
      <c r="B107" s="89" t="s">
        <v>259</v>
      </c>
      <c r="C107" s="183" t="s">
        <v>226</v>
      </c>
      <c r="D107" s="64"/>
      <c r="E107" s="60"/>
      <c r="F107" s="60"/>
      <c r="G107" s="60"/>
      <c r="H107" s="60"/>
      <c r="I107" s="60"/>
      <c r="J107" s="73"/>
      <c r="K107" s="73"/>
      <c r="L107" s="194"/>
      <c r="M107" s="194"/>
      <c r="N107" s="194">
        <f>O107+P107+Q107+R107+S107</f>
        <v>0</v>
      </c>
      <c r="O107" s="194"/>
      <c r="P107" s="194"/>
      <c r="Q107" s="194"/>
      <c r="R107" s="194"/>
      <c r="S107" s="194"/>
      <c r="T107" s="46">
        <f>O107</f>
        <v>0</v>
      </c>
      <c r="U107" s="46">
        <f t="shared" si="61"/>
        <v>0</v>
      </c>
    </row>
    <row r="108" spans="1:26" hidden="1">
      <c r="A108" s="304"/>
      <c r="B108" s="89" t="s">
        <v>308</v>
      </c>
      <c r="C108" s="183" t="s">
        <v>226</v>
      </c>
      <c r="D108" s="64"/>
      <c r="E108" s="60"/>
      <c r="F108" s="60"/>
      <c r="G108" s="60"/>
      <c r="H108" s="60"/>
      <c r="I108" s="60"/>
      <c r="J108" s="73"/>
      <c r="K108" s="73"/>
      <c r="L108" s="194"/>
      <c r="M108" s="194"/>
      <c r="N108" s="194">
        <f>P108</f>
        <v>0</v>
      </c>
      <c r="O108" s="194"/>
      <c r="P108" s="194"/>
      <c r="Q108" s="194"/>
      <c r="R108" s="194"/>
      <c r="S108" s="194"/>
      <c r="T108" s="46"/>
      <c r="U108" s="46">
        <f>T108</f>
        <v>0</v>
      </c>
    </row>
    <row r="109" spans="1:26">
      <c r="A109" s="304"/>
      <c r="B109" s="101" t="s">
        <v>112</v>
      </c>
      <c r="C109" s="101"/>
      <c r="D109" s="69"/>
      <c r="E109" s="102">
        <f t="shared" ref="E109:F109" si="63">E86+E93+E99</f>
        <v>539</v>
      </c>
      <c r="F109" s="102">
        <f t="shared" si="63"/>
        <v>539</v>
      </c>
      <c r="G109" s="102">
        <f>G86+G93+G99</f>
        <v>539</v>
      </c>
      <c r="H109" s="102">
        <f t="shared" ref="H109:I109" si="64">H86+H93+H99</f>
        <v>539</v>
      </c>
      <c r="I109" s="102">
        <f t="shared" si="64"/>
        <v>539</v>
      </c>
      <c r="J109" s="104"/>
      <c r="K109" s="104"/>
      <c r="L109" s="138"/>
      <c r="M109" s="138"/>
      <c r="N109" s="138">
        <f>SUM(O109:S109)</f>
        <v>34334507.473058559</v>
      </c>
      <c r="O109" s="138">
        <f>O86+O93+O99+O101+O106+O107</f>
        <v>22853514</v>
      </c>
      <c r="P109" s="138">
        <f>P86+P93+P99+P101+P102+P103+P104+P108</f>
        <v>5799638.0030573392</v>
      </c>
      <c r="Q109" s="138">
        <f t="shared" ref="Q109" si="65">Q86+Q93+Q99+Q101+Q102+Q103+Q104</f>
        <v>0</v>
      </c>
      <c r="R109" s="138">
        <f>R86+R93+R99+R101+R102+R103+R104+R105</f>
        <v>5681355.4700012198</v>
      </c>
      <c r="S109" s="138">
        <f>S86+S93+S99+S101+S102+S103+S104+S105</f>
        <v>0</v>
      </c>
      <c r="T109" s="138">
        <f>T86+T93+T99+T101+T102+T103+T104+T105+T106+T107+T108</f>
        <v>35861908.473058559</v>
      </c>
      <c r="U109" s="138">
        <f>U86+U93+U99+U101+U102+U103+U104+U105+U106+U107+U108</f>
        <v>35861908.473058559</v>
      </c>
      <c r="V109" s="80">
        <v>5681355.4699999997</v>
      </c>
      <c r="W109" s="85">
        <f>V109-R109</f>
        <v>-1.2200325727462769E-6</v>
      </c>
      <c r="X109" s="80">
        <f>W109/I109</f>
        <v>-2.2635112666906806E-9</v>
      </c>
      <c r="Z109" s="85"/>
    </row>
    <row r="110" spans="1:26" ht="82.8">
      <c r="A110" s="304" t="s">
        <v>115</v>
      </c>
      <c r="B110" s="305" t="s">
        <v>237</v>
      </c>
      <c r="C110" s="61" t="s">
        <v>100</v>
      </c>
      <c r="D110" s="62" t="s">
        <v>101</v>
      </c>
      <c r="E110" s="59">
        <v>206</v>
      </c>
      <c r="F110" s="59">
        <v>206</v>
      </c>
      <c r="G110" s="59">
        <v>206</v>
      </c>
      <c r="H110" s="59">
        <v>206</v>
      </c>
      <c r="I110" s="59">
        <v>206</v>
      </c>
      <c r="J110" s="107">
        <f>SUM(K110:M110)</f>
        <v>47214.155903630002</v>
      </c>
      <c r="K110" s="107">
        <f>20483.63+1329.32+2453.93</f>
        <v>24266.880000000001</v>
      </c>
      <c r="L110" s="349">
        <f>4001.99*2.411294+805.23</f>
        <v>10455.204475059998</v>
      </c>
      <c r="M110" s="349">
        <f>7790.73-12.94824017+4610.77+41.4078675+62.11180124</f>
        <v>12492.07142857</v>
      </c>
      <c r="N110" s="278">
        <f>SUM(O110:R110)</f>
        <v>9726113.06614778</v>
      </c>
      <c r="O110" s="278">
        <f>G110*K110-1.14</f>
        <v>4998976.1400000006</v>
      </c>
      <c r="P110" s="278">
        <f>G110*L110-2</f>
        <v>2153770.1218623598</v>
      </c>
      <c r="Q110" s="278"/>
      <c r="R110" s="46">
        <f>G110*M110+0.09</f>
        <v>2573366.8042854196</v>
      </c>
      <c r="S110" s="46"/>
      <c r="T110" s="46">
        <f>N110+716661.63-50000</f>
        <v>10392774.696147781</v>
      </c>
      <c r="U110" s="46">
        <f>T110</f>
        <v>10392774.696147781</v>
      </c>
    </row>
    <row r="111" spans="1:26" ht="82.8">
      <c r="A111" s="304"/>
      <c r="B111" s="305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123" t="s">
        <v>104</v>
      </c>
      <c r="M111" s="123" t="s">
        <v>104</v>
      </c>
      <c r="N111" s="278"/>
      <c r="O111" s="278"/>
      <c r="P111" s="123" t="s">
        <v>104</v>
      </c>
      <c r="Q111" s="123"/>
      <c r="R111" s="123" t="s">
        <v>104</v>
      </c>
      <c r="S111" s="123"/>
      <c r="T111" s="46"/>
      <c r="U111" s="46"/>
    </row>
    <row r="112" spans="1:26">
      <c r="A112" s="304"/>
      <c r="B112" s="305"/>
      <c r="C112" s="63" t="s">
        <v>164</v>
      </c>
      <c r="D112" s="64" t="s">
        <v>101</v>
      </c>
      <c r="E112" s="59"/>
      <c r="F112" s="59"/>
      <c r="G112" s="59"/>
      <c r="H112" s="59"/>
      <c r="I112" s="59"/>
      <c r="J112" s="75">
        <f>K112</f>
        <v>25589.72</v>
      </c>
      <c r="K112" s="71">
        <v>25589.72</v>
      </c>
      <c r="L112" s="123" t="s">
        <v>104</v>
      </c>
      <c r="M112" s="123" t="s">
        <v>104</v>
      </c>
      <c r="N112" s="278">
        <f t="shared" ref="N112:N114" si="66">O112</f>
        <v>0</v>
      </c>
      <c r="O112" s="278">
        <f>G112*K112</f>
        <v>0</v>
      </c>
      <c r="P112" s="123" t="s">
        <v>104</v>
      </c>
      <c r="Q112" s="123"/>
      <c r="R112" s="123" t="s">
        <v>104</v>
      </c>
      <c r="S112" s="123"/>
      <c r="T112" s="46">
        <f t="shared" ref="T112:T114" si="67">H112*K112</f>
        <v>0</v>
      </c>
      <c r="U112" s="46">
        <f t="shared" ref="U112:U114" si="68">I112*K112</f>
        <v>0</v>
      </c>
    </row>
    <row r="113" spans="1:21">
      <c r="A113" s="304"/>
      <c r="B113" s="305"/>
      <c r="C113" s="63" t="s">
        <v>169</v>
      </c>
      <c r="D113" s="64" t="s">
        <v>101</v>
      </c>
      <c r="E113" s="59">
        <v>9</v>
      </c>
      <c r="F113" s="59">
        <v>9</v>
      </c>
      <c r="G113" s="59">
        <v>9</v>
      </c>
      <c r="H113" s="59">
        <v>9</v>
      </c>
      <c r="I113" s="59">
        <v>9</v>
      </c>
      <c r="J113" s="75">
        <f>K113</f>
        <v>69362.66</v>
      </c>
      <c r="K113" s="71">
        <v>69362.66</v>
      </c>
      <c r="L113" s="123" t="s">
        <v>104</v>
      </c>
      <c r="M113" s="123" t="s">
        <v>104</v>
      </c>
      <c r="N113" s="278">
        <f t="shared" si="66"/>
        <v>624263.94000000006</v>
      </c>
      <c r="O113" s="278">
        <f t="shared" ref="O113:O118" si="69">G113*K113</f>
        <v>624263.94000000006</v>
      </c>
      <c r="P113" s="123" t="s">
        <v>104</v>
      </c>
      <c r="Q113" s="123"/>
      <c r="R113" s="123" t="s">
        <v>104</v>
      </c>
      <c r="S113" s="123"/>
      <c r="T113" s="46">
        <f t="shared" si="67"/>
        <v>624263.94000000006</v>
      </c>
      <c r="U113" s="46">
        <f t="shared" si="68"/>
        <v>624263.94000000006</v>
      </c>
    </row>
    <row r="114" spans="1:21">
      <c r="A114" s="304"/>
      <c r="B114" s="305"/>
      <c r="C114" s="63" t="s">
        <v>165</v>
      </c>
      <c r="D114" s="64" t="s">
        <v>101</v>
      </c>
      <c r="E114" s="59">
        <v>2</v>
      </c>
      <c r="F114" s="59">
        <v>2</v>
      </c>
      <c r="G114" s="59">
        <v>2</v>
      </c>
      <c r="H114" s="59">
        <v>2</v>
      </c>
      <c r="I114" s="59">
        <v>2</v>
      </c>
      <c r="J114" s="75">
        <f>K114</f>
        <v>92468.25</v>
      </c>
      <c r="K114" s="71">
        <v>92468.25</v>
      </c>
      <c r="L114" s="123" t="s">
        <v>104</v>
      </c>
      <c r="M114" s="123" t="s">
        <v>104</v>
      </c>
      <c r="N114" s="278">
        <f t="shared" si="66"/>
        <v>184936.5</v>
      </c>
      <c r="O114" s="278">
        <f t="shared" si="69"/>
        <v>184936.5</v>
      </c>
      <c r="P114" s="123" t="s">
        <v>104</v>
      </c>
      <c r="Q114" s="123"/>
      <c r="R114" s="123" t="s">
        <v>104</v>
      </c>
      <c r="S114" s="123"/>
      <c r="T114" s="46">
        <f t="shared" si="67"/>
        <v>184936.5</v>
      </c>
      <c r="U114" s="46">
        <f t="shared" si="68"/>
        <v>184936.5</v>
      </c>
    </row>
    <row r="115" spans="1:21">
      <c r="A115" s="304"/>
      <c r="B115" s="305"/>
      <c r="C115" s="63" t="s">
        <v>166</v>
      </c>
      <c r="D115" s="64" t="s">
        <v>101</v>
      </c>
      <c r="E115" s="59">
        <v>24</v>
      </c>
      <c r="F115" s="59">
        <v>24</v>
      </c>
      <c r="G115" s="59">
        <v>24</v>
      </c>
      <c r="H115" s="59">
        <v>24</v>
      </c>
      <c r="I115" s="59">
        <v>24</v>
      </c>
      <c r="J115" s="75">
        <f>K115</f>
        <v>66361.320000000007</v>
      </c>
      <c r="K115" s="75">
        <v>66361.320000000007</v>
      </c>
      <c r="L115" s="123" t="s">
        <v>104</v>
      </c>
      <c r="M115" s="123" t="s">
        <v>104</v>
      </c>
      <c r="N115" s="278">
        <f>O115</f>
        <v>1592671.6800000002</v>
      </c>
      <c r="O115" s="278">
        <f t="shared" si="69"/>
        <v>1592671.6800000002</v>
      </c>
      <c r="P115" s="123" t="s">
        <v>104</v>
      </c>
      <c r="Q115" s="123"/>
      <c r="R115" s="123" t="s">
        <v>104</v>
      </c>
      <c r="S115" s="123"/>
      <c r="T115" s="46">
        <f>H115*K115</f>
        <v>1592671.6800000002</v>
      </c>
      <c r="U115" s="46">
        <f>I115*K115</f>
        <v>1592671.6800000002</v>
      </c>
    </row>
    <row r="116" spans="1:21">
      <c r="A116" s="304"/>
      <c r="B116" s="305"/>
      <c r="C116" s="63" t="s">
        <v>167</v>
      </c>
      <c r="D116" s="64" t="s">
        <v>101</v>
      </c>
      <c r="E116" s="59">
        <v>1</v>
      </c>
      <c r="F116" s="59">
        <v>1</v>
      </c>
      <c r="G116" s="59">
        <v>1</v>
      </c>
      <c r="H116" s="59">
        <v>1</v>
      </c>
      <c r="I116" s="59">
        <v>1</v>
      </c>
      <c r="J116" s="75">
        <f>K116</f>
        <v>174890.83</v>
      </c>
      <c r="K116" s="75">
        <v>174890.83</v>
      </c>
      <c r="L116" s="123" t="s">
        <v>104</v>
      </c>
      <c r="M116" s="123" t="s">
        <v>104</v>
      </c>
      <c r="N116" s="278">
        <f>O116</f>
        <v>174890.83</v>
      </c>
      <c r="O116" s="278">
        <f t="shared" si="69"/>
        <v>174890.83</v>
      </c>
      <c r="P116" s="123" t="s">
        <v>104</v>
      </c>
      <c r="Q116" s="123"/>
      <c r="R116" s="123" t="s">
        <v>104</v>
      </c>
      <c r="S116" s="123"/>
      <c r="T116" s="46">
        <f>H116*K116</f>
        <v>174890.83</v>
      </c>
      <c r="U116" s="46">
        <f>I116*K116</f>
        <v>174890.83</v>
      </c>
    </row>
    <row r="117" spans="1:21">
      <c r="A117" s="304"/>
      <c r="B117" s="305"/>
      <c r="C117" s="63" t="s">
        <v>170</v>
      </c>
      <c r="D117" s="64" t="s">
        <v>101</v>
      </c>
      <c r="E117" s="59">
        <v>1</v>
      </c>
      <c r="F117" s="59">
        <v>1</v>
      </c>
      <c r="G117" s="59">
        <v>1</v>
      </c>
      <c r="H117" s="59">
        <v>1</v>
      </c>
      <c r="I117" s="59">
        <v>1</v>
      </c>
      <c r="J117" s="75">
        <f t="shared" ref="J117:J118" si="70">K117</f>
        <v>99648.29</v>
      </c>
      <c r="K117" s="75">
        <v>99648.29</v>
      </c>
      <c r="L117" s="123" t="s">
        <v>104</v>
      </c>
      <c r="M117" s="123" t="s">
        <v>104</v>
      </c>
      <c r="N117" s="278">
        <f t="shared" ref="N117:N118" si="71">O117</f>
        <v>99648.29</v>
      </c>
      <c r="O117" s="278">
        <f t="shared" si="69"/>
        <v>99648.29</v>
      </c>
      <c r="P117" s="123" t="s">
        <v>104</v>
      </c>
      <c r="Q117" s="123"/>
      <c r="R117" s="123" t="s">
        <v>104</v>
      </c>
      <c r="S117" s="123"/>
      <c r="T117" s="46">
        <f t="shared" ref="T117:T118" si="72">H117*K117</f>
        <v>99648.29</v>
      </c>
      <c r="U117" s="46">
        <f t="shared" ref="U117:U118" si="73">I117*K117</f>
        <v>99648.29</v>
      </c>
    </row>
    <row r="118" spans="1:21">
      <c r="A118" s="304"/>
      <c r="B118" s="305"/>
      <c r="C118" s="63" t="s">
        <v>168</v>
      </c>
      <c r="D118" s="64" t="s">
        <v>101</v>
      </c>
      <c r="E118" s="59">
        <v>1</v>
      </c>
      <c r="F118" s="59">
        <v>1</v>
      </c>
      <c r="G118" s="59">
        <v>1</v>
      </c>
      <c r="H118" s="59">
        <v>1</v>
      </c>
      <c r="I118" s="59">
        <v>1</v>
      </c>
      <c r="J118" s="75">
        <f t="shared" si="70"/>
        <v>23553.439999999999</v>
      </c>
      <c r="K118" s="75">
        <v>23553.439999999999</v>
      </c>
      <c r="L118" s="123" t="s">
        <v>104</v>
      </c>
      <c r="M118" s="123" t="s">
        <v>104</v>
      </c>
      <c r="N118" s="278">
        <f t="shared" si="71"/>
        <v>23553.439999999999</v>
      </c>
      <c r="O118" s="278">
        <f t="shared" si="69"/>
        <v>23553.439999999999</v>
      </c>
      <c r="P118" s="123" t="s">
        <v>104</v>
      </c>
      <c r="Q118" s="123"/>
      <c r="R118" s="123" t="s">
        <v>104</v>
      </c>
      <c r="S118" s="123"/>
      <c r="T118" s="46">
        <f t="shared" si="72"/>
        <v>23553.439999999999</v>
      </c>
      <c r="U118" s="46">
        <f t="shared" si="73"/>
        <v>23553.439999999999</v>
      </c>
    </row>
    <row r="119" spans="1:21" ht="82.8">
      <c r="A119" s="304"/>
      <c r="B119" s="305"/>
      <c r="C119" s="61" t="s">
        <v>105</v>
      </c>
      <c r="D119" s="64" t="s">
        <v>101</v>
      </c>
      <c r="E119" s="59">
        <v>5</v>
      </c>
      <c r="F119" s="59">
        <v>5</v>
      </c>
      <c r="G119" s="59">
        <v>5</v>
      </c>
      <c r="H119" s="59">
        <v>5</v>
      </c>
      <c r="I119" s="59">
        <v>5</v>
      </c>
      <c r="J119" s="75">
        <f>SUM(K119:M119)</f>
        <v>148143.44590363</v>
      </c>
      <c r="K119" s="75">
        <f>121412.92+1329.32+2453.93</f>
        <v>125196.17</v>
      </c>
      <c r="L119" s="193">
        <f>4001.99*2.411294+805.23</f>
        <v>10455.204475059998</v>
      </c>
      <c r="M119" s="349">
        <f>7790.73-12.94824017+4610.77+41.4078675+62.11180124</f>
        <v>12492.07142857</v>
      </c>
      <c r="N119" s="278">
        <f>SUM(O119:R119)</f>
        <v>740717.22951814998</v>
      </c>
      <c r="O119" s="278">
        <f>G119*K119</f>
        <v>625980.85</v>
      </c>
      <c r="P119" s="278">
        <f>G119*L119</f>
        <v>52276.022375299988</v>
      </c>
      <c r="Q119" s="278"/>
      <c r="R119" s="46">
        <f>G119*M119</f>
        <v>62460.35714285</v>
      </c>
      <c r="S119" s="46"/>
      <c r="T119" s="46">
        <f>N119+17394.7</f>
        <v>758111.92951814993</v>
      </c>
      <c r="U119" s="46">
        <f>T119</f>
        <v>758111.92951814993</v>
      </c>
    </row>
    <row r="120" spans="1:21">
      <c r="A120" s="304"/>
      <c r="B120" s="305"/>
      <c r="C120" s="66" t="s">
        <v>106</v>
      </c>
      <c r="D120" s="67"/>
      <c r="E120" s="59">
        <f>E110+E119</f>
        <v>211</v>
      </c>
      <c r="F120" s="59">
        <f t="shared" ref="F120:I120" si="74">F110+F119</f>
        <v>211</v>
      </c>
      <c r="G120" s="59">
        <f t="shared" si="74"/>
        <v>211</v>
      </c>
      <c r="H120" s="59">
        <f t="shared" si="74"/>
        <v>211</v>
      </c>
      <c r="I120" s="59">
        <f t="shared" si="74"/>
        <v>211</v>
      </c>
      <c r="J120" s="71" t="s">
        <v>104</v>
      </c>
      <c r="K120" s="71" t="s">
        <v>104</v>
      </c>
      <c r="L120" s="278" t="s">
        <v>104</v>
      </c>
      <c r="M120" s="278" t="s">
        <v>104</v>
      </c>
      <c r="N120" s="278">
        <f>SUM(N110:N119)</f>
        <v>13166794.975665927</v>
      </c>
      <c r="O120" s="278">
        <f>SUM(O110:O119)</f>
        <v>8324921.6700000018</v>
      </c>
      <c r="P120" s="278">
        <f>SUM(P110:P119)</f>
        <v>2206046.1442376599</v>
      </c>
      <c r="Q120" s="278"/>
      <c r="R120" s="278">
        <f t="shared" ref="R120" si="75">SUM(R110:R119)</f>
        <v>2635827.1614282695</v>
      </c>
      <c r="S120" s="278"/>
      <c r="T120" s="278">
        <f>SUM(T110:T119)</f>
        <v>13850851.305665929</v>
      </c>
      <c r="U120" s="278">
        <f>T120</f>
        <v>13850851.305665929</v>
      </c>
    </row>
    <row r="121" spans="1:21" ht="82.8">
      <c r="A121" s="304"/>
      <c r="B121" s="305" t="s">
        <v>238</v>
      </c>
      <c r="C121" s="61" t="s">
        <v>100</v>
      </c>
      <c r="D121" s="62" t="s">
        <v>101</v>
      </c>
      <c r="E121" s="59">
        <v>238</v>
      </c>
      <c r="F121" s="59">
        <v>238</v>
      </c>
      <c r="G121" s="59">
        <v>238</v>
      </c>
      <c r="H121" s="59">
        <v>238</v>
      </c>
      <c r="I121" s="59">
        <v>238</v>
      </c>
      <c r="J121" s="107">
        <f>SUM(K121:M121)</f>
        <v>61369.675903629999</v>
      </c>
      <c r="K121" s="107">
        <f>34346.05+1622.42+2453.93</f>
        <v>38422.400000000001</v>
      </c>
      <c r="L121" s="349">
        <f>4001.99*2.411294+805.23</f>
        <v>10455.204475059998</v>
      </c>
      <c r="M121" s="349">
        <f>7790.73-12.94824017+4610.77+41.4078675+62.11180124</f>
        <v>12492.07142857</v>
      </c>
      <c r="N121" s="278">
        <f>SUM(O121:R121)</f>
        <v>14605982.865063939</v>
      </c>
      <c r="O121" s="278">
        <f>G121*K121</f>
        <v>9144531.2000000011</v>
      </c>
      <c r="P121" s="278">
        <f>G121*L121</f>
        <v>2488338.6650642795</v>
      </c>
      <c r="Q121" s="278"/>
      <c r="R121" s="46">
        <f>G121*M121</f>
        <v>2973112.9999996601</v>
      </c>
      <c r="S121" s="46"/>
      <c r="T121" s="46">
        <f>N121+827987.71-231413</f>
        <v>15202557.57506394</v>
      </c>
      <c r="U121" s="46">
        <f>T121</f>
        <v>15202557.57506394</v>
      </c>
    </row>
    <row r="122" spans="1:21" ht="82.8">
      <c r="A122" s="304"/>
      <c r="B122" s="305"/>
      <c r="C122" s="63" t="s">
        <v>163</v>
      </c>
      <c r="D122" s="64" t="s">
        <v>101</v>
      </c>
      <c r="E122" s="59" t="s">
        <v>104</v>
      </c>
      <c r="F122" s="59" t="s">
        <v>104</v>
      </c>
      <c r="G122" s="59" t="s">
        <v>104</v>
      </c>
      <c r="H122" s="59" t="s">
        <v>104</v>
      </c>
      <c r="I122" s="59" t="s">
        <v>104</v>
      </c>
      <c r="J122" s="59" t="s">
        <v>104</v>
      </c>
      <c r="K122" s="59" t="s">
        <v>104</v>
      </c>
      <c r="L122" s="123" t="s">
        <v>104</v>
      </c>
      <c r="M122" s="123" t="s">
        <v>104</v>
      </c>
      <c r="N122" s="278"/>
      <c r="O122" s="278"/>
      <c r="P122" s="123" t="s">
        <v>104</v>
      </c>
      <c r="Q122" s="123"/>
      <c r="R122" s="123" t="s">
        <v>104</v>
      </c>
      <c r="S122" s="123"/>
      <c r="T122" s="46"/>
      <c r="U122" s="46"/>
    </row>
    <row r="123" spans="1:21">
      <c r="A123" s="304"/>
      <c r="B123" s="305"/>
      <c r="C123" s="63" t="s">
        <v>164</v>
      </c>
      <c r="D123" s="64" t="s">
        <v>101</v>
      </c>
      <c r="E123" s="60">
        <v>2</v>
      </c>
      <c r="F123" s="60">
        <v>2</v>
      </c>
      <c r="G123" s="60">
        <v>2</v>
      </c>
      <c r="H123" s="60">
        <v>2</v>
      </c>
      <c r="I123" s="60">
        <v>2</v>
      </c>
      <c r="J123" s="75">
        <f>K123</f>
        <v>25589.72</v>
      </c>
      <c r="K123" s="75">
        <v>25589.72</v>
      </c>
      <c r="L123" s="123" t="s">
        <v>104</v>
      </c>
      <c r="M123" s="123" t="s">
        <v>104</v>
      </c>
      <c r="N123" s="278">
        <f>O123</f>
        <v>51179.44</v>
      </c>
      <c r="O123" s="278">
        <f>G123*K123</f>
        <v>51179.44</v>
      </c>
      <c r="P123" s="123" t="s">
        <v>104</v>
      </c>
      <c r="Q123" s="123"/>
      <c r="R123" s="123" t="s">
        <v>104</v>
      </c>
      <c r="S123" s="123"/>
      <c r="T123" s="46">
        <f>H123*K123</f>
        <v>51179.44</v>
      </c>
      <c r="U123" s="46">
        <f t="shared" ref="U123:U127" si="76">I123*K123</f>
        <v>51179.44</v>
      </c>
    </row>
    <row r="124" spans="1:21">
      <c r="A124" s="304"/>
      <c r="B124" s="305"/>
      <c r="C124" s="63" t="s">
        <v>165</v>
      </c>
      <c r="D124" s="64" t="s">
        <v>101</v>
      </c>
      <c r="E124" s="60">
        <v>2</v>
      </c>
      <c r="F124" s="60">
        <v>2</v>
      </c>
      <c r="G124" s="60">
        <v>2</v>
      </c>
      <c r="H124" s="60">
        <v>2</v>
      </c>
      <c r="I124" s="60">
        <v>2</v>
      </c>
      <c r="J124" s="75">
        <f t="shared" ref="J124:J127" si="77">K124</f>
        <v>92468.25</v>
      </c>
      <c r="K124" s="75">
        <v>92468.25</v>
      </c>
      <c r="L124" s="123" t="s">
        <v>104</v>
      </c>
      <c r="M124" s="123" t="s">
        <v>104</v>
      </c>
      <c r="N124" s="278">
        <f t="shared" ref="N124:N127" si="78">O124</f>
        <v>184936.5</v>
      </c>
      <c r="O124" s="278">
        <f t="shared" ref="O124:O127" si="79">G124*K124</f>
        <v>184936.5</v>
      </c>
      <c r="P124" s="123" t="s">
        <v>104</v>
      </c>
      <c r="Q124" s="123"/>
      <c r="R124" s="123" t="s">
        <v>104</v>
      </c>
      <c r="S124" s="123"/>
      <c r="T124" s="46">
        <f t="shared" ref="T124:T127" si="80">H124*K124</f>
        <v>184936.5</v>
      </c>
      <c r="U124" s="46">
        <f t="shared" si="76"/>
        <v>184936.5</v>
      </c>
    </row>
    <row r="125" spans="1:21">
      <c r="A125" s="304"/>
      <c r="B125" s="305"/>
      <c r="C125" s="63" t="s">
        <v>167</v>
      </c>
      <c r="D125" s="64" t="s">
        <v>101</v>
      </c>
      <c r="E125" s="60">
        <v>2</v>
      </c>
      <c r="F125" s="60">
        <v>2</v>
      </c>
      <c r="G125" s="60">
        <v>2</v>
      </c>
      <c r="H125" s="60">
        <v>2</v>
      </c>
      <c r="I125" s="60">
        <v>2</v>
      </c>
      <c r="J125" s="75">
        <f t="shared" si="77"/>
        <v>266106.15000000002</v>
      </c>
      <c r="K125" s="75">
        <v>266106.15000000002</v>
      </c>
      <c r="L125" s="123"/>
      <c r="M125" s="123"/>
      <c r="N125" s="278">
        <f t="shared" si="78"/>
        <v>532212.30000000005</v>
      </c>
      <c r="O125" s="278">
        <f t="shared" si="79"/>
        <v>532212.30000000005</v>
      </c>
      <c r="P125" s="123" t="s">
        <v>104</v>
      </c>
      <c r="Q125" s="123"/>
      <c r="R125" s="123"/>
      <c r="S125" s="123"/>
      <c r="T125" s="46">
        <f t="shared" si="80"/>
        <v>532212.30000000005</v>
      </c>
      <c r="U125" s="46">
        <f t="shared" si="76"/>
        <v>532212.30000000005</v>
      </c>
    </row>
    <row r="126" spans="1:21">
      <c r="A126" s="304"/>
      <c r="B126" s="305"/>
      <c r="C126" s="63" t="s">
        <v>170</v>
      </c>
      <c r="D126" s="64" t="s">
        <v>101</v>
      </c>
      <c r="E126" s="60">
        <v>1</v>
      </c>
      <c r="F126" s="60">
        <v>1</v>
      </c>
      <c r="G126" s="60">
        <v>1</v>
      </c>
      <c r="H126" s="60">
        <v>1</v>
      </c>
      <c r="I126" s="60">
        <v>1</v>
      </c>
      <c r="J126" s="75">
        <f t="shared" si="77"/>
        <v>32769.75</v>
      </c>
      <c r="K126" s="75">
        <v>32769.75</v>
      </c>
      <c r="L126" s="123"/>
      <c r="M126" s="123"/>
      <c r="N126" s="278">
        <f t="shared" si="78"/>
        <v>32769.75</v>
      </c>
      <c r="O126" s="278">
        <f t="shared" si="79"/>
        <v>32769.75</v>
      </c>
      <c r="P126" s="123" t="s">
        <v>104</v>
      </c>
      <c r="Q126" s="123"/>
      <c r="R126" s="123"/>
      <c r="S126" s="123"/>
      <c r="T126" s="46">
        <f t="shared" si="80"/>
        <v>32769.75</v>
      </c>
      <c r="U126" s="46">
        <f t="shared" si="76"/>
        <v>32769.75</v>
      </c>
    </row>
    <row r="127" spans="1:21">
      <c r="A127" s="304"/>
      <c r="B127" s="305"/>
      <c r="C127" s="63" t="s">
        <v>168</v>
      </c>
      <c r="D127" s="64" t="s">
        <v>101</v>
      </c>
      <c r="E127" s="60">
        <v>1</v>
      </c>
      <c r="F127" s="60">
        <v>1</v>
      </c>
      <c r="G127" s="60">
        <v>1</v>
      </c>
      <c r="H127" s="60">
        <v>1</v>
      </c>
      <c r="I127" s="60">
        <v>1</v>
      </c>
      <c r="J127" s="75">
        <f t="shared" si="77"/>
        <v>23553.439999999999</v>
      </c>
      <c r="K127" s="75">
        <v>23553.439999999999</v>
      </c>
      <c r="L127" s="123" t="s">
        <v>104</v>
      </c>
      <c r="M127" s="123" t="s">
        <v>104</v>
      </c>
      <c r="N127" s="278">
        <f t="shared" si="78"/>
        <v>23553.439999999999</v>
      </c>
      <c r="O127" s="278">
        <f t="shared" si="79"/>
        <v>23553.439999999999</v>
      </c>
      <c r="P127" s="123" t="s">
        <v>104</v>
      </c>
      <c r="Q127" s="123"/>
      <c r="R127" s="123" t="s">
        <v>104</v>
      </c>
      <c r="S127" s="123"/>
      <c r="T127" s="46">
        <f t="shared" si="80"/>
        <v>23553.439999999999</v>
      </c>
      <c r="U127" s="46">
        <f t="shared" si="76"/>
        <v>23553.439999999999</v>
      </c>
    </row>
    <row r="128" spans="1:21" ht="82.8">
      <c r="A128" s="304"/>
      <c r="B128" s="305"/>
      <c r="C128" s="61" t="s">
        <v>105</v>
      </c>
      <c r="D128" s="64" t="s">
        <v>101</v>
      </c>
      <c r="E128" s="60">
        <v>1</v>
      </c>
      <c r="F128" s="60">
        <v>1</v>
      </c>
      <c r="G128" s="60">
        <v>1</v>
      </c>
      <c r="H128" s="60">
        <v>1</v>
      </c>
      <c r="I128" s="60">
        <v>1</v>
      </c>
      <c r="J128" s="75">
        <f>SUM(K128:M128)</f>
        <v>178431.25590362999</v>
      </c>
      <c r="K128" s="75">
        <f>151407.63+1622.42+2453.93</f>
        <v>155483.98000000001</v>
      </c>
      <c r="L128" s="193">
        <f>4001.99*2.411294+805.23</f>
        <v>10455.204475059998</v>
      </c>
      <c r="M128" s="349">
        <f>7790.73-12.94824017+4610.77+41.4078675+62.11180124</f>
        <v>12492.07142857</v>
      </c>
      <c r="N128" s="280">
        <f>SUM(O128:R128)</f>
        <v>178431.25590362999</v>
      </c>
      <c r="O128" s="280">
        <f>G128*K128</f>
        <v>155483.98000000001</v>
      </c>
      <c r="P128" s="280">
        <f>G128*L128</f>
        <v>10455.204475059998</v>
      </c>
      <c r="Q128" s="280"/>
      <c r="R128" s="46">
        <f>G128*M128</f>
        <v>12492.07142857</v>
      </c>
      <c r="S128" s="46"/>
      <c r="T128" s="46">
        <f>N128+3478.94</f>
        <v>181910.19590363</v>
      </c>
      <c r="U128" s="46">
        <f>T128</f>
        <v>181910.19590363</v>
      </c>
    </row>
    <row r="129" spans="1:24">
      <c r="A129" s="304"/>
      <c r="B129" s="187"/>
      <c r="C129" s="66" t="s">
        <v>106</v>
      </c>
      <c r="D129" s="64"/>
      <c r="E129" s="60">
        <f>E121+E128</f>
        <v>239</v>
      </c>
      <c r="F129" s="60">
        <f t="shared" ref="F129:I129" si="81">F121+F128</f>
        <v>239</v>
      </c>
      <c r="G129" s="60">
        <f t="shared" si="81"/>
        <v>239</v>
      </c>
      <c r="H129" s="60">
        <f t="shared" si="81"/>
        <v>239</v>
      </c>
      <c r="I129" s="60">
        <f t="shared" si="81"/>
        <v>239</v>
      </c>
      <c r="J129" s="73" t="s">
        <v>104</v>
      </c>
      <c r="K129" s="73" t="s">
        <v>104</v>
      </c>
      <c r="L129" s="280" t="s">
        <v>104</v>
      </c>
      <c r="M129" s="280" t="s">
        <v>104</v>
      </c>
      <c r="N129" s="194">
        <f>SUM(N121:N128)</f>
        <v>15609065.550967569</v>
      </c>
      <c r="O129" s="194">
        <f>SUM(O121:O128)</f>
        <v>10124666.610000001</v>
      </c>
      <c r="P129" s="194">
        <f>SUM(P121:P128)</f>
        <v>2498793.8695393396</v>
      </c>
      <c r="Q129" s="194"/>
      <c r="R129" s="194">
        <f t="shared" ref="R129:U129" si="82">SUM(R121:R128)</f>
        <v>2985605.07142823</v>
      </c>
      <c r="S129" s="194"/>
      <c r="T129" s="194">
        <f t="shared" si="82"/>
        <v>16209119.200967569</v>
      </c>
      <c r="U129" s="194">
        <f t="shared" si="82"/>
        <v>16209119.200967569</v>
      </c>
    </row>
    <row r="130" spans="1:24" ht="82.8">
      <c r="A130" s="304"/>
      <c r="B130" s="305" t="s">
        <v>239</v>
      </c>
      <c r="C130" s="61" t="s">
        <v>100</v>
      </c>
      <c r="D130" s="62" t="s">
        <v>101</v>
      </c>
      <c r="E130" s="60">
        <v>33</v>
      </c>
      <c r="F130" s="60">
        <v>33</v>
      </c>
      <c r="G130" s="60">
        <v>33</v>
      </c>
      <c r="H130" s="60">
        <v>33</v>
      </c>
      <c r="I130" s="60">
        <v>33</v>
      </c>
      <c r="J130" s="107">
        <f>SUM(K130:M130)</f>
        <v>68472.115903629994</v>
      </c>
      <c r="K130" s="107">
        <f>41105.12+1965.79+2453.93</f>
        <v>45524.840000000004</v>
      </c>
      <c r="L130" s="349">
        <f>4001.99*2.411294+805.23</f>
        <v>10455.204475059998</v>
      </c>
      <c r="M130" s="349">
        <f>7790.73-12.94824017+4610.77+41.4078675+62.11180124</f>
        <v>12492.07142857</v>
      </c>
      <c r="N130" s="280">
        <f>SUM(O130:R130)</f>
        <v>2259580.0648197904</v>
      </c>
      <c r="O130" s="280">
        <f>G130*K130</f>
        <v>1502319.7200000002</v>
      </c>
      <c r="P130" s="280">
        <f>G130*L130+0.24</f>
        <v>345021.98767697992</v>
      </c>
      <c r="Q130" s="280"/>
      <c r="R130" s="46">
        <f>G130*M130</f>
        <v>412238.35714281001</v>
      </c>
      <c r="S130" s="46"/>
      <c r="T130" s="46">
        <f>N130+114805.02</f>
        <v>2374385.0848197904</v>
      </c>
      <c r="U130" s="46">
        <f>T130</f>
        <v>2374385.0848197904</v>
      </c>
    </row>
    <row r="131" spans="1:24" ht="82.8">
      <c r="A131" s="304"/>
      <c r="B131" s="305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123" t="s">
        <v>104</v>
      </c>
      <c r="M131" s="123" t="s">
        <v>104</v>
      </c>
      <c r="N131" s="278"/>
      <c r="O131" s="278"/>
      <c r="P131" s="123" t="s">
        <v>104</v>
      </c>
      <c r="Q131" s="123"/>
      <c r="R131" s="123" t="s">
        <v>104</v>
      </c>
      <c r="S131" s="123"/>
      <c r="T131" s="46"/>
      <c r="U131" s="46"/>
    </row>
    <row r="132" spans="1:24">
      <c r="A132" s="304"/>
      <c r="B132" s="305"/>
      <c r="C132" s="63" t="s">
        <v>165</v>
      </c>
      <c r="D132" s="64" t="s">
        <v>101</v>
      </c>
      <c r="E132" s="60">
        <v>0</v>
      </c>
      <c r="F132" s="60"/>
      <c r="G132" s="59">
        <f t="shared" ref="G132:G133" si="83">((E132*8)+(F132*4))/12</f>
        <v>0</v>
      </c>
      <c r="H132" s="60">
        <v>0</v>
      </c>
      <c r="I132" s="60">
        <v>0</v>
      </c>
      <c r="J132" s="75">
        <f>K132</f>
        <v>92468.25</v>
      </c>
      <c r="K132" s="75">
        <v>92468.25</v>
      </c>
      <c r="L132" s="123" t="s">
        <v>104</v>
      </c>
      <c r="M132" s="123" t="s">
        <v>104</v>
      </c>
      <c r="N132" s="278">
        <f>O132</f>
        <v>0</v>
      </c>
      <c r="O132" s="278">
        <f>G132*K132</f>
        <v>0</v>
      </c>
      <c r="P132" s="123" t="s">
        <v>104</v>
      </c>
      <c r="Q132" s="123"/>
      <c r="R132" s="123" t="s">
        <v>104</v>
      </c>
      <c r="S132" s="123"/>
      <c r="T132" s="46">
        <f>H132*K132</f>
        <v>0</v>
      </c>
      <c r="U132" s="46">
        <f>I132*K132</f>
        <v>0</v>
      </c>
    </row>
    <row r="133" spans="1:24" ht="82.8">
      <c r="A133" s="304"/>
      <c r="B133" s="305"/>
      <c r="C133" s="61" t="s">
        <v>105</v>
      </c>
      <c r="D133" s="64" t="s">
        <v>101</v>
      </c>
      <c r="E133" s="60"/>
      <c r="F133" s="60">
        <v>0</v>
      </c>
      <c r="G133" s="157">
        <f t="shared" si="83"/>
        <v>0</v>
      </c>
      <c r="H133" s="60">
        <v>0</v>
      </c>
      <c r="I133" s="60">
        <v>0</v>
      </c>
      <c r="J133" s="75">
        <f>SUM(K133:M133)</f>
        <v>208769.34590362999</v>
      </c>
      <c r="K133" s="75">
        <f>181402.35+1965.79+2453.93</f>
        <v>185822.07</v>
      </c>
      <c r="L133" s="193">
        <f>4001.99*2.411294+805.23</f>
        <v>10455.204475059998</v>
      </c>
      <c r="M133" s="349">
        <f>7790.73-12.94824017+4610.77+41.4078675+62.11180124</f>
        <v>12492.07142857</v>
      </c>
      <c r="N133" s="280"/>
      <c r="O133" s="280">
        <f>K133*G133</f>
        <v>0</v>
      </c>
      <c r="P133" s="280">
        <f>L133*G133</f>
        <v>0</v>
      </c>
      <c r="Q133" s="280"/>
      <c r="R133" s="280"/>
      <c r="S133" s="280"/>
      <c r="T133" s="46">
        <f t="shared" si="19"/>
        <v>0</v>
      </c>
      <c r="U133" s="46">
        <f t="shared" si="20"/>
        <v>0</v>
      </c>
    </row>
    <row r="134" spans="1:24">
      <c r="A134" s="304"/>
      <c r="B134" s="187"/>
      <c r="C134" s="66" t="s">
        <v>106</v>
      </c>
      <c r="D134" s="64"/>
      <c r="E134" s="60">
        <f>E130+E133</f>
        <v>33</v>
      </c>
      <c r="F134" s="60">
        <f t="shared" ref="F134:I134" si="84">F130+F133</f>
        <v>33</v>
      </c>
      <c r="G134" s="60">
        <f t="shared" si="84"/>
        <v>33</v>
      </c>
      <c r="H134" s="60">
        <f t="shared" si="84"/>
        <v>33</v>
      </c>
      <c r="I134" s="60">
        <f t="shared" si="84"/>
        <v>33</v>
      </c>
      <c r="J134" s="73" t="s">
        <v>104</v>
      </c>
      <c r="K134" s="73" t="s">
        <v>104</v>
      </c>
      <c r="L134" s="280" t="s">
        <v>104</v>
      </c>
      <c r="M134" s="280" t="s">
        <v>104</v>
      </c>
      <c r="N134" s="194">
        <f>SUM(N130:N133)</f>
        <v>2259580.0648197904</v>
      </c>
      <c r="O134" s="194">
        <f>SUM(O130:O133)</f>
        <v>1502319.7200000002</v>
      </c>
      <c r="P134" s="194">
        <f>SUM(P130:P133)</f>
        <v>345021.98767697992</v>
      </c>
      <c r="Q134" s="194"/>
      <c r="R134" s="194">
        <f t="shared" ref="R134:U134" si="85">SUM(R130:R133)</f>
        <v>412238.35714281001</v>
      </c>
      <c r="S134" s="194"/>
      <c r="T134" s="194">
        <f t="shared" si="85"/>
        <v>2374385.0848197904</v>
      </c>
      <c r="U134" s="194">
        <f t="shared" si="85"/>
        <v>2374385.0848197904</v>
      </c>
    </row>
    <row r="135" spans="1:24" ht="102" customHeight="1">
      <c r="A135" s="304"/>
      <c r="B135" s="137" t="s">
        <v>240</v>
      </c>
      <c r="C135" s="61" t="s">
        <v>187</v>
      </c>
      <c r="D135" s="64" t="s">
        <v>101</v>
      </c>
      <c r="E135" s="60">
        <v>450</v>
      </c>
      <c r="F135" s="60">
        <v>450</v>
      </c>
      <c r="G135" s="60">
        <v>450</v>
      </c>
      <c r="H135" s="60">
        <v>450</v>
      </c>
      <c r="I135" s="60">
        <v>450</v>
      </c>
      <c r="J135" s="75">
        <f>K135</f>
        <v>3268.55</v>
      </c>
      <c r="K135" s="75">
        <v>3268.55</v>
      </c>
      <c r="L135" s="280" t="s">
        <v>104</v>
      </c>
      <c r="M135" s="280" t="s">
        <v>104</v>
      </c>
      <c r="N135" s="280">
        <f>SUM(O135:R135)</f>
        <v>1522304</v>
      </c>
      <c r="O135" s="280">
        <f>G135*K135-0.5+51457</f>
        <v>1522304</v>
      </c>
      <c r="P135" s="280" t="s">
        <v>104</v>
      </c>
      <c r="Q135" s="280"/>
      <c r="R135" s="280" t="s">
        <v>104</v>
      </c>
      <c r="S135" s="280"/>
      <c r="T135" s="46">
        <f>N135</f>
        <v>1522304</v>
      </c>
      <c r="U135" s="46">
        <f t="shared" ref="U135:U142" si="86">T135</f>
        <v>1522304</v>
      </c>
    </row>
    <row r="136" spans="1:24">
      <c r="A136" s="304"/>
      <c r="B136" s="69"/>
      <c r="C136" s="66" t="s">
        <v>106</v>
      </c>
      <c r="D136" s="69"/>
      <c r="E136" s="60">
        <f>SUM(E135:E135)</f>
        <v>450</v>
      </c>
      <c r="F136" s="60">
        <f>SUM(F135:F135)</f>
        <v>450</v>
      </c>
      <c r="G136" s="60">
        <f>SUM(G135:G135)</f>
        <v>450</v>
      </c>
      <c r="H136" s="60">
        <f>SUM(H135:H135)</f>
        <v>450</v>
      </c>
      <c r="I136" s="60">
        <f>SUM(I135:I135)</f>
        <v>450</v>
      </c>
      <c r="J136" s="73" t="s">
        <v>104</v>
      </c>
      <c r="K136" s="73" t="s">
        <v>104</v>
      </c>
      <c r="L136" s="280" t="s">
        <v>104</v>
      </c>
      <c r="M136" s="194">
        <f t="shared" ref="M136:R136" si="87">SUM(M135:M135)</f>
        <v>0</v>
      </c>
      <c r="N136" s="194">
        <f>SUM(N135:N135)</f>
        <v>1522304</v>
      </c>
      <c r="O136" s="194">
        <f t="shared" si="87"/>
        <v>1522304</v>
      </c>
      <c r="P136" s="194">
        <f t="shared" si="87"/>
        <v>0</v>
      </c>
      <c r="Q136" s="194"/>
      <c r="R136" s="194">
        <f t="shared" si="87"/>
        <v>0</v>
      </c>
      <c r="S136" s="194"/>
      <c r="T136" s="46">
        <f>N136</f>
        <v>1522304</v>
      </c>
      <c r="U136" s="46">
        <f t="shared" si="86"/>
        <v>1522304</v>
      </c>
      <c r="V136" s="85">
        <v>33956659.590000004</v>
      </c>
      <c r="W136" s="85">
        <f>V136-T144</f>
        <v>-1.4532804489135742E-3</v>
      </c>
    </row>
    <row r="137" spans="1:24" hidden="1">
      <c r="A137" s="304"/>
      <c r="B137" s="69" t="s">
        <v>292</v>
      </c>
      <c r="C137" s="183" t="s">
        <v>226</v>
      </c>
      <c r="D137" s="69"/>
      <c r="E137" s="60"/>
      <c r="F137" s="60"/>
      <c r="G137" s="60"/>
      <c r="H137" s="60"/>
      <c r="I137" s="60"/>
      <c r="J137" s="73"/>
      <c r="K137" s="73"/>
      <c r="L137" s="280"/>
      <c r="M137" s="194"/>
      <c r="N137" s="194">
        <f>P137</f>
        <v>0</v>
      </c>
      <c r="O137" s="194"/>
      <c r="P137" s="194"/>
      <c r="Q137" s="194"/>
      <c r="R137" s="194"/>
      <c r="S137" s="194"/>
      <c r="T137" s="46">
        <f>P137</f>
        <v>0</v>
      </c>
      <c r="U137" s="46">
        <f t="shared" si="86"/>
        <v>0</v>
      </c>
      <c r="V137" s="85">
        <f>N120+N129+N134+N136+N137</f>
        <v>32557744.591453284</v>
      </c>
    </row>
    <row r="138" spans="1:24" hidden="1">
      <c r="A138" s="304"/>
      <c r="B138" s="89" t="s">
        <v>225</v>
      </c>
      <c r="C138" s="183" t="s">
        <v>219</v>
      </c>
      <c r="D138" s="64" t="s">
        <v>101</v>
      </c>
      <c r="E138" s="60"/>
      <c r="F138" s="60"/>
      <c r="G138" s="60">
        <v>14</v>
      </c>
      <c r="H138" s="60">
        <v>14</v>
      </c>
      <c r="I138" s="60">
        <v>14</v>
      </c>
      <c r="J138" s="73"/>
      <c r="K138" s="73"/>
      <c r="L138" s="280"/>
      <c r="M138" s="194"/>
      <c r="N138" s="194">
        <f>S138</f>
        <v>0</v>
      </c>
      <c r="O138" s="194"/>
      <c r="P138" s="194"/>
      <c r="Q138" s="194"/>
      <c r="R138" s="194"/>
      <c r="S138" s="194"/>
      <c r="T138" s="46"/>
      <c r="U138" s="46">
        <f t="shared" si="86"/>
        <v>0</v>
      </c>
    </row>
    <row r="139" spans="1:24" hidden="1">
      <c r="A139" s="304"/>
      <c r="B139" s="89" t="s">
        <v>225</v>
      </c>
      <c r="C139" s="183" t="s">
        <v>226</v>
      </c>
      <c r="D139" s="64" t="s">
        <v>101</v>
      </c>
      <c r="E139" s="60"/>
      <c r="F139" s="60"/>
      <c r="G139" s="60"/>
      <c r="H139" s="60"/>
      <c r="I139" s="60"/>
      <c r="J139" s="73"/>
      <c r="K139" s="73"/>
      <c r="L139" s="280"/>
      <c r="M139" s="194"/>
      <c r="N139" s="194">
        <f t="shared" ref="N139:N140" si="88">S139</f>
        <v>0</v>
      </c>
      <c r="O139" s="194"/>
      <c r="P139" s="194"/>
      <c r="Q139" s="194"/>
      <c r="R139" s="194"/>
      <c r="S139" s="194"/>
      <c r="T139" s="46">
        <f>Q139</f>
        <v>0</v>
      </c>
      <c r="U139" s="46">
        <f t="shared" si="86"/>
        <v>0</v>
      </c>
    </row>
    <row r="140" spans="1:24" hidden="1">
      <c r="A140" s="304"/>
      <c r="B140" s="89" t="s">
        <v>291</v>
      </c>
      <c r="C140" s="183" t="s">
        <v>219</v>
      </c>
      <c r="D140" s="64" t="s">
        <v>101</v>
      </c>
      <c r="E140" s="60"/>
      <c r="F140" s="60"/>
      <c r="G140" s="60">
        <v>14</v>
      </c>
      <c r="H140" s="60">
        <v>14</v>
      </c>
      <c r="I140" s="60">
        <v>14</v>
      </c>
      <c r="J140" s="73"/>
      <c r="K140" s="73"/>
      <c r="L140" s="280"/>
      <c r="M140" s="194"/>
      <c r="N140" s="194">
        <f t="shared" si="88"/>
        <v>0</v>
      </c>
      <c r="O140" s="194"/>
      <c r="P140" s="194"/>
      <c r="Q140" s="194"/>
      <c r="R140" s="194"/>
      <c r="S140" s="194"/>
      <c r="T140" s="46"/>
      <c r="U140" s="46"/>
    </row>
    <row r="141" spans="1:24" hidden="1">
      <c r="A141" s="304"/>
      <c r="B141" s="89" t="s">
        <v>307</v>
      </c>
      <c r="C141" s="183" t="s">
        <v>226</v>
      </c>
      <c r="D141" s="64"/>
      <c r="E141" s="60"/>
      <c r="F141" s="60"/>
      <c r="G141" s="60">
        <v>20</v>
      </c>
      <c r="H141" s="60">
        <v>20</v>
      </c>
      <c r="I141" s="60">
        <v>20</v>
      </c>
      <c r="J141" s="73"/>
      <c r="K141" s="73"/>
      <c r="L141" s="280"/>
      <c r="M141" s="194"/>
      <c r="N141" s="194">
        <f>O141</f>
        <v>0</v>
      </c>
      <c r="O141" s="194"/>
      <c r="P141" s="194"/>
      <c r="Q141" s="194"/>
      <c r="R141" s="194"/>
      <c r="S141" s="194"/>
      <c r="T141" s="46"/>
      <c r="U141" s="46">
        <f>T141</f>
        <v>0</v>
      </c>
    </row>
    <row r="142" spans="1:24" hidden="1">
      <c r="A142" s="304"/>
      <c r="B142" s="89" t="s">
        <v>259</v>
      </c>
      <c r="C142" s="183" t="s">
        <v>226</v>
      </c>
      <c r="D142" s="64"/>
      <c r="E142" s="60"/>
      <c r="F142" s="60"/>
      <c r="G142" s="60"/>
      <c r="H142" s="60"/>
      <c r="I142" s="60"/>
      <c r="J142" s="73"/>
      <c r="K142" s="73"/>
      <c r="L142" s="280"/>
      <c r="M142" s="194"/>
      <c r="N142" s="194">
        <f>O142</f>
        <v>0</v>
      </c>
      <c r="O142" s="194"/>
      <c r="P142" s="194"/>
      <c r="Q142" s="194"/>
      <c r="R142" s="194"/>
      <c r="S142" s="194"/>
      <c r="T142" s="46">
        <f>O142</f>
        <v>0</v>
      </c>
      <c r="U142" s="46">
        <f t="shared" si="86"/>
        <v>0</v>
      </c>
    </row>
    <row r="143" spans="1:24" hidden="1">
      <c r="A143" s="304"/>
      <c r="B143" s="89" t="s">
        <v>308</v>
      </c>
      <c r="C143" s="183" t="s">
        <v>226</v>
      </c>
      <c r="D143" s="64"/>
      <c r="E143" s="60"/>
      <c r="F143" s="60"/>
      <c r="G143" s="60"/>
      <c r="H143" s="60"/>
      <c r="I143" s="60"/>
      <c r="J143" s="73"/>
      <c r="K143" s="73"/>
      <c r="L143" s="280"/>
      <c r="M143" s="194"/>
      <c r="N143" s="194">
        <f>P143</f>
        <v>0</v>
      </c>
      <c r="O143" s="194"/>
      <c r="P143" s="194"/>
      <c r="Q143" s="194"/>
      <c r="R143" s="194"/>
      <c r="S143" s="194"/>
      <c r="T143" s="46"/>
      <c r="U143" s="46">
        <f>T143</f>
        <v>0</v>
      </c>
    </row>
    <row r="144" spans="1:24">
      <c r="A144" s="304"/>
      <c r="B144" s="101" t="s">
        <v>112</v>
      </c>
      <c r="C144" s="101"/>
      <c r="D144" s="69"/>
      <c r="E144" s="102">
        <f t="shared" ref="E144:F144" si="89">E120+E129+E134</f>
        <v>483</v>
      </c>
      <c r="F144" s="102">
        <f t="shared" si="89"/>
        <v>483</v>
      </c>
      <c r="G144" s="102">
        <f>G120+G129+G134</f>
        <v>483</v>
      </c>
      <c r="H144" s="102">
        <f t="shared" ref="H144:I144" si="90">H120+H129+H134</f>
        <v>483</v>
      </c>
      <c r="I144" s="102">
        <f t="shared" si="90"/>
        <v>483</v>
      </c>
      <c r="J144" s="104"/>
      <c r="K144" s="104"/>
      <c r="L144" s="138"/>
      <c r="M144" s="138"/>
      <c r="N144" s="138">
        <f>SUM(O144:S144)</f>
        <v>32557744.591453291</v>
      </c>
      <c r="O144" s="223">
        <f>O120+O129+O134+O136+O141+O142</f>
        <v>21474212</v>
      </c>
      <c r="P144" s="138">
        <f>P120+P129+P134+P136+P137+P138+P139+P143</f>
        <v>5049862.0014539789</v>
      </c>
      <c r="Q144" s="138">
        <f t="shared" ref="Q144" si="91">Q120+Q129+Q134+Q136+Q137+Q138+Q139</f>
        <v>0</v>
      </c>
      <c r="R144" s="138">
        <f>R120+R129+R134+R136+R137+R138+R139+R140</f>
        <v>6033670.5899993088</v>
      </c>
      <c r="S144" s="138">
        <f>S120+S129+S134+S136+S137+S138+S139+S140</f>
        <v>0</v>
      </c>
      <c r="T144" s="138">
        <f>T120+T129+T134+T136+T137+T138+T139+T140+T141+T142+T143</f>
        <v>33956659.591453284</v>
      </c>
      <c r="U144" s="138">
        <f>U120+U129+U134+U136+U137+U138+U139+U140+U141+U142+U143</f>
        <v>33956659.591453284</v>
      </c>
      <c r="V144" s="80">
        <v>6033670.5899999999</v>
      </c>
      <c r="W144" s="85">
        <f>V144-R144</f>
        <v>6.9104135036468506E-7</v>
      </c>
      <c r="X144" s="80">
        <f>W144/I144</f>
        <v>1.4307274334672568E-9</v>
      </c>
    </row>
    <row r="145" spans="1:26" ht="82.8">
      <c r="A145" s="304" t="s">
        <v>116</v>
      </c>
      <c r="B145" s="306" t="s">
        <v>237</v>
      </c>
      <c r="C145" s="61" t="s">
        <v>100</v>
      </c>
      <c r="D145" s="62" t="s">
        <v>101</v>
      </c>
      <c r="E145" s="59">
        <v>316</v>
      </c>
      <c r="F145" s="59">
        <v>316</v>
      </c>
      <c r="G145" s="59">
        <v>316</v>
      </c>
      <c r="H145" s="59">
        <v>316</v>
      </c>
      <c r="I145" s="59">
        <v>316</v>
      </c>
      <c r="J145" s="107">
        <f>SUM(K145:M145)</f>
        <v>42443.591141359997</v>
      </c>
      <c r="K145" s="107">
        <f>20483.63+1329.32+2182.03</f>
        <v>23994.98</v>
      </c>
      <c r="L145" s="349">
        <f>4001.99*2.411294+803.35</f>
        <v>10453.324475059999</v>
      </c>
      <c r="M145" s="349">
        <f>7790.73-13.0169697+221.21-3.636364</f>
        <v>7995.2866662999995</v>
      </c>
      <c r="N145" s="278">
        <f>SUM(O145:R145)</f>
        <v>13412184.150669759</v>
      </c>
      <c r="O145" s="278">
        <f>G145*K145+7.99</f>
        <v>7582421.6699999999</v>
      </c>
      <c r="P145" s="278">
        <f>G145*L145+0.31</f>
        <v>3303250.8441189597</v>
      </c>
      <c r="Q145" s="278"/>
      <c r="R145" s="46">
        <f>G145*M145+1.05</f>
        <v>2526511.6365507995</v>
      </c>
      <c r="S145" s="46"/>
      <c r="T145" s="46">
        <f>N145+1129246.11</f>
        <v>14541430.260669759</v>
      </c>
      <c r="U145" s="46">
        <f>T145</f>
        <v>14541430.260669759</v>
      </c>
    </row>
    <row r="146" spans="1:26" ht="82.8">
      <c r="A146" s="304"/>
      <c r="B146" s="307"/>
      <c r="C146" s="63" t="s">
        <v>163</v>
      </c>
      <c r="D146" s="64" t="s">
        <v>101</v>
      </c>
      <c r="E146" s="59" t="s">
        <v>104</v>
      </c>
      <c r="F146" s="59" t="s">
        <v>104</v>
      </c>
      <c r="G146" s="59" t="s">
        <v>104</v>
      </c>
      <c r="H146" s="59" t="s">
        <v>104</v>
      </c>
      <c r="I146" s="59" t="s">
        <v>104</v>
      </c>
      <c r="J146" s="59" t="s">
        <v>104</v>
      </c>
      <c r="K146" s="59" t="s">
        <v>104</v>
      </c>
      <c r="L146" s="123" t="s">
        <v>104</v>
      </c>
      <c r="M146" s="123" t="s">
        <v>104</v>
      </c>
      <c r="N146" s="278"/>
      <c r="O146" s="278"/>
      <c r="P146" s="123" t="s">
        <v>104</v>
      </c>
      <c r="Q146" s="123"/>
      <c r="R146" s="123" t="s">
        <v>104</v>
      </c>
      <c r="S146" s="123"/>
      <c r="T146" s="46"/>
      <c r="U146" s="46"/>
    </row>
    <row r="147" spans="1:26">
      <c r="A147" s="304"/>
      <c r="B147" s="307"/>
      <c r="C147" s="63" t="s">
        <v>171</v>
      </c>
      <c r="D147" s="64" t="s">
        <v>101</v>
      </c>
      <c r="E147" s="59">
        <v>1</v>
      </c>
      <c r="F147" s="59">
        <v>1</v>
      </c>
      <c r="G147" s="59">
        <v>1</v>
      </c>
      <c r="H147" s="59">
        <v>1</v>
      </c>
      <c r="I147" s="59">
        <v>1</v>
      </c>
      <c r="J147" s="75">
        <f t="shared" ref="J147:J152" si="92">K147</f>
        <v>69362.66</v>
      </c>
      <c r="K147" s="71">
        <v>69362.66</v>
      </c>
      <c r="L147" s="123"/>
      <c r="M147" s="123"/>
      <c r="N147" s="278">
        <f t="shared" ref="N147:N148" si="93">O147</f>
        <v>69362.66</v>
      </c>
      <c r="O147" s="278">
        <f>G147*K147</f>
        <v>69362.66</v>
      </c>
      <c r="P147" s="123" t="s">
        <v>104</v>
      </c>
      <c r="Q147" s="123"/>
      <c r="R147" s="123"/>
      <c r="S147" s="123"/>
      <c r="T147" s="46">
        <f t="shared" ref="T147:T152" si="94">H147*K147</f>
        <v>69362.66</v>
      </c>
      <c r="U147" s="46">
        <f t="shared" ref="U147:U148" si="95">I147*K147</f>
        <v>69362.66</v>
      </c>
    </row>
    <row r="148" spans="1:26">
      <c r="A148" s="304"/>
      <c r="B148" s="307"/>
      <c r="C148" s="63" t="s">
        <v>169</v>
      </c>
      <c r="D148" s="64" t="s">
        <v>101</v>
      </c>
      <c r="E148" s="59">
        <v>3</v>
      </c>
      <c r="F148" s="59">
        <v>3</v>
      </c>
      <c r="G148" s="59">
        <v>3</v>
      </c>
      <c r="H148" s="59">
        <v>3</v>
      </c>
      <c r="I148" s="59">
        <v>3</v>
      </c>
      <c r="J148" s="75">
        <f t="shared" si="92"/>
        <v>69362.66</v>
      </c>
      <c r="K148" s="71">
        <v>69362.66</v>
      </c>
      <c r="L148" s="123" t="s">
        <v>104</v>
      </c>
      <c r="M148" s="123" t="s">
        <v>104</v>
      </c>
      <c r="N148" s="278">
        <f t="shared" si="93"/>
        <v>208087.98</v>
      </c>
      <c r="O148" s="278">
        <f t="shared" ref="O148:O152" si="96">G148*K148</f>
        <v>208087.98</v>
      </c>
      <c r="P148" s="123" t="s">
        <v>104</v>
      </c>
      <c r="Q148" s="123"/>
      <c r="R148" s="123" t="s">
        <v>104</v>
      </c>
      <c r="S148" s="123"/>
      <c r="T148" s="46">
        <f t="shared" si="94"/>
        <v>208087.98</v>
      </c>
      <c r="U148" s="46">
        <f t="shared" si="95"/>
        <v>208087.98</v>
      </c>
    </row>
    <row r="149" spans="1:26">
      <c r="A149" s="304"/>
      <c r="B149" s="307"/>
      <c r="C149" s="63" t="s">
        <v>166</v>
      </c>
      <c r="D149" s="64" t="s">
        <v>101</v>
      </c>
      <c r="E149" s="59">
        <v>2</v>
      </c>
      <c r="F149" s="59">
        <v>2</v>
      </c>
      <c r="G149" s="59">
        <v>2</v>
      </c>
      <c r="H149" s="59">
        <v>2</v>
      </c>
      <c r="I149" s="59">
        <v>2</v>
      </c>
      <c r="J149" s="75">
        <f t="shared" si="92"/>
        <v>66361.320000000007</v>
      </c>
      <c r="K149" s="75">
        <v>66361.320000000007</v>
      </c>
      <c r="L149" s="123" t="s">
        <v>104</v>
      </c>
      <c r="M149" s="123" t="s">
        <v>104</v>
      </c>
      <c r="N149" s="278">
        <f>O149</f>
        <v>132722.64000000001</v>
      </c>
      <c r="O149" s="278">
        <f t="shared" si="96"/>
        <v>132722.64000000001</v>
      </c>
      <c r="P149" s="123" t="s">
        <v>104</v>
      </c>
      <c r="Q149" s="123"/>
      <c r="R149" s="123" t="s">
        <v>104</v>
      </c>
      <c r="S149" s="123"/>
      <c r="T149" s="46">
        <f t="shared" si="94"/>
        <v>132722.64000000001</v>
      </c>
      <c r="U149" s="46">
        <f>I149*K149</f>
        <v>132722.64000000001</v>
      </c>
    </row>
    <row r="150" spans="1:26">
      <c r="A150" s="304"/>
      <c r="B150" s="307"/>
      <c r="C150" s="63" t="s">
        <v>190</v>
      </c>
      <c r="D150" s="64" t="s">
        <v>101</v>
      </c>
      <c r="E150" s="59">
        <v>1</v>
      </c>
      <c r="F150" s="59">
        <v>1</v>
      </c>
      <c r="G150" s="59">
        <v>1</v>
      </c>
      <c r="H150" s="59">
        <v>1</v>
      </c>
      <c r="I150" s="59">
        <v>1</v>
      </c>
      <c r="J150" s="75">
        <f t="shared" si="92"/>
        <v>178794.98</v>
      </c>
      <c r="K150" s="75">
        <v>178794.98</v>
      </c>
      <c r="L150" s="123" t="s">
        <v>104</v>
      </c>
      <c r="M150" s="123" t="s">
        <v>104</v>
      </c>
      <c r="N150" s="278">
        <f>O150</f>
        <v>178794.98</v>
      </c>
      <c r="O150" s="278">
        <f t="shared" si="96"/>
        <v>178794.98</v>
      </c>
      <c r="P150" s="123" t="s">
        <v>104</v>
      </c>
      <c r="Q150" s="123"/>
      <c r="R150" s="123" t="s">
        <v>104</v>
      </c>
      <c r="S150" s="123"/>
      <c r="T150" s="46">
        <f t="shared" si="94"/>
        <v>178794.98</v>
      </c>
      <c r="U150" s="46">
        <f>I150*K150</f>
        <v>178794.98</v>
      </c>
    </row>
    <row r="151" spans="1:26">
      <c r="A151" s="304"/>
      <c r="B151" s="307"/>
      <c r="C151" s="63" t="s">
        <v>170</v>
      </c>
      <c r="D151" s="64" t="s">
        <v>101</v>
      </c>
      <c r="E151" s="59"/>
      <c r="F151" s="59"/>
      <c r="G151" s="59"/>
      <c r="H151" s="59"/>
      <c r="I151" s="59"/>
      <c r="J151" s="75">
        <f t="shared" si="92"/>
        <v>99648.29</v>
      </c>
      <c r="K151" s="75">
        <v>99648.29</v>
      </c>
      <c r="L151" s="123" t="s">
        <v>104</v>
      </c>
      <c r="M151" s="123" t="s">
        <v>104</v>
      </c>
      <c r="N151" s="278">
        <f>O151</f>
        <v>0</v>
      </c>
      <c r="O151" s="278">
        <f t="shared" si="96"/>
        <v>0</v>
      </c>
      <c r="P151" s="123" t="s">
        <v>104</v>
      </c>
      <c r="Q151" s="123"/>
      <c r="R151" s="123" t="s">
        <v>104</v>
      </c>
      <c r="S151" s="123"/>
      <c r="T151" s="46">
        <f t="shared" si="94"/>
        <v>0</v>
      </c>
      <c r="U151" s="46">
        <f>I151*K151</f>
        <v>0</v>
      </c>
    </row>
    <row r="152" spans="1:26">
      <c r="A152" s="304"/>
      <c r="B152" s="307"/>
      <c r="C152" s="63" t="s">
        <v>168</v>
      </c>
      <c r="D152" s="64" t="s">
        <v>101</v>
      </c>
      <c r="E152" s="59"/>
      <c r="F152" s="59"/>
      <c r="G152" s="59"/>
      <c r="H152" s="59"/>
      <c r="I152" s="59"/>
      <c r="J152" s="75">
        <f t="shared" si="92"/>
        <v>23553.439999999999</v>
      </c>
      <c r="K152" s="75">
        <v>23553.439999999999</v>
      </c>
      <c r="L152" s="123" t="s">
        <v>104</v>
      </c>
      <c r="M152" s="123" t="s">
        <v>104</v>
      </c>
      <c r="N152" s="278">
        <f>O152</f>
        <v>0</v>
      </c>
      <c r="O152" s="278">
        <f t="shared" si="96"/>
        <v>0</v>
      </c>
      <c r="P152" s="123" t="s">
        <v>104</v>
      </c>
      <c r="Q152" s="123"/>
      <c r="R152" s="123" t="s">
        <v>104</v>
      </c>
      <c r="S152" s="123"/>
      <c r="T152" s="46">
        <f t="shared" si="94"/>
        <v>0</v>
      </c>
      <c r="U152" s="46">
        <f>I152*K152</f>
        <v>0</v>
      </c>
    </row>
    <row r="153" spans="1:26" ht="82.8">
      <c r="A153" s="304"/>
      <c r="B153" s="307"/>
      <c r="C153" s="61" t="s">
        <v>105</v>
      </c>
      <c r="D153" s="64" t="s">
        <v>101</v>
      </c>
      <c r="E153" s="59">
        <v>2</v>
      </c>
      <c r="F153" s="59">
        <v>2</v>
      </c>
      <c r="G153" s="59">
        <v>2</v>
      </c>
      <c r="H153" s="59">
        <v>2</v>
      </c>
      <c r="I153" s="59">
        <v>2</v>
      </c>
      <c r="J153" s="75">
        <f>SUM(K153:M153)</f>
        <v>143372.88114136001</v>
      </c>
      <c r="K153" s="75">
        <f>121412.92+1329.32+2182.03</f>
        <v>124924.27</v>
      </c>
      <c r="L153" s="193">
        <f>4001.99*2.411294+803.35</f>
        <v>10453.324475059999</v>
      </c>
      <c r="M153" s="349">
        <f>7790.73-13.0169697+221.21-3.636364</f>
        <v>7995.2866662999995</v>
      </c>
      <c r="N153" s="278">
        <f>SUM(O153:R153)</f>
        <v>286745.76228272001</v>
      </c>
      <c r="O153" s="278">
        <f>G153*K153</f>
        <v>249848.54</v>
      </c>
      <c r="P153" s="278">
        <f>G153*L153</f>
        <v>20906.648950119998</v>
      </c>
      <c r="Q153" s="278"/>
      <c r="R153" s="46">
        <f>G153*M153</f>
        <v>15990.573332599999</v>
      </c>
      <c r="S153" s="46"/>
      <c r="T153" s="46">
        <f>N153+7147.13</f>
        <v>293892.89228272001</v>
      </c>
      <c r="U153" s="46">
        <f>T153</f>
        <v>293892.89228272001</v>
      </c>
    </row>
    <row r="154" spans="1:26" ht="82.8">
      <c r="A154" s="304"/>
      <c r="B154" s="307"/>
      <c r="C154" s="61" t="s">
        <v>117</v>
      </c>
      <c r="D154" s="64" t="s">
        <v>101</v>
      </c>
      <c r="E154" s="59">
        <v>0</v>
      </c>
      <c r="F154" s="59">
        <v>0</v>
      </c>
      <c r="G154" s="157">
        <f t="shared" ref="G154:G169" si="97">((E154*8)+(F154*4))/12</f>
        <v>0</v>
      </c>
      <c r="H154" s="59">
        <v>0</v>
      </c>
      <c r="I154" s="59">
        <v>0</v>
      </c>
      <c r="J154" s="75">
        <f>K154</f>
        <v>21480.1</v>
      </c>
      <c r="K154" s="75">
        <v>21480.1</v>
      </c>
      <c r="L154" s="193" t="s">
        <v>104</v>
      </c>
      <c r="M154" s="193" t="s">
        <v>104</v>
      </c>
      <c r="N154" s="278">
        <f>SUM(O154:R154)</f>
        <v>0</v>
      </c>
      <c r="O154" s="278">
        <f>G154*K154</f>
        <v>0</v>
      </c>
      <c r="P154" s="278"/>
      <c r="Q154" s="278"/>
      <c r="R154" s="278"/>
      <c r="S154" s="278"/>
      <c r="T154" s="46">
        <f t="shared" ref="T154:T169" si="98">H154*J154</f>
        <v>0</v>
      </c>
      <c r="U154" s="46">
        <f t="shared" ref="U154:U169" si="99">I154*J154</f>
        <v>0</v>
      </c>
    </row>
    <row r="155" spans="1:26">
      <c r="A155" s="304"/>
      <c r="B155" s="308"/>
      <c r="C155" s="66" t="s">
        <v>106</v>
      </c>
      <c r="D155" s="67"/>
      <c r="E155" s="59">
        <f>E145+E153</f>
        <v>318</v>
      </c>
      <c r="F155" s="59">
        <f>F145+F153</f>
        <v>318</v>
      </c>
      <c r="G155" s="59">
        <f>G145+G153</f>
        <v>318</v>
      </c>
      <c r="H155" s="59">
        <f>H145+H153</f>
        <v>318</v>
      </c>
      <c r="I155" s="59">
        <f>I145+I153</f>
        <v>318</v>
      </c>
      <c r="J155" s="71" t="s">
        <v>104</v>
      </c>
      <c r="K155" s="71" t="s">
        <v>104</v>
      </c>
      <c r="L155" s="278" t="s">
        <v>104</v>
      </c>
      <c r="M155" s="278" t="s">
        <v>104</v>
      </c>
      <c r="N155" s="278">
        <f>SUM(N145:N154)</f>
        <v>14287898.172952481</v>
      </c>
      <c r="O155" s="278">
        <f>SUM(O145:O154)</f>
        <v>8421238.4700000007</v>
      </c>
      <c r="P155" s="278">
        <f>SUM(P145:P154)</f>
        <v>3324157.4930690797</v>
      </c>
      <c r="Q155" s="278"/>
      <c r="R155" s="278">
        <f>SUM(R145:R154)</f>
        <v>2542502.2098833993</v>
      </c>
      <c r="S155" s="278"/>
      <c r="T155" s="278">
        <f>SUM(T145:T154)</f>
        <v>15424291.412952481</v>
      </c>
      <c r="U155" s="278">
        <f>SUM(U145:U154)</f>
        <v>15424291.412952481</v>
      </c>
      <c r="Z155" s="85"/>
    </row>
    <row r="156" spans="1:26" ht="82.8">
      <c r="A156" s="304"/>
      <c r="B156" s="306" t="s">
        <v>238</v>
      </c>
      <c r="C156" s="61" t="s">
        <v>100</v>
      </c>
      <c r="D156" s="62" t="s">
        <v>101</v>
      </c>
      <c r="E156" s="59">
        <v>196</v>
      </c>
      <c r="F156" s="59">
        <v>196</v>
      </c>
      <c r="G156" s="59">
        <v>196</v>
      </c>
      <c r="H156" s="59">
        <v>196</v>
      </c>
      <c r="I156" s="59">
        <v>196</v>
      </c>
      <c r="J156" s="107">
        <f>SUM(K156:M156)</f>
        <v>56599.111141360001</v>
      </c>
      <c r="K156" s="107">
        <f>34346.05+1622.42+2182.03</f>
        <v>38150.5</v>
      </c>
      <c r="L156" s="349">
        <f>4001.99*2.411294+803.35</f>
        <v>10453.324475059999</v>
      </c>
      <c r="M156" s="349">
        <f>7790.73-13.0169697+221.21-3.636364</f>
        <v>7995.2866662999995</v>
      </c>
      <c r="N156" s="278">
        <f>SUM(O156:R156)</f>
        <v>11093425.783706559</v>
      </c>
      <c r="O156" s="278">
        <f>G156*K156</f>
        <v>7477498</v>
      </c>
      <c r="P156" s="278">
        <f>G156*L156</f>
        <v>2048851.5971117597</v>
      </c>
      <c r="Q156" s="278"/>
      <c r="R156" s="46">
        <f>G156*M156</f>
        <v>1567076.1865947999</v>
      </c>
      <c r="S156" s="46"/>
      <c r="T156" s="46">
        <f>N156+700418.47</f>
        <v>11793844.25370656</v>
      </c>
      <c r="U156" s="46">
        <f>T156</f>
        <v>11793844.25370656</v>
      </c>
    </row>
    <row r="157" spans="1:26" ht="96.6">
      <c r="A157" s="304"/>
      <c r="B157" s="307"/>
      <c r="C157" s="61" t="s">
        <v>118</v>
      </c>
      <c r="D157" s="62" t="s">
        <v>101</v>
      </c>
      <c r="E157" s="59">
        <v>206</v>
      </c>
      <c r="F157" s="59">
        <v>206</v>
      </c>
      <c r="G157" s="59">
        <v>206</v>
      </c>
      <c r="H157" s="59">
        <v>206</v>
      </c>
      <c r="I157" s="59">
        <v>206</v>
      </c>
      <c r="J157" s="107">
        <f>SUM(K157:M157)</f>
        <v>60035.921141359999</v>
      </c>
      <c r="K157" s="107">
        <f>37782.86+1622.42+2182.03</f>
        <v>41587.31</v>
      </c>
      <c r="L157" s="349">
        <f>4001.99*2.411294+803.35</f>
        <v>10453.324475059999</v>
      </c>
      <c r="M157" s="349">
        <f>7790.73-13.0169697+221.21-3.636364</f>
        <v>7995.2866662999995</v>
      </c>
      <c r="N157" s="278">
        <f>SUM(O157:R157)</f>
        <v>12367399.75512016</v>
      </c>
      <c r="O157" s="278">
        <f>G157*K157</f>
        <v>8566985.8599999994</v>
      </c>
      <c r="P157" s="278">
        <f>G157*L157</f>
        <v>2153384.8418623595</v>
      </c>
      <c r="Q157" s="278"/>
      <c r="R157" s="46">
        <f>G157*M157</f>
        <v>1647029.0532577999</v>
      </c>
      <c r="S157" s="46"/>
      <c r="T157" s="46">
        <f>N157+736154.11-410043</f>
        <v>12693510.865120159</v>
      </c>
      <c r="U157" s="46">
        <f>T157</f>
        <v>12693510.865120159</v>
      </c>
    </row>
    <row r="158" spans="1:26" ht="82.8">
      <c r="A158" s="304"/>
      <c r="B158" s="307"/>
      <c r="C158" s="63" t="s">
        <v>102</v>
      </c>
      <c r="D158" s="64" t="s">
        <v>101</v>
      </c>
      <c r="E158" s="59" t="s">
        <v>104</v>
      </c>
      <c r="F158" s="59" t="s">
        <v>104</v>
      </c>
      <c r="G158" s="59" t="s">
        <v>104</v>
      </c>
      <c r="H158" s="59" t="s">
        <v>104</v>
      </c>
      <c r="I158" s="59" t="s">
        <v>104</v>
      </c>
      <c r="J158" s="59" t="s">
        <v>104</v>
      </c>
      <c r="K158" s="59" t="s">
        <v>104</v>
      </c>
      <c r="L158" s="123" t="s">
        <v>104</v>
      </c>
      <c r="M158" s="123" t="s">
        <v>104</v>
      </c>
      <c r="N158" s="278"/>
      <c r="O158" s="278"/>
      <c r="P158" s="123" t="s">
        <v>104</v>
      </c>
      <c r="Q158" s="123"/>
      <c r="R158" s="123" t="s">
        <v>104</v>
      </c>
      <c r="S158" s="123"/>
      <c r="T158" s="46"/>
      <c r="U158" s="46"/>
    </row>
    <row r="159" spans="1:26">
      <c r="A159" s="304"/>
      <c r="B159" s="307"/>
      <c r="C159" s="63" t="s">
        <v>171</v>
      </c>
      <c r="D159" s="64" t="s">
        <v>101</v>
      </c>
      <c r="E159" s="60">
        <v>1</v>
      </c>
      <c r="F159" s="60">
        <v>1</v>
      </c>
      <c r="G159" s="60">
        <v>1</v>
      </c>
      <c r="H159" s="60">
        <v>1</v>
      </c>
      <c r="I159" s="60">
        <v>1</v>
      </c>
      <c r="J159" s="75">
        <f>K159</f>
        <v>69362.66</v>
      </c>
      <c r="K159" s="75">
        <v>69362.66</v>
      </c>
      <c r="L159" s="123" t="s">
        <v>104</v>
      </c>
      <c r="M159" s="123" t="s">
        <v>104</v>
      </c>
      <c r="N159" s="278">
        <f>O159</f>
        <v>69362.66</v>
      </c>
      <c r="O159" s="278">
        <f>G159*K159</f>
        <v>69362.66</v>
      </c>
      <c r="P159" s="123" t="s">
        <v>104</v>
      </c>
      <c r="Q159" s="123"/>
      <c r="R159" s="123" t="s">
        <v>104</v>
      </c>
      <c r="S159" s="123"/>
      <c r="T159" s="46">
        <f>H159*K159</f>
        <v>69362.66</v>
      </c>
      <c r="U159" s="46">
        <f>I159*K159</f>
        <v>69362.66</v>
      </c>
    </row>
    <row r="160" spans="1:26">
      <c r="A160" s="304"/>
      <c r="B160" s="307"/>
      <c r="C160" s="63" t="s">
        <v>164</v>
      </c>
      <c r="D160" s="64" t="s">
        <v>101</v>
      </c>
      <c r="E160" s="60"/>
      <c r="F160" s="60"/>
      <c r="G160" s="59"/>
      <c r="H160" s="60"/>
      <c r="I160" s="60"/>
      <c r="J160" s="75">
        <f>K160</f>
        <v>25589.72</v>
      </c>
      <c r="K160" s="75">
        <v>25589.72</v>
      </c>
      <c r="L160" s="123" t="s">
        <v>104</v>
      </c>
      <c r="M160" s="123" t="s">
        <v>104</v>
      </c>
      <c r="N160" s="278">
        <f>O160</f>
        <v>0</v>
      </c>
      <c r="O160" s="278">
        <f t="shared" ref="O160:O161" si="100"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46">
        <f>I160*K160</f>
        <v>0</v>
      </c>
    </row>
    <row r="161" spans="1:26">
      <c r="A161" s="304"/>
      <c r="B161" s="307"/>
      <c r="C161" s="63" t="s">
        <v>168</v>
      </c>
      <c r="D161" s="64" t="s">
        <v>101</v>
      </c>
      <c r="E161" s="60">
        <v>3</v>
      </c>
      <c r="F161" s="60">
        <v>3</v>
      </c>
      <c r="G161" s="60">
        <v>3</v>
      </c>
      <c r="H161" s="60">
        <v>3</v>
      </c>
      <c r="I161" s="60">
        <v>3</v>
      </c>
      <c r="J161" s="75">
        <f>K161</f>
        <v>23553.439999999999</v>
      </c>
      <c r="K161" s="75">
        <v>23553.439999999999</v>
      </c>
      <c r="L161" s="123" t="s">
        <v>104</v>
      </c>
      <c r="M161" s="123" t="s">
        <v>104</v>
      </c>
      <c r="N161" s="278">
        <f>O161</f>
        <v>70660.319999999992</v>
      </c>
      <c r="O161" s="278">
        <f t="shared" si="100"/>
        <v>70660.319999999992</v>
      </c>
      <c r="P161" s="123" t="s">
        <v>104</v>
      </c>
      <c r="Q161" s="123"/>
      <c r="R161" s="123" t="s">
        <v>104</v>
      </c>
      <c r="S161" s="123"/>
      <c r="T161" s="46">
        <f>H161*K161</f>
        <v>70660.319999999992</v>
      </c>
      <c r="U161" s="46">
        <f>I161*K161</f>
        <v>70660.319999999992</v>
      </c>
    </row>
    <row r="162" spans="1:26" ht="82.8">
      <c r="A162" s="304"/>
      <c r="B162" s="307"/>
      <c r="C162" s="61" t="s">
        <v>105</v>
      </c>
      <c r="D162" s="64" t="s">
        <v>101</v>
      </c>
      <c r="E162" s="60">
        <v>1</v>
      </c>
      <c r="F162" s="60">
        <v>1</v>
      </c>
      <c r="G162" s="60">
        <v>1</v>
      </c>
      <c r="H162" s="60">
        <v>1</v>
      </c>
      <c r="I162" s="60">
        <v>1</v>
      </c>
      <c r="J162" s="75">
        <f>SUM(K162:M162)</f>
        <v>173660.69114136</v>
      </c>
      <c r="K162" s="75">
        <f>151407.63+1622.42+2182.03</f>
        <v>155212.08000000002</v>
      </c>
      <c r="L162" s="193">
        <f>4001.99*2.411294+803.35</f>
        <v>10453.324475059999</v>
      </c>
      <c r="M162" s="349">
        <f>7790.73-13.0169697+221.21-3.636364</f>
        <v>7995.2866662999995</v>
      </c>
      <c r="N162" s="280">
        <f>SUM(O162:R162)</f>
        <v>173660.69114136</v>
      </c>
      <c r="O162" s="280">
        <f>G162*K162</f>
        <v>155212.08000000002</v>
      </c>
      <c r="P162" s="280">
        <f>G162*L162</f>
        <v>10453.324475059999</v>
      </c>
      <c r="Q162" s="280"/>
      <c r="R162" s="280">
        <f>E162*M162</f>
        <v>7995.2866662999995</v>
      </c>
      <c r="S162" s="280"/>
      <c r="T162" s="46">
        <f>N162+3573.56</f>
        <v>177234.25114136</v>
      </c>
      <c r="U162" s="46">
        <f>T162</f>
        <v>177234.25114136</v>
      </c>
    </row>
    <row r="163" spans="1:26" ht="82.8">
      <c r="A163" s="304"/>
      <c r="B163" s="307"/>
      <c r="C163" s="61" t="s">
        <v>117</v>
      </c>
      <c r="D163" s="64" t="s">
        <v>101</v>
      </c>
      <c r="E163" s="60">
        <v>0</v>
      </c>
      <c r="F163" s="60">
        <v>0</v>
      </c>
      <c r="G163" s="59">
        <f t="shared" si="97"/>
        <v>0</v>
      </c>
      <c r="H163" s="60">
        <v>0</v>
      </c>
      <c r="I163" s="60">
        <v>0</v>
      </c>
      <c r="J163" s="75">
        <f>K163</f>
        <v>34010.129999999997</v>
      </c>
      <c r="K163" s="75">
        <v>34010.129999999997</v>
      </c>
      <c r="L163" s="193" t="s">
        <v>104</v>
      </c>
      <c r="M163" s="193" t="s">
        <v>104</v>
      </c>
      <c r="N163" s="280">
        <f>SUM(O163:R163)</f>
        <v>0</v>
      </c>
      <c r="O163" s="280">
        <f>G163*K163</f>
        <v>0</v>
      </c>
      <c r="P163" s="280"/>
      <c r="Q163" s="280"/>
      <c r="R163" s="280"/>
      <c r="S163" s="280"/>
      <c r="T163" s="46">
        <f t="shared" si="98"/>
        <v>0</v>
      </c>
      <c r="U163" s="46">
        <f t="shared" si="99"/>
        <v>0</v>
      </c>
    </row>
    <row r="164" spans="1:26">
      <c r="A164" s="304"/>
      <c r="B164" s="308"/>
      <c r="C164" s="66" t="s">
        <v>106</v>
      </c>
      <c r="D164" s="64"/>
      <c r="E164" s="60">
        <f>E156++E157+E162</f>
        <v>403</v>
      </c>
      <c r="F164" s="60">
        <f>F156++F157+F162</f>
        <v>403</v>
      </c>
      <c r="G164" s="60">
        <f>G156++G157+G162</f>
        <v>403</v>
      </c>
      <c r="H164" s="60">
        <f>H156++H157+H162</f>
        <v>403</v>
      </c>
      <c r="I164" s="60">
        <f>I156++I157+I162</f>
        <v>403</v>
      </c>
      <c r="J164" s="73" t="s">
        <v>104</v>
      </c>
      <c r="K164" s="73" t="s">
        <v>104</v>
      </c>
      <c r="L164" s="194" t="s">
        <v>104</v>
      </c>
      <c r="M164" s="194" t="s">
        <v>104</v>
      </c>
      <c r="N164" s="194">
        <f>SUM(N156:N163)</f>
        <v>23774509.209968079</v>
      </c>
      <c r="O164" s="194">
        <f t="shared" ref="O164:U164" si="101">SUM(O156:O163)</f>
        <v>16339718.92</v>
      </c>
      <c r="P164" s="194">
        <f t="shared" si="101"/>
        <v>4212689.7634491799</v>
      </c>
      <c r="Q164" s="194"/>
      <c r="R164" s="194">
        <f t="shared" si="101"/>
        <v>3222100.5265188999</v>
      </c>
      <c r="S164" s="194"/>
      <c r="T164" s="194">
        <f t="shared" si="101"/>
        <v>24804612.349968076</v>
      </c>
      <c r="U164" s="194">
        <f t="shared" si="101"/>
        <v>24804612.349968076</v>
      </c>
      <c r="Z164" s="85"/>
    </row>
    <row r="165" spans="1:26" ht="82.8">
      <c r="A165" s="304"/>
      <c r="B165" s="306" t="s">
        <v>239</v>
      </c>
      <c r="C165" s="61" t="s">
        <v>100</v>
      </c>
      <c r="D165" s="62" t="s">
        <v>101</v>
      </c>
      <c r="E165" s="60">
        <v>51</v>
      </c>
      <c r="F165" s="60">
        <v>51</v>
      </c>
      <c r="G165" s="60">
        <v>51</v>
      </c>
      <c r="H165" s="60">
        <v>51</v>
      </c>
      <c r="I165" s="60">
        <v>51</v>
      </c>
      <c r="J165" s="107">
        <f>SUM(K165:M165)</f>
        <v>63701.551141360003</v>
      </c>
      <c r="K165" s="107">
        <f>41105.12+1965.79+2182.03</f>
        <v>45252.94</v>
      </c>
      <c r="L165" s="349">
        <f>4001.99*2.411294+803.35</f>
        <v>10453.324475059999</v>
      </c>
      <c r="M165" s="349">
        <f>7790.73-13.0169697+221.21-3.636364</f>
        <v>7995.2866662999995</v>
      </c>
      <c r="N165" s="280">
        <f>SUM(O165:R165)</f>
        <v>3248779.1082093599</v>
      </c>
      <c r="O165" s="280">
        <f>G165*K165</f>
        <v>2307899.94</v>
      </c>
      <c r="P165" s="280">
        <f>G165*L165</f>
        <v>533119.5482280599</v>
      </c>
      <c r="Q165" s="280"/>
      <c r="R165" s="46">
        <f>G165*M165</f>
        <v>407759.61998129997</v>
      </c>
      <c r="S165" s="46"/>
      <c r="T165" s="46">
        <f>N165+182251.75</f>
        <v>3431030.8582093599</v>
      </c>
      <c r="U165" s="46">
        <f>T165</f>
        <v>3431030.8582093599</v>
      </c>
    </row>
    <row r="166" spans="1:26" ht="96.6">
      <c r="A166" s="304"/>
      <c r="B166" s="307"/>
      <c r="C166" s="61" t="s">
        <v>172</v>
      </c>
      <c r="D166" s="62" t="s">
        <v>101</v>
      </c>
      <c r="E166" s="60">
        <v>53</v>
      </c>
      <c r="F166" s="60">
        <v>53</v>
      </c>
      <c r="G166" s="60">
        <v>53</v>
      </c>
      <c r="H166" s="60">
        <v>53</v>
      </c>
      <c r="I166" s="60">
        <v>53</v>
      </c>
      <c r="J166" s="107">
        <f>SUM(K166:M166)</f>
        <v>105997.00114136</v>
      </c>
      <c r="K166" s="107">
        <f>83400.57+1965.79+2182.03</f>
        <v>87548.39</v>
      </c>
      <c r="L166" s="349">
        <f>4001.99*2.411294+803.35</f>
        <v>10453.324475059999</v>
      </c>
      <c r="M166" s="349">
        <f>7790.73-13.0169697+221.21-3.636364</f>
        <v>7995.2866662999995</v>
      </c>
      <c r="N166" s="280">
        <f>SUM(O166:R166)</f>
        <v>5617841.0604920806</v>
      </c>
      <c r="O166" s="280">
        <f>G166*K166</f>
        <v>4640064.67</v>
      </c>
      <c r="P166" s="280">
        <f>G166*L166</f>
        <v>554026.19717817998</v>
      </c>
      <c r="Q166" s="280"/>
      <c r="R166" s="46">
        <f>G166*M166</f>
        <v>423750.19331389997</v>
      </c>
      <c r="S166" s="46"/>
      <c r="T166" s="46">
        <f>N166+189398.87+3000</f>
        <v>5810239.9304920807</v>
      </c>
      <c r="U166" s="46">
        <f>T166</f>
        <v>5810239.9304920807</v>
      </c>
    </row>
    <row r="167" spans="1:26" ht="82.8">
      <c r="A167" s="304"/>
      <c r="B167" s="307"/>
      <c r="C167" s="63" t="s">
        <v>102</v>
      </c>
      <c r="D167" s="64" t="s">
        <v>101</v>
      </c>
      <c r="E167" s="59" t="s">
        <v>104</v>
      </c>
      <c r="F167" s="59" t="s">
        <v>104</v>
      </c>
      <c r="G167" s="59" t="s">
        <v>104</v>
      </c>
      <c r="H167" s="59" t="s">
        <v>104</v>
      </c>
      <c r="I167" s="59" t="s">
        <v>104</v>
      </c>
      <c r="J167" s="59" t="s">
        <v>104</v>
      </c>
      <c r="K167" s="59" t="s">
        <v>104</v>
      </c>
      <c r="L167" s="123" t="s">
        <v>104</v>
      </c>
      <c r="M167" s="123" t="s">
        <v>104</v>
      </c>
      <c r="N167" s="278"/>
      <c r="O167" s="278"/>
      <c r="P167" s="123" t="s">
        <v>104</v>
      </c>
      <c r="Q167" s="123"/>
      <c r="R167" s="123" t="s">
        <v>104</v>
      </c>
      <c r="S167" s="123"/>
      <c r="T167" s="46"/>
      <c r="U167" s="46"/>
    </row>
    <row r="168" spans="1:26">
      <c r="A168" s="304"/>
      <c r="B168" s="307"/>
      <c r="C168" s="63" t="s">
        <v>168</v>
      </c>
      <c r="D168" s="64" t="s">
        <v>101</v>
      </c>
      <c r="E168" s="60"/>
      <c r="F168" s="60"/>
      <c r="G168" s="59">
        <f t="shared" si="97"/>
        <v>0</v>
      </c>
      <c r="H168" s="60"/>
      <c r="I168" s="60"/>
      <c r="J168" s="75">
        <f>K168</f>
        <v>23553.439999999999</v>
      </c>
      <c r="K168" s="75">
        <v>23553.439999999999</v>
      </c>
      <c r="L168" s="123" t="s">
        <v>104</v>
      </c>
      <c r="M168" s="123" t="s">
        <v>104</v>
      </c>
      <c r="N168" s="278">
        <f>O168</f>
        <v>0</v>
      </c>
      <c r="O168" s="278">
        <f>G168*K168</f>
        <v>0</v>
      </c>
      <c r="P168" s="123" t="s">
        <v>104</v>
      </c>
      <c r="Q168" s="123"/>
      <c r="R168" s="123" t="s">
        <v>104</v>
      </c>
      <c r="S168" s="123"/>
      <c r="T168" s="46">
        <f>H168*K168</f>
        <v>0</v>
      </c>
      <c r="U168" s="46">
        <f>I168*K168</f>
        <v>0</v>
      </c>
    </row>
    <row r="169" spans="1:26" ht="82.8">
      <c r="A169" s="304"/>
      <c r="B169" s="307"/>
      <c r="C169" s="61" t="s">
        <v>105</v>
      </c>
      <c r="D169" s="64" t="s">
        <v>101</v>
      </c>
      <c r="E169" s="60"/>
      <c r="F169" s="60"/>
      <c r="G169" s="59">
        <f t="shared" si="97"/>
        <v>0</v>
      </c>
      <c r="H169" s="60"/>
      <c r="I169" s="60"/>
      <c r="J169" s="75">
        <f>SUM(K169:M169)</f>
        <v>203998.78114136003</v>
      </c>
      <c r="K169" s="75">
        <f>181402.35+1965.79+2182.03</f>
        <v>185550.17</v>
      </c>
      <c r="L169" s="193">
        <f>4001.99*2.411294+803.35</f>
        <v>10453.324475059999</v>
      </c>
      <c r="M169" s="349">
        <f>7790.73-13.0169697+221.21-3.636364</f>
        <v>7995.2866662999995</v>
      </c>
      <c r="N169" s="280"/>
      <c r="O169" s="280"/>
      <c r="P169" s="280"/>
      <c r="Q169" s="280"/>
      <c r="R169" s="280"/>
      <c r="S169" s="280"/>
      <c r="T169" s="46">
        <f t="shared" si="98"/>
        <v>0</v>
      </c>
      <c r="U169" s="46">
        <f t="shared" si="99"/>
        <v>0</v>
      </c>
    </row>
    <row r="170" spans="1:26">
      <c r="A170" s="304"/>
      <c r="B170" s="308"/>
      <c r="C170" s="66" t="s">
        <v>106</v>
      </c>
      <c r="D170" s="64"/>
      <c r="E170" s="60">
        <f t="shared" ref="E170:F170" si="102">E165+E169+E166</f>
        <v>104</v>
      </c>
      <c r="F170" s="60">
        <f t="shared" si="102"/>
        <v>104</v>
      </c>
      <c r="G170" s="60">
        <f>G165+G169+G166</f>
        <v>104</v>
      </c>
      <c r="H170" s="60">
        <f t="shared" ref="H170:I170" si="103">H165+H169+H166</f>
        <v>104</v>
      </c>
      <c r="I170" s="60">
        <f t="shared" si="103"/>
        <v>104</v>
      </c>
      <c r="J170" s="73" t="s">
        <v>104</v>
      </c>
      <c r="K170" s="73" t="s">
        <v>104</v>
      </c>
      <c r="L170" s="194" t="s">
        <v>104</v>
      </c>
      <c r="M170" s="194" t="s">
        <v>104</v>
      </c>
      <c r="N170" s="194">
        <f>SUM(N165:N169)</f>
        <v>8866620.1687014401</v>
      </c>
      <c r="O170" s="194">
        <f t="shared" ref="O170:U170" si="104">SUM(O165:O169)</f>
        <v>6947964.6099999994</v>
      </c>
      <c r="P170" s="194">
        <f t="shared" si="104"/>
        <v>1087145.7454062398</v>
      </c>
      <c r="Q170" s="194"/>
      <c r="R170" s="194">
        <f t="shared" si="104"/>
        <v>831509.8132952</v>
      </c>
      <c r="S170" s="194"/>
      <c r="T170" s="194">
        <f>SUM(T165:T169)</f>
        <v>9241270.7887014411</v>
      </c>
      <c r="U170" s="194">
        <f t="shared" si="104"/>
        <v>9241270.7887014411</v>
      </c>
      <c r="V170" s="85">
        <f>N173+N170+N164+N155+N175</f>
        <v>54451158.001621999</v>
      </c>
      <c r="W170" s="85">
        <f>V170-N181</f>
        <v>0</v>
      </c>
      <c r="Z170" s="85"/>
    </row>
    <row r="171" spans="1:26" ht="102" customHeight="1">
      <c r="A171" s="304"/>
      <c r="B171" s="137" t="s">
        <v>240</v>
      </c>
      <c r="C171" s="61" t="s">
        <v>257</v>
      </c>
      <c r="D171" s="64" t="s">
        <v>101</v>
      </c>
      <c r="E171" s="60">
        <v>1439</v>
      </c>
      <c r="F171" s="60">
        <v>1439</v>
      </c>
      <c r="G171" s="60">
        <v>1439</v>
      </c>
      <c r="H171" s="60">
        <v>1439</v>
      </c>
      <c r="I171" s="60">
        <v>1439</v>
      </c>
      <c r="J171" s="75">
        <f>K171</f>
        <v>3268.55</v>
      </c>
      <c r="K171" s="75">
        <v>3268.55</v>
      </c>
      <c r="L171" s="193" t="s">
        <v>104</v>
      </c>
      <c r="M171" s="193" t="s">
        <v>104</v>
      </c>
      <c r="N171" s="280">
        <f>SUM(O171:R171)</f>
        <v>4838582</v>
      </c>
      <c r="O171" s="280">
        <f>G171*K171-0.45+135139</f>
        <v>4838582</v>
      </c>
      <c r="P171" s="280" t="s">
        <v>104</v>
      </c>
      <c r="Q171" s="280"/>
      <c r="R171" s="280" t="s">
        <v>104</v>
      </c>
      <c r="S171" s="280"/>
      <c r="T171" s="46">
        <f>N171</f>
        <v>4838582</v>
      </c>
      <c r="U171" s="46">
        <f t="shared" ref="U171:U176" si="105">T171</f>
        <v>4838582</v>
      </c>
      <c r="V171" s="80">
        <v>56992305</v>
      </c>
      <c r="W171" s="85">
        <f>V171-T181</f>
        <v>-1.6220062971115112E-3</v>
      </c>
      <c r="X171" s="191">
        <f>G155+G164+G170</f>
        <v>825</v>
      </c>
    </row>
    <row r="172" spans="1:26" ht="128.4" customHeight="1">
      <c r="A172" s="304"/>
      <c r="B172" s="137"/>
      <c r="C172" s="166" t="s">
        <v>256</v>
      </c>
      <c r="D172" s="167" t="s">
        <v>101</v>
      </c>
      <c r="E172" s="168"/>
      <c r="F172" s="168"/>
      <c r="G172" s="59">
        <v>495</v>
      </c>
      <c r="H172" s="59">
        <v>495</v>
      </c>
      <c r="I172" s="59">
        <v>495</v>
      </c>
      <c r="J172" s="73" t="s">
        <v>104</v>
      </c>
      <c r="K172" s="73" t="s">
        <v>104</v>
      </c>
      <c r="L172" s="194" t="s">
        <v>104</v>
      </c>
      <c r="M172" s="279">
        <v>5421.31</v>
      </c>
      <c r="N172" s="280">
        <f>R172</f>
        <v>2683548.4500000002</v>
      </c>
      <c r="O172" s="280"/>
      <c r="P172" s="280"/>
      <c r="Q172" s="280"/>
      <c r="R172" s="280">
        <f>G172*M172</f>
        <v>2683548.4500000002</v>
      </c>
      <c r="S172" s="280"/>
      <c r="T172" s="46">
        <f>N172</f>
        <v>2683548.4500000002</v>
      </c>
      <c r="U172" s="46">
        <f t="shared" si="105"/>
        <v>2683548.4500000002</v>
      </c>
      <c r="X172" s="85">
        <f>V181-R172</f>
        <v>6596112.5499999998</v>
      </c>
      <c r="Y172" s="80">
        <f>X172/G181</f>
        <v>7995.2879393939393</v>
      </c>
      <c r="Z172" s="80">
        <f>Y172*X171</f>
        <v>6596112.5499999998</v>
      </c>
    </row>
    <row r="173" spans="1:26">
      <c r="A173" s="304"/>
      <c r="B173" s="69"/>
      <c r="C173" s="66" t="s">
        <v>106</v>
      </c>
      <c r="D173" s="69"/>
      <c r="E173" s="60">
        <f>SUM(E171:E171)</f>
        <v>1439</v>
      </c>
      <c r="F173" s="60">
        <f>SUM(F171:F171)</f>
        <v>1439</v>
      </c>
      <c r="G173" s="60">
        <f>SUM(G171:G171)</f>
        <v>1439</v>
      </c>
      <c r="H173" s="60">
        <f>SUM(H171:H171)</f>
        <v>1439</v>
      </c>
      <c r="I173" s="60">
        <f>SUM(I171:I171)</f>
        <v>1439</v>
      </c>
      <c r="J173" s="73" t="s">
        <v>104</v>
      </c>
      <c r="K173" s="73" t="s">
        <v>104</v>
      </c>
      <c r="L173" s="194" t="s">
        <v>104</v>
      </c>
      <c r="M173" s="194">
        <f t="shared" ref="M173:P173" si="106">SUM(M171:M171)</f>
        <v>0</v>
      </c>
      <c r="N173" s="194">
        <f>SUM(N171:N172)</f>
        <v>7522130.4500000002</v>
      </c>
      <c r="O173" s="194">
        <f t="shared" si="106"/>
        <v>4838582</v>
      </c>
      <c r="P173" s="194">
        <f t="shared" si="106"/>
        <v>0</v>
      </c>
      <c r="Q173" s="194"/>
      <c r="R173" s="194">
        <f>SUM(R171:R172)</f>
        <v>2683548.4500000002</v>
      </c>
      <c r="S173" s="194"/>
      <c r="T173" s="194">
        <f>SUM(T171:T172)</f>
        <v>7522130.4500000002</v>
      </c>
      <c r="U173" s="46">
        <f t="shared" si="105"/>
        <v>7522130.4500000002</v>
      </c>
      <c r="Z173" s="85">
        <f>Z172+R172</f>
        <v>9279661</v>
      </c>
    </row>
    <row r="174" spans="1:26" hidden="1">
      <c r="A174" s="304"/>
      <c r="B174" s="69" t="s">
        <v>292</v>
      </c>
      <c r="C174" s="66" t="s">
        <v>226</v>
      </c>
      <c r="D174" s="69"/>
      <c r="E174" s="60"/>
      <c r="F174" s="60"/>
      <c r="G174" s="60"/>
      <c r="H174" s="60"/>
      <c r="I174" s="60"/>
      <c r="J174" s="73"/>
      <c r="K174" s="73"/>
      <c r="L174" s="194"/>
      <c r="M174" s="194"/>
      <c r="N174" s="194">
        <f>P174</f>
        <v>0</v>
      </c>
      <c r="O174" s="194"/>
      <c r="P174" s="194"/>
      <c r="Q174" s="194"/>
      <c r="R174" s="194"/>
      <c r="S174" s="194"/>
      <c r="T174" s="46">
        <f>P174</f>
        <v>0</v>
      </c>
      <c r="U174" s="46">
        <f t="shared" si="105"/>
        <v>0</v>
      </c>
      <c r="Z174" s="85"/>
    </row>
    <row r="175" spans="1:26" hidden="1">
      <c r="A175" s="304"/>
      <c r="B175" s="89" t="s">
        <v>225</v>
      </c>
      <c r="C175" s="183" t="s">
        <v>219</v>
      </c>
      <c r="D175" s="64" t="s">
        <v>101</v>
      </c>
      <c r="E175" s="60"/>
      <c r="F175" s="60"/>
      <c r="G175" s="60">
        <v>4</v>
      </c>
      <c r="H175" s="60">
        <v>4</v>
      </c>
      <c r="I175" s="60">
        <v>4</v>
      </c>
      <c r="J175" s="73"/>
      <c r="K175" s="73"/>
      <c r="L175" s="194"/>
      <c r="M175" s="194"/>
      <c r="N175" s="194">
        <f>S175</f>
        <v>0</v>
      </c>
      <c r="O175" s="194"/>
      <c r="P175" s="194"/>
      <c r="Q175" s="194"/>
      <c r="R175" s="194"/>
      <c r="S175" s="194"/>
      <c r="T175" s="46">
        <f>S175</f>
        <v>0</v>
      </c>
      <c r="U175" s="46">
        <f t="shared" si="105"/>
        <v>0</v>
      </c>
      <c r="V175" s="85"/>
    </row>
    <row r="176" spans="1:26" hidden="1">
      <c r="A176" s="304"/>
      <c r="B176" s="89" t="s">
        <v>225</v>
      </c>
      <c r="C176" s="183" t="s">
        <v>226</v>
      </c>
      <c r="D176" s="64" t="s">
        <v>101</v>
      </c>
      <c r="E176" s="60"/>
      <c r="F176" s="60"/>
      <c r="G176" s="60"/>
      <c r="H176" s="60"/>
      <c r="I176" s="60"/>
      <c r="J176" s="73"/>
      <c r="K176" s="73"/>
      <c r="L176" s="194"/>
      <c r="M176" s="194"/>
      <c r="N176" s="194">
        <f t="shared" ref="N176:N177" si="107">S176</f>
        <v>0</v>
      </c>
      <c r="O176" s="194"/>
      <c r="P176" s="194"/>
      <c r="Q176" s="194"/>
      <c r="R176" s="194"/>
      <c r="S176" s="194"/>
      <c r="T176" s="46">
        <f>Q176</f>
        <v>0</v>
      </c>
      <c r="U176" s="46">
        <f t="shared" si="105"/>
        <v>0</v>
      </c>
      <c r="V176" s="85"/>
    </row>
    <row r="177" spans="1:26" hidden="1">
      <c r="A177" s="304"/>
      <c r="B177" s="89" t="s">
        <v>291</v>
      </c>
      <c r="C177" s="183" t="s">
        <v>219</v>
      </c>
      <c r="D177" s="64"/>
      <c r="E177" s="60"/>
      <c r="F177" s="60"/>
      <c r="G177" s="60"/>
      <c r="H177" s="60"/>
      <c r="I177" s="60"/>
      <c r="J177" s="73"/>
      <c r="K177" s="73"/>
      <c r="L177" s="194"/>
      <c r="M177" s="194"/>
      <c r="N177" s="194">
        <f t="shared" si="107"/>
        <v>0</v>
      </c>
      <c r="O177" s="194"/>
      <c r="P177" s="194"/>
      <c r="Q177" s="194"/>
      <c r="R177" s="194"/>
      <c r="S177" s="194"/>
      <c r="T177" s="46"/>
      <c r="U177" s="46"/>
      <c r="V177" s="85"/>
    </row>
    <row r="178" spans="1:26" hidden="1">
      <c r="A178" s="304"/>
      <c r="B178" s="89" t="s">
        <v>307</v>
      </c>
      <c r="C178" s="183" t="s">
        <v>226</v>
      </c>
      <c r="D178" s="64"/>
      <c r="E178" s="60"/>
      <c r="F178" s="60"/>
      <c r="G178" s="60">
        <v>31</v>
      </c>
      <c r="H178" s="60">
        <v>31</v>
      </c>
      <c r="I178" s="60">
        <v>31</v>
      </c>
      <c r="J178" s="73"/>
      <c r="K178" s="73"/>
      <c r="L178" s="194"/>
      <c r="M178" s="194"/>
      <c r="N178" s="194">
        <f>O178</f>
        <v>0</v>
      </c>
      <c r="O178" s="194"/>
      <c r="P178" s="194"/>
      <c r="Q178" s="194"/>
      <c r="R178" s="194"/>
      <c r="S178" s="194"/>
      <c r="T178" s="46"/>
      <c r="U178" s="46">
        <f>T178</f>
        <v>0</v>
      </c>
      <c r="V178" s="85"/>
    </row>
    <row r="179" spans="1:26" hidden="1">
      <c r="A179" s="304"/>
      <c r="B179" s="89" t="s">
        <v>259</v>
      </c>
      <c r="C179" s="183" t="s">
        <v>226</v>
      </c>
      <c r="D179" s="64"/>
      <c r="E179" s="60"/>
      <c r="F179" s="60"/>
      <c r="G179" s="60"/>
      <c r="H179" s="60"/>
      <c r="I179" s="60"/>
      <c r="J179" s="73"/>
      <c r="K179" s="73"/>
      <c r="L179" s="194"/>
      <c r="M179" s="194"/>
      <c r="N179" s="194">
        <f>O179</f>
        <v>0</v>
      </c>
      <c r="O179" s="194"/>
      <c r="P179" s="194"/>
      <c r="Q179" s="194"/>
      <c r="R179" s="194"/>
      <c r="S179" s="194"/>
      <c r="T179" s="46">
        <f>O179</f>
        <v>0</v>
      </c>
      <c r="U179" s="46">
        <f>T179</f>
        <v>0</v>
      </c>
    </row>
    <row r="180" spans="1:26" hidden="1">
      <c r="A180" s="304"/>
      <c r="B180" s="89" t="s">
        <v>308</v>
      </c>
      <c r="C180" s="183" t="s">
        <v>226</v>
      </c>
      <c r="D180" s="64"/>
      <c r="E180" s="60"/>
      <c r="F180" s="60"/>
      <c r="G180" s="60"/>
      <c r="H180" s="60"/>
      <c r="I180" s="60"/>
      <c r="J180" s="73"/>
      <c r="K180" s="73"/>
      <c r="L180" s="194"/>
      <c r="M180" s="194"/>
      <c r="N180" s="194">
        <f>P180</f>
        <v>0</v>
      </c>
      <c r="O180" s="194"/>
      <c r="P180" s="194"/>
      <c r="Q180" s="194"/>
      <c r="R180" s="194"/>
      <c r="S180" s="194"/>
      <c r="T180" s="46"/>
      <c r="U180" s="46">
        <f>T180</f>
        <v>0</v>
      </c>
    </row>
    <row r="181" spans="1:26">
      <c r="A181" s="304"/>
      <c r="B181" s="101" t="s">
        <v>112</v>
      </c>
      <c r="C181" s="101"/>
      <c r="D181" s="69"/>
      <c r="E181" s="102">
        <f t="shared" ref="E181:F181" si="108">E155+E164+E170</f>
        <v>825</v>
      </c>
      <c r="F181" s="102">
        <f t="shared" si="108"/>
        <v>825</v>
      </c>
      <c r="G181" s="102">
        <f>G155+G164+G170</f>
        <v>825</v>
      </c>
      <c r="H181" s="102">
        <f>H155+H164+H170</f>
        <v>825</v>
      </c>
      <c r="I181" s="102">
        <f>I155+I164+I170</f>
        <v>825</v>
      </c>
      <c r="J181" s="104"/>
      <c r="K181" s="104"/>
      <c r="L181" s="138"/>
      <c r="M181" s="138"/>
      <c r="N181" s="138">
        <f>SUM(O181:S181)</f>
        <v>54451158.001621999</v>
      </c>
      <c r="O181" s="138">
        <f>O155+O164+O170+O173+O178+O179</f>
        <v>36547504</v>
      </c>
      <c r="P181" s="138">
        <f>P155+P164+P170+P173+P174+P175+P176+P180</f>
        <v>8623993.0019244999</v>
      </c>
      <c r="Q181" s="138">
        <f t="shared" ref="Q181" si="109">Q155+Q164+Q170+Q173+Q174+Q175+Q176</f>
        <v>0</v>
      </c>
      <c r="R181" s="138">
        <f>R155+R164+R170+R173+R174+R175+R176+R177</f>
        <v>9279660.999697499</v>
      </c>
      <c r="S181" s="138">
        <f>S155+S164+S170+S173+S174+S175+S176+S177</f>
        <v>0</v>
      </c>
      <c r="T181" s="138">
        <f>T155+T164+T170+T173+T174+T175+T176+T177+T178+T179+T180</f>
        <v>56992305.001622006</v>
      </c>
      <c r="U181" s="138">
        <f>U155+U164+U170+U173+U174+U175+U176+U177+U178+U179+U180</f>
        <v>56992305.001622006</v>
      </c>
      <c r="V181" s="80">
        <v>9279661</v>
      </c>
      <c r="W181" s="85">
        <f>V181-R181</f>
        <v>3.0250102281570435E-4</v>
      </c>
      <c r="X181" s="80">
        <f>W181/I181</f>
        <v>3.6666790644327798E-7</v>
      </c>
      <c r="Z181" s="85">
        <f>N181-T181</f>
        <v>-2541147.0000000075</v>
      </c>
    </row>
    <row r="182" spans="1:26" ht="193.2">
      <c r="A182" s="304" t="s">
        <v>119</v>
      </c>
      <c r="B182" s="305" t="s">
        <v>237</v>
      </c>
      <c r="C182" s="61" t="s">
        <v>120</v>
      </c>
      <c r="D182" s="62" t="s">
        <v>121</v>
      </c>
      <c r="E182" s="121" t="s">
        <v>192</v>
      </c>
      <c r="F182" s="121" t="s">
        <v>192</v>
      </c>
      <c r="G182" s="121" t="s">
        <v>192</v>
      </c>
      <c r="H182" s="121" t="s">
        <v>192</v>
      </c>
      <c r="I182" s="121" t="s">
        <v>192</v>
      </c>
      <c r="J182" s="107" t="s">
        <v>327</v>
      </c>
      <c r="K182" s="107" t="s">
        <v>322</v>
      </c>
      <c r="L182" s="349" t="s">
        <v>321</v>
      </c>
      <c r="M182" s="349" t="s">
        <v>347</v>
      </c>
      <c r="N182" s="278">
        <f>SUM(O182:R182)</f>
        <v>4379991.2958490197</v>
      </c>
      <c r="O182" s="278">
        <f>(668575.57*3)+((1329.32*67)/12*8+(1329.32*67)/12*4)+(2488.36*67)+0.38</f>
        <v>2261511.65</v>
      </c>
      <c r="P182" s="278">
        <f>((4001.99*2.411294*67)/12*8)+((4001.99*2.411294*67)/12*4)+(898.87*67)-1.1</f>
        <v>706771.47982901998</v>
      </c>
      <c r="Q182" s="278"/>
      <c r="R182" s="46">
        <f>((11601.11606*67)/12*8)+((11601.11606*67)/12*4)+2+(9469.11*67)+1.02</f>
        <v>1411708.1660199999</v>
      </c>
      <c r="S182" s="46"/>
      <c r="T182" s="46">
        <f>N182+274261.43-9617-33000</f>
        <v>4611635.7258490194</v>
      </c>
      <c r="U182" s="46">
        <f>T182</f>
        <v>4611635.7258490194</v>
      </c>
      <c r="V182" s="80">
        <f>N182/3</f>
        <v>1459997.09861634</v>
      </c>
      <c r="W182" s="80">
        <f>12300.53*67</f>
        <v>824135.51</v>
      </c>
      <c r="X182" s="80">
        <f>1342.39+12011.78+(4001.99*2.3654)</f>
        <v>22820.477146000001</v>
      </c>
      <c r="Y182" s="80">
        <f>4001.99*2.3654</f>
        <v>9466.307146000001</v>
      </c>
    </row>
    <row r="183" spans="1:26" ht="179.4">
      <c r="A183" s="304"/>
      <c r="B183" s="305"/>
      <c r="C183" s="61" t="s">
        <v>128</v>
      </c>
      <c r="D183" s="62" t="s">
        <v>121</v>
      </c>
      <c r="E183" s="121" t="s">
        <v>293</v>
      </c>
      <c r="F183" s="121" t="s">
        <v>293</v>
      </c>
      <c r="G183" s="121" t="s">
        <v>293</v>
      </c>
      <c r="H183" s="121" t="s">
        <v>293</v>
      </c>
      <c r="I183" s="121" t="s">
        <v>293</v>
      </c>
      <c r="J183" s="107" t="s">
        <v>328</v>
      </c>
      <c r="K183" s="107" t="s">
        <v>323</v>
      </c>
      <c r="L183" s="349" t="s">
        <v>321</v>
      </c>
      <c r="M183" s="349" t="s">
        <v>347</v>
      </c>
      <c r="N183" s="278">
        <f>SUM(O183:R183)</f>
        <v>1231338.9190960201</v>
      </c>
      <c r="O183" s="278">
        <f>(((628912.16*1)/12*8+(628912.16*1)/12*4)+((1329.32*17)/12*8+(1329.32*17)/12*4))+(2488.36*17)</f>
        <v>693812.72</v>
      </c>
      <c r="P183" s="278">
        <f>((4001.99*2.411294*17)/12*8)+((4001.99*2.411294*17)/12*4)+(898.87*17)</f>
        <v>179330.35607601999</v>
      </c>
      <c r="Q183" s="278"/>
      <c r="R183" s="46">
        <f>((11601.11606*17)/12*8)+((11601.11606*17)/12*4)+2+(9469.11*17)</f>
        <v>358195.84302000003</v>
      </c>
      <c r="S183" s="46"/>
      <c r="T183" s="46">
        <f>N183+69588.72</f>
        <v>1300927.63909602</v>
      </c>
      <c r="U183" s="46">
        <f>T183</f>
        <v>1300927.63909602</v>
      </c>
      <c r="W183" s="80">
        <f>12300.53*19</f>
        <v>233710.07</v>
      </c>
    </row>
    <row r="184" spans="1:26" ht="82.8">
      <c r="A184" s="304"/>
      <c r="B184" s="305"/>
      <c r="C184" s="63" t="s">
        <v>102</v>
      </c>
      <c r="D184" s="64" t="s">
        <v>101</v>
      </c>
      <c r="E184" s="65"/>
      <c r="F184" s="65"/>
      <c r="G184" s="65"/>
      <c r="H184" s="65"/>
      <c r="I184" s="65"/>
      <c r="J184" s="150" t="s">
        <v>103</v>
      </c>
      <c r="K184" s="150" t="s">
        <v>103</v>
      </c>
      <c r="L184" s="281" t="s">
        <v>103</v>
      </c>
      <c r="M184" s="281" t="s">
        <v>103</v>
      </c>
      <c r="N184" s="278">
        <f t="shared" ref="N184:N188" si="110">SUM(O184:R184)</f>
        <v>0</v>
      </c>
      <c r="O184" s="281" t="s">
        <v>103</v>
      </c>
      <c r="P184" s="281" t="s">
        <v>103</v>
      </c>
      <c r="Q184" s="281"/>
      <c r="R184" s="281" t="s">
        <v>103</v>
      </c>
      <c r="S184" s="281"/>
      <c r="T184" s="46">
        <f t="shared" ref="T184:T188" si="111">N184</f>
        <v>0</v>
      </c>
      <c r="U184" s="46">
        <f t="shared" ref="U184:U188" si="112">T184</f>
        <v>0</v>
      </c>
    </row>
    <row r="185" spans="1:26">
      <c r="A185" s="304"/>
      <c r="B185" s="305"/>
      <c r="C185" s="63" t="s">
        <v>166</v>
      </c>
      <c r="D185" s="64" t="s">
        <v>101</v>
      </c>
      <c r="E185" s="59">
        <v>5</v>
      </c>
      <c r="F185" s="59">
        <v>5</v>
      </c>
      <c r="G185" s="59">
        <v>5</v>
      </c>
      <c r="H185" s="59">
        <v>5</v>
      </c>
      <c r="I185" s="59">
        <v>5</v>
      </c>
      <c r="J185" s="75">
        <f>K185</f>
        <v>80183.77</v>
      </c>
      <c r="K185" s="75">
        <v>80183.77</v>
      </c>
      <c r="L185" s="193"/>
      <c r="M185" s="193"/>
      <c r="N185" s="278">
        <f t="shared" si="110"/>
        <v>400918.85000000003</v>
      </c>
      <c r="O185" s="278">
        <f>G185*K185</f>
        <v>400918.85000000003</v>
      </c>
      <c r="P185" s="278"/>
      <c r="Q185" s="278"/>
      <c r="R185" s="282"/>
      <c r="S185" s="282"/>
      <c r="T185" s="46">
        <f t="shared" si="111"/>
        <v>400918.85000000003</v>
      </c>
      <c r="U185" s="46">
        <f t="shared" si="112"/>
        <v>400918.85000000003</v>
      </c>
    </row>
    <row r="186" spans="1:26">
      <c r="A186" s="304"/>
      <c r="B186" s="305"/>
      <c r="C186" s="63" t="s">
        <v>168</v>
      </c>
      <c r="D186" s="64" t="s">
        <v>101</v>
      </c>
      <c r="E186" s="59">
        <v>1</v>
      </c>
      <c r="F186" s="59">
        <v>1</v>
      </c>
      <c r="G186" s="59">
        <v>1</v>
      </c>
      <c r="H186" s="59">
        <v>1</v>
      </c>
      <c r="I186" s="59">
        <v>1</v>
      </c>
      <c r="J186" s="75">
        <f>K186</f>
        <v>28342.92</v>
      </c>
      <c r="K186" s="75">
        <v>28342.92</v>
      </c>
      <c r="L186" s="193"/>
      <c r="M186" s="193"/>
      <c r="N186" s="278">
        <f t="shared" si="110"/>
        <v>28342.92</v>
      </c>
      <c r="O186" s="278">
        <f>G186*K186</f>
        <v>28342.92</v>
      </c>
      <c r="P186" s="278"/>
      <c r="Q186" s="278"/>
      <c r="R186" s="282"/>
      <c r="S186" s="282"/>
      <c r="T186" s="46">
        <f t="shared" si="111"/>
        <v>28342.92</v>
      </c>
      <c r="U186" s="46">
        <f t="shared" si="112"/>
        <v>28342.92</v>
      </c>
    </row>
    <row r="187" spans="1:26" ht="82.8">
      <c r="A187" s="304"/>
      <c r="B187" s="305"/>
      <c r="C187" s="61" t="s">
        <v>173</v>
      </c>
      <c r="D187" s="64" t="s">
        <v>101</v>
      </c>
      <c r="E187" s="59">
        <v>1</v>
      </c>
      <c r="F187" s="59">
        <v>1</v>
      </c>
      <c r="G187" s="59">
        <v>1</v>
      </c>
      <c r="H187" s="59">
        <v>1</v>
      </c>
      <c r="I187" s="59">
        <v>1</v>
      </c>
      <c r="J187" s="75">
        <f>K187</f>
        <v>184833</v>
      </c>
      <c r="K187" s="75">
        <f>181015.32+1329.32+2488.36</f>
        <v>184833</v>
      </c>
      <c r="L187" s="349" t="s">
        <v>321</v>
      </c>
      <c r="M187" s="349" t="s">
        <v>347</v>
      </c>
      <c r="N187" s="278">
        <f t="shared" si="110"/>
        <v>216454.07053506002</v>
      </c>
      <c r="O187" s="278">
        <f>G187*K187</f>
        <v>184833</v>
      </c>
      <c r="P187" s="278">
        <f>G187*4001.99*2.411294+898.87</f>
        <v>10548.844475059999</v>
      </c>
      <c r="Q187" s="278"/>
      <c r="R187" s="278">
        <f>G187*11601.11606+2+9469.11</f>
        <v>21072.226060000001</v>
      </c>
      <c r="S187" s="282"/>
      <c r="T187" s="46">
        <f>N187+4093.45</f>
        <v>220547.52053506003</v>
      </c>
      <c r="U187" s="46">
        <f t="shared" si="112"/>
        <v>220547.52053506003</v>
      </c>
    </row>
    <row r="188" spans="1:26" ht="82.8">
      <c r="A188" s="304"/>
      <c r="B188" s="305"/>
      <c r="C188" s="61" t="s">
        <v>174</v>
      </c>
      <c r="D188" s="64" t="s">
        <v>101</v>
      </c>
      <c r="E188" s="59"/>
      <c r="F188" s="59"/>
      <c r="G188" s="59">
        <f t="shared" ref="G188" si="113">((E188*8)+(F188*4))/12</f>
        <v>0</v>
      </c>
      <c r="H188" s="59"/>
      <c r="I188" s="59"/>
      <c r="J188" s="75">
        <f>K188</f>
        <v>25930.91</v>
      </c>
      <c r="K188" s="75">
        <v>25930.91</v>
      </c>
      <c r="L188" s="278" t="s">
        <v>104</v>
      </c>
      <c r="M188" s="278" t="s">
        <v>104</v>
      </c>
      <c r="N188" s="278">
        <f t="shared" si="110"/>
        <v>0</v>
      </c>
      <c r="O188" s="278">
        <f>G188*K188</f>
        <v>0</v>
      </c>
      <c r="P188" s="278" t="s">
        <v>104</v>
      </c>
      <c r="Q188" s="278"/>
      <c r="R188" s="282" t="s">
        <v>104</v>
      </c>
      <c r="S188" s="282"/>
      <c r="T188" s="46">
        <f t="shared" si="111"/>
        <v>0</v>
      </c>
      <c r="U188" s="46">
        <f t="shared" si="112"/>
        <v>0</v>
      </c>
    </row>
    <row r="189" spans="1:26">
      <c r="A189" s="304"/>
      <c r="B189" s="305"/>
      <c r="C189" s="66" t="s">
        <v>106</v>
      </c>
      <c r="D189" s="67"/>
      <c r="E189" s="121" t="s">
        <v>294</v>
      </c>
      <c r="F189" s="121" t="s">
        <v>294</v>
      </c>
      <c r="G189" s="121" t="s">
        <v>294</v>
      </c>
      <c r="H189" s="121" t="s">
        <v>294</v>
      </c>
      <c r="I189" s="121" t="s">
        <v>294</v>
      </c>
      <c r="J189" s="71" t="s">
        <v>104</v>
      </c>
      <c r="K189" s="71" t="s">
        <v>104</v>
      </c>
      <c r="L189" s="278" t="s">
        <v>104</v>
      </c>
      <c r="M189" s="278" t="s">
        <v>104</v>
      </c>
      <c r="N189" s="278">
        <f>SUM(O189:R189)</f>
        <v>6257046.0554801002</v>
      </c>
      <c r="O189" s="278">
        <f>SUM(O182:O188)</f>
        <v>3569419.14</v>
      </c>
      <c r="P189" s="278">
        <f>SUM(P182:P188)</f>
        <v>896650.68038009992</v>
      </c>
      <c r="Q189" s="278"/>
      <c r="R189" s="278">
        <f t="shared" ref="R189:U189" si="114">SUM(R182:R188)</f>
        <v>1790976.2350999999</v>
      </c>
      <c r="S189" s="278"/>
      <c r="T189" s="278">
        <f>SUM(T182:T188)</f>
        <v>6562372.6554800989</v>
      </c>
      <c r="U189" s="278">
        <f t="shared" si="114"/>
        <v>6562372.6554800989</v>
      </c>
    </row>
    <row r="190" spans="1:26" ht="193.2">
      <c r="A190" s="304"/>
      <c r="B190" s="305" t="s">
        <v>238</v>
      </c>
      <c r="C190" s="61" t="s">
        <v>120</v>
      </c>
      <c r="D190" s="62" t="s">
        <v>121</v>
      </c>
      <c r="E190" s="121" t="s">
        <v>295</v>
      </c>
      <c r="F190" s="121" t="s">
        <v>295</v>
      </c>
      <c r="G190" s="121" t="s">
        <v>295</v>
      </c>
      <c r="H190" s="121" t="s">
        <v>295</v>
      </c>
      <c r="I190" s="121" t="s">
        <v>295</v>
      </c>
      <c r="J190" s="107" t="s">
        <v>329</v>
      </c>
      <c r="K190" s="107" t="s">
        <v>324</v>
      </c>
      <c r="L190" s="349" t="s">
        <v>321</v>
      </c>
      <c r="M190" s="349" t="s">
        <v>347</v>
      </c>
      <c r="N190" s="278">
        <f t="shared" ref="N190:N191" si="115">SUM(O190:R190)</f>
        <v>5212611.2385243196</v>
      </c>
      <c r="O190" s="278">
        <f>(((880020*3)/12*8+(880020*3)/12*4)+((1622.42*72)/12*8+(1622.42*72)/12*4))+(2488.36*72)</f>
        <v>2936036.16</v>
      </c>
      <c r="P190" s="278">
        <f>((4001.99*2.411294*72)/12*8)+((4001.99*2.411294*72)/12*4)+(898.87*72)</f>
        <v>759516.80220431986</v>
      </c>
      <c r="Q190" s="278"/>
      <c r="R190" s="278">
        <f>((11601.11606*72)/12*8)+((11601.11606*72)/12*4)+2+(9469.11*72)</f>
        <v>1517058.2763200002</v>
      </c>
      <c r="S190" s="278"/>
      <c r="T190" s="46">
        <f>N190+294728.7</f>
        <v>5507339.9385243198</v>
      </c>
      <c r="U190" s="46">
        <f>T190</f>
        <v>5507339.9385243198</v>
      </c>
      <c r="V190" s="124"/>
      <c r="W190" s="80">
        <f>12300.53*86</f>
        <v>1057845.58</v>
      </c>
    </row>
    <row r="191" spans="1:26" ht="179.4">
      <c r="A191" s="304"/>
      <c r="B191" s="305"/>
      <c r="C191" s="61" t="s">
        <v>128</v>
      </c>
      <c r="D191" s="62" t="s">
        <v>121</v>
      </c>
      <c r="E191" s="79" t="s">
        <v>296</v>
      </c>
      <c r="F191" s="79" t="s">
        <v>296</v>
      </c>
      <c r="G191" s="79" t="s">
        <v>296</v>
      </c>
      <c r="H191" s="79" t="s">
        <v>296</v>
      </c>
      <c r="I191" s="79" t="s">
        <v>296</v>
      </c>
      <c r="J191" s="107" t="s">
        <v>330</v>
      </c>
      <c r="K191" s="107" t="s">
        <v>325</v>
      </c>
      <c r="L191" s="349" t="s">
        <v>321</v>
      </c>
      <c r="M191" s="349" t="s">
        <v>347</v>
      </c>
      <c r="N191" s="278">
        <f t="shared" si="115"/>
        <v>3934055.2635426391</v>
      </c>
      <c r="O191" s="278">
        <f>(((787313.28*3)/12*8+(787313.28*3)/12*4)+((1622.42*44)/12*8+(1622.42*44)/12*4))+(2488.36*44)</f>
        <v>2542814.1599999997</v>
      </c>
      <c r="P191" s="278">
        <f>((4001.99*2.411294*44)/12*8)+((4001.99*2.411294*44)/12*4)+(898.87*44)</f>
        <v>464149.15690263989</v>
      </c>
      <c r="Q191" s="278"/>
      <c r="R191" s="278">
        <f>((11601.11606*44)/12*8)+((11601.11606*44)/12*4)+2+(9469.11*44)</f>
        <v>927091.94663999998</v>
      </c>
      <c r="S191" s="278"/>
      <c r="T191" s="46">
        <f>N191+180111.98</f>
        <v>4114167.2435426391</v>
      </c>
      <c r="U191" s="46">
        <f>T191</f>
        <v>4114167.2435426391</v>
      </c>
      <c r="W191" s="80">
        <f>12300.53*29</f>
        <v>356715.37</v>
      </c>
      <c r="X191" s="80">
        <f>1638.38+12011.78+(4001.99*2.3654)</f>
        <v>23116.467146000003</v>
      </c>
    </row>
    <row r="192" spans="1:26" ht="82.8">
      <c r="A192" s="304"/>
      <c r="B192" s="305"/>
      <c r="C192" s="63" t="s">
        <v>163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123" t="s">
        <v>104</v>
      </c>
      <c r="M192" s="123" t="s">
        <v>104</v>
      </c>
      <c r="N192" s="278"/>
      <c r="O192" s="278"/>
      <c r="P192" s="123" t="s">
        <v>104</v>
      </c>
      <c r="Q192" s="123"/>
      <c r="R192" s="123" t="s">
        <v>104</v>
      </c>
      <c r="S192" s="123"/>
      <c r="T192" s="46"/>
      <c r="U192" s="46"/>
    </row>
    <row r="193" spans="1:23">
      <c r="A193" s="304"/>
      <c r="B193" s="187"/>
      <c r="C193" s="63" t="s">
        <v>165</v>
      </c>
      <c r="D193" s="64"/>
      <c r="E193" s="60">
        <v>1</v>
      </c>
      <c r="F193" s="60">
        <v>1</v>
      </c>
      <c r="G193" s="60">
        <v>1</v>
      </c>
      <c r="H193" s="60">
        <v>1</v>
      </c>
      <c r="I193" s="60">
        <v>1</v>
      </c>
      <c r="J193" s="75">
        <f>K193</f>
        <v>112063.65</v>
      </c>
      <c r="K193" s="75">
        <v>112063.65</v>
      </c>
      <c r="L193" s="123" t="s">
        <v>104</v>
      </c>
      <c r="M193" s="123" t="s">
        <v>104</v>
      </c>
      <c r="N193" s="278">
        <f>O193</f>
        <v>112063.65</v>
      </c>
      <c r="O193" s="280">
        <f>G193*K193</f>
        <v>112063.65</v>
      </c>
      <c r="P193" s="123" t="s">
        <v>104</v>
      </c>
      <c r="Q193" s="123"/>
      <c r="R193" s="123" t="s">
        <v>104</v>
      </c>
      <c r="S193" s="123"/>
      <c r="T193" s="46">
        <f>H193*K193</f>
        <v>112063.65</v>
      </c>
      <c r="U193" s="46">
        <f>I193*K193</f>
        <v>112063.65</v>
      </c>
    </row>
    <row r="194" spans="1:23">
      <c r="A194" s="304"/>
      <c r="B194" s="187"/>
      <c r="C194" s="63" t="s">
        <v>168</v>
      </c>
      <c r="D194" s="64"/>
      <c r="E194" s="60">
        <v>1</v>
      </c>
      <c r="F194" s="60">
        <v>1</v>
      </c>
      <c r="G194" s="60">
        <v>1</v>
      </c>
      <c r="H194" s="60">
        <v>1</v>
      </c>
      <c r="I194" s="60">
        <v>1</v>
      </c>
      <c r="J194" s="75">
        <f>K194</f>
        <v>28342.92</v>
      </c>
      <c r="K194" s="75">
        <v>28342.92</v>
      </c>
      <c r="L194" s="351" t="s">
        <v>104</v>
      </c>
      <c r="M194" s="123" t="s">
        <v>104</v>
      </c>
      <c r="N194" s="278">
        <f>O194</f>
        <v>28342.92</v>
      </c>
      <c r="O194" s="280">
        <f>G194*K194</f>
        <v>28342.92</v>
      </c>
      <c r="P194" s="123" t="s">
        <v>104</v>
      </c>
      <c r="Q194" s="123"/>
      <c r="R194" s="123" t="s">
        <v>104</v>
      </c>
      <c r="S194" s="123"/>
      <c r="T194" s="46">
        <f>H194*K194</f>
        <v>28342.92</v>
      </c>
      <c r="U194" s="46">
        <f>I194*K194</f>
        <v>28342.92</v>
      </c>
    </row>
    <row r="195" spans="1:23" ht="82.8">
      <c r="A195" s="304"/>
      <c r="B195" s="187"/>
      <c r="C195" s="76" t="s">
        <v>173</v>
      </c>
      <c r="D195" s="64" t="s">
        <v>101</v>
      </c>
      <c r="E195" s="79"/>
      <c r="F195" s="79"/>
      <c r="G195" s="59"/>
      <c r="H195" s="79"/>
      <c r="I195" s="79"/>
      <c r="J195" s="75">
        <f>SUM(K195:M195)</f>
        <v>230021.4</v>
      </c>
      <c r="K195" s="75">
        <f>225910.62+1622.42+2488.36</f>
        <v>230021.4</v>
      </c>
      <c r="L195" s="349" t="s">
        <v>321</v>
      </c>
      <c r="M195" s="349" t="s">
        <v>346</v>
      </c>
      <c r="N195" s="280">
        <f>SUM(O195:R195)</f>
        <v>0</v>
      </c>
      <c r="O195" s="280">
        <f>G195*K195</f>
        <v>0</v>
      </c>
      <c r="P195" s="280">
        <f>G195*4001.99*2.3654</f>
        <v>0</v>
      </c>
      <c r="Q195" s="280"/>
      <c r="R195" s="280"/>
      <c r="S195" s="280"/>
      <c r="T195" s="46">
        <f>N195</f>
        <v>0</v>
      </c>
      <c r="U195" s="46">
        <f>T195</f>
        <v>0</v>
      </c>
    </row>
    <row r="196" spans="1:23" ht="82.8">
      <c r="A196" s="304"/>
      <c r="B196" s="187"/>
      <c r="C196" s="61" t="s">
        <v>174</v>
      </c>
      <c r="D196" s="64" t="s">
        <v>101</v>
      </c>
      <c r="E196" s="79">
        <v>2</v>
      </c>
      <c r="F196" s="79">
        <v>2</v>
      </c>
      <c r="G196" s="79">
        <v>2</v>
      </c>
      <c r="H196" s="79">
        <v>2</v>
      </c>
      <c r="I196" s="79">
        <v>2</v>
      </c>
      <c r="J196" s="75">
        <f>K196</f>
        <v>41057.29</v>
      </c>
      <c r="K196" s="75">
        <f>41057.29</f>
        <v>41057.29</v>
      </c>
      <c r="L196" s="194"/>
      <c r="M196" s="194"/>
      <c r="N196" s="280">
        <f>O196</f>
        <v>82114.58</v>
      </c>
      <c r="O196" s="280">
        <f>G196*K196</f>
        <v>82114.58</v>
      </c>
      <c r="P196" s="280"/>
      <c r="Q196" s="280"/>
      <c r="R196" s="280"/>
      <c r="S196" s="280"/>
      <c r="T196" s="46">
        <f>H196*K196</f>
        <v>82114.58</v>
      </c>
      <c r="U196" s="46">
        <f>I196*K196</f>
        <v>82114.58</v>
      </c>
    </row>
    <row r="197" spans="1:23">
      <c r="A197" s="304"/>
      <c r="B197" s="187"/>
      <c r="C197" s="66" t="s">
        <v>106</v>
      </c>
      <c r="D197" s="64"/>
      <c r="E197" s="77" t="s">
        <v>202</v>
      </c>
      <c r="F197" s="77" t="s">
        <v>202</v>
      </c>
      <c r="G197" s="77" t="s">
        <v>202</v>
      </c>
      <c r="H197" s="77" t="s">
        <v>202</v>
      </c>
      <c r="I197" s="77" t="s">
        <v>202</v>
      </c>
      <c r="J197" s="73" t="s">
        <v>104</v>
      </c>
      <c r="K197" s="73" t="s">
        <v>104</v>
      </c>
      <c r="L197" s="194" t="s">
        <v>104</v>
      </c>
      <c r="M197" s="194" t="s">
        <v>104</v>
      </c>
      <c r="N197" s="194">
        <f>SUM(O197:R197)</f>
        <v>9369187.6520669609</v>
      </c>
      <c r="O197" s="194">
        <f>SUM(O190:O196)</f>
        <v>5701371.4700000007</v>
      </c>
      <c r="P197" s="194">
        <f>SUM(P190:P196)</f>
        <v>1223665.9591069599</v>
      </c>
      <c r="Q197" s="194"/>
      <c r="R197" s="194">
        <f t="shared" ref="R197" si="116">SUM(R190:R196)</f>
        <v>2444150.2229599999</v>
      </c>
      <c r="S197" s="194"/>
      <c r="T197" s="278">
        <f>SUM(T190:T196)</f>
        <v>9844028.3320669588</v>
      </c>
      <c r="U197" s="194">
        <f>T197</f>
        <v>9844028.3320669588</v>
      </c>
    </row>
    <row r="198" spans="1:23" ht="179.4">
      <c r="A198" s="304"/>
      <c r="B198" s="189" t="s">
        <v>239</v>
      </c>
      <c r="C198" s="61" t="s">
        <v>128</v>
      </c>
      <c r="D198" s="62" t="s">
        <v>121</v>
      </c>
      <c r="E198" s="121" t="s">
        <v>149</v>
      </c>
      <c r="F198" s="121" t="s">
        <v>149</v>
      </c>
      <c r="G198" s="121" t="s">
        <v>149</v>
      </c>
      <c r="H198" s="121" t="s">
        <v>149</v>
      </c>
      <c r="I198" s="121" t="s">
        <v>149</v>
      </c>
      <c r="J198" s="107" t="s">
        <v>331</v>
      </c>
      <c r="K198" s="107" t="s">
        <v>326</v>
      </c>
      <c r="L198" s="349" t="s">
        <v>321</v>
      </c>
      <c r="M198" s="349" t="s">
        <v>347</v>
      </c>
      <c r="N198" s="280">
        <f>SUM(O198:R198)</f>
        <v>2295544.6890960201</v>
      </c>
      <c r="O198" s="278">
        <f>(841148.96*2)+((1965.79*17)/12*8+(1965.79*17)/12*4)+(2488.36*17)</f>
        <v>1758018.47</v>
      </c>
      <c r="P198" s="280">
        <f>((17*4001.99*2.411294)/12*8)+((17*4001.99*2.411294)/12*4)+(898.87*17)</f>
        <v>179330.35607601999</v>
      </c>
      <c r="Q198" s="280"/>
      <c r="R198" s="46">
        <f>11601.11606*17+2+(9469.11*17)+0.02</f>
        <v>358195.86302000005</v>
      </c>
      <c r="S198" s="46"/>
      <c r="T198" s="46">
        <f>N198+69588.72</f>
        <v>2365133.4090960203</v>
      </c>
      <c r="U198" s="46">
        <f>T198</f>
        <v>2365133.4090960203</v>
      </c>
    </row>
    <row r="199" spans="1:23" ht="82.8">
      <c r="A199" s="304"/>
      <c r="B199" s="187"/>
      <c r="C199" s="63" t="s">
        <v>163</v>
      </c>
      <c r="D199" s="64" t="s">
        <v>101</v>
      </c>
      <c r="E199" s="121"/>
      <c r="F199" s="121"/>
      <c r="G199" s="121"/>
      <c r="H199" s="121"/>
      <c r="I199" s="121"/>
      <c r="J199" s="107"/>
      <c r="K199" s="107"/>
      <c r="L199" s="349"/>
      <c r="M199" s="349"/>
      <c r="N199" s="280"/>
      <c r="O199" s="278"/>
      <c r="P199" s="280"/>
      <c r="Q199" s="280"/>
      <c r="R199" s="46"/>
      <c r="S199" s="46"/>
      <c r="T199" s="46"/>
      <c r="U199" s="46"/>
    </row>
    <row r="200" spans="1:23">
      <c r="A200" s="304"/>
      <c r="B200" s="187"/>
      <c r="C200" s="63" t="s">
        <v>165</v>
      </c>
      <c r="D200" s="64" t="s">
        <v>101</v>
      </c>
      <c r="E200" s="121"/>
      <c r="F200" s="121"/>
      <c r="G200" s="59"/>
      <c r="H200" s="121"/>
      <c r="I200" s="121"/>
      <c r="J200" s="107">
        <f>K200</f>
        <v>112063.65</v>
      </c>
      <c r="K200" s="107">
        <v>112063.65</v>
      </c>
      <c r="L200" s="349"/>
      <c r="M200" s="349"/>
      <c r="N200" s="280">
        <f>O200</f>
        <v>0</v>
      </c>
      <c r="O200" s="278">
        <f>K200*G200</f>
        <v>0</v>
      </c>
      <c r="P200" s="280"/>
      <c r="Q200" s="280"/>
      <c r="R200" s="46"/>
      <c r="S200" s="46"/>
      <c r="T200" s="46">
        <f>G200*K200</f>
        <v>0</v>
      </c>
      <c r="U200" s="46">
        <f>T200</f>
        <v>0</v>
      </c>
    </row>
    <row r="201" spans="1:23">
      <c r="A201" s="304"/>
      <c r="B201" s="187"/>
      <c r="C201" s="63" t="s">
        <v>168</v>
      </c>
      <c r="D201" s="64" t="s">
        <v>101</v>
      </c>
      <c r="E201" s="121">
        <v>1</v>
      </c>
      <c r="F201" s="121">
        <v>1</v>
      </c>
      <c r="G201" s="121">
        <v>1</v>
      </c>
      <c r="H201" s="121">
        <v>1</v>
      </c>
      <c r="I201" s="121">
        <v>1</v>
      </c>
      <c r="J201" s="107">
        <f>K201</f>
        <v>28342.92</v>
      </c>
      <c r="K201" s="107">
        <v>28342.92</v>
      </c>
      <c r="L201" s="349"/>
      <c r="M201" s="349"/>
      <c r="N201" s="280">
        <f>O201</f>
        <v>28342.92</v>
      </c>
      <c r="O201" s="278">
        <f>K201*G201</f>
        <v>28342.92</v>
      </c>
      <c r="P201" s="280"/>
      <c r="Q201" s="280"/>
      <c r="R201" s="46"/>
      <c r="S201" s="46"/>
      <c r="T201" s="46">
        <f>G201*K201</f>
        <v>28342.92</v>
      </c>
      <c r="U201" s="46">
        <f>T201</f>
        <v>28342.92</v>
      </c>
    </row>
    <row r="202" spans="1:23">
      <c r="A202" s="304"/>
      <c r="B202" s="187"/>
      <c r="C202" s="66" t="s">
        <v>106</v>
      </c>
      <c r="D202" s="64"/>
      <c r="E202" s="121" t="str">
        <f>E198</f>
        <v>2\17</v>
      </c>
      <c r="F202" s="121" t="str">
        <f>F198</f>
        <v>2\17</v>
      </c>
      <c r="G202" s="121" t="str">
        <f>G198</f>
        <v>2\17</v>
      </c>
      <c r="H202" s="121" t="str">
        <f>H198</f>
        <v>2\17</v>
      </c>
      <c r="I202" s="121" t="str">
        <f>I198</f>
        <v>2\17</v>
      </c>
      <c r="J202" s="73" t="s">
        <v>104</v>
      </c>
      <c r="K202" s="73" t="s">
        <v>104</v>
      </c>
      <c r="L202" s="194" t="s">
        <v>104</v>
      </c>
      <c r="M202" s="194" t="s">
        <v>104</v>
      </c>
      <c r="N202" s="194">
        <f>SUM(N198:N201)</f>
        <v>2323887.60909602</v>
      </c>
      <c r="O202" s="194">
        <f>SUM(O198:O201)</f>
        <v>1786361.39</v>
      </c>
      <c r="P202" s="194">
        <f t="shared" ref="P202:U202" si="117">SUM(P198:P201)</f>
        <v>179330.35607601999</v>
      </c>
      <c r="Q202" s="194"/>
      <c r="R202" s="194">
        <f>SUM(R198:R201)</f>
        <v>358195.86302000005</v>
      </c>
      <c r="S202" s="194"/>
      <c r="T202" s="194">
        <f>SUM(T198:T201)</f>
        <v>2393476.3290960202</v>
      </c>
      <c r="U202" s="194">
        <f t="shared" si="117"/>
        <v>2393476.3290960202</v>
      </c>
    </row>
    <row r="203" spans="1:23" ht="102" customHeight="1">
      <c r="A203" s="304"/>
      <c r="B203" s="137" t="s">
        <v>240</v>
      </c>
      <c r="C203" s="61" t="s">
        <v>186</v>
      </c>
      <c r="D203" s="64" t="s">
        <v>101</v>
      </c>
      <c r="E203" s="60">
        <v>299</v>
      </c>
      <c r="F203" s="60">
        <v>299</v>
      </c>
      <c r="G203" s="60">
        <v>299</v>
      </c>
      <c r="H203" s="60">
        <v>299</v>
      </c>
      <c r="I203" s="60">
        <v>299</v>
      </c>
      <c r="J203" s="75">
        <f>K203</f>
        <v>4982.75</v>
      </c>
      <c r="K203" s="75">
        <v>4982.75</v>
      </c>
      <c r="L203" s="193" t="s">
        <v>104</v>
      </c>
      <c r="M203" s="193" t="s">
        <v>104</v>
      </c>
      <c r="N203" s="280">
        <f>SUM(O203:R203)</f>
        <v>1495847</v>
      </c>
      <c r="O203" s="280">
        <f>K203*G203+0.75+6004</f>
        <v>1495847</v>
      </c>
      <c r="P203" s="280" t="s">
        <v>104</v>
      </c>
      <c r="Q203" s="280"/>
      <c r="R203" s="280" t="s">
        <v>104</v>
      </c>
      <c r="S203" s="280"/>
      <c r="T203" s="46">
        <f>N203</f>
        <v>1495847</v>
      </c>
      <c r="U203" s="46">
        <f t="shared" ref="U203:U210" si="118">T203</f>
        <v>1495847</v>
      </c>
      <c r="V203" s="80">
        <v>20295724.32</v>
      </c>
      <c r="W203" s="85">
        <f>T212-V203</f>
        <v>-3.3569224178791046E-3</v>
      </c>
    </row>
    <row r="204" spans="1:23">
      <c r="A204" s="304"/>
      <c r="B204" s="69"/>
      <c r="C204" s="66" t="s">
        <v>106</v>
      </c>
      <c r="D204" s="69"/>
      <c r="E204" s="60">
        <f>SUM(E203:E203)</f>
        <v>299</v>
      </c>
      <c r="F204" s="60">
        <f>SUM(F203:F203)</f>
        <v>299</v>
      </c>
      <c r="G204" s="60">
        <f>SUM(G203:G203)</f>
        <v>299</v>
      </c>
      <c r="H204" s="60">
        <f>SUM(H203:H203)</f>
        <v>299</v>
      </c>
      <c r="I204" s="60">
        <f>SUM(I203:I203)</f>
        <v>299</v>
      </c>
      <c r="J204" s="74" t="s">
        <v>104</v>
      </c>
      <c r="K204" s="74" t="s">
        <v>104</v>
      </c>
      <c r="L204" s="194" t="s">
        <v>104</v>
      </c>
      <c r="M204" s="194">
        <f t="shared" ref="M204:R204" si="119">SUM(M203:M203)</f>
        <v>0</v>
      </c>
      <c r="N204" s="194">
        <f t="shared" si="119"/>
        <v>1495847</v>
      </c>
      <c r="O204" s="194">
        <f t="shared" si="119"/>
        <v>1495847</v>
      </c>
      <c r="P204" s="194">
        <f t="shared" si="119"/>
        <v>0</v>
      </c>
      <c r="Q204" s="194"/>
      <c r="R204" s="194">
        <f t="shared" si="119"/>
        <v>0</v>
      </c>
      <c r="S204" s="194"/>
      <c r="T204" s="194">
        <f>N204</f>
        <v>1495847</v>
      </c>
      <c r="U204" s="46">
        <f t="shared" si="118"/>
        <v>1495847</v>
      </c>
    </row>
    <row r="205" spans="1:23" hidden="1">
      <c r="A205" s="304"/>
      <c r="B205" s="69" t="s">
        <v>292</v>
      </c>
      <c r="C205" s="66" t="s">
        <v>226</v>
      </c>
      <c r="D205" s="69"/>
      <c r="E205" s="60"/>
      <c r="F205" s="60"/>
      <c r="G205" s="60"/>
      <c r="H205" s="60"/>
      <c r="I205" s="60"/>
      <c r="J205" s="74"/>
      <c r="K205" s="74"/>
      <c r="L205" s="194"/>
      <c r="M205" s="194"/>
      <c r="N205" s="194">
        <f>P205</f>
        <v>0</v>
      </c>
      <c r="O205" s="194"/>
      <c r="P205" s="194"/>
      <c r="Q205" s="194"/>
      <c r="R205" s="194"/>
      <c r="S205" s="194"/>
      <c r="T205" s="194">
        <f>P205</f>
        <v>0</v>
      </c>
      <c r="U205" s="194">
        <f t="shared" si="118"/>
        <v>0</v>
      </c>
    </row>
    <row r="206" spans="1:23" hidden="1">
      <c r="A206" s="304"/>
      <c r="B206" s="89" t="s">
        <v>225</v>
      </c>
      <c r="C206" s="183" t="s">
        <v>219</v>
      </c>
      <c r="D206" s="64" t="s">
        <v>101</v>
      </c>
      <c r="E206" s="60">
        <v>11</v>
      </c>
      <c r="F206" s="60">
        <v>11</v>
      </c>
      <c r="G206" s="60">
        <v>11</v>
      </c>
      <c r="H206" s="60">
        <v>11</v>
      </c>
      <c r="I206" s="60">
        <v>11</v>
      </c>
      <c r="J206" s="74"/>
      <c r="K206" s="74"/>
      <c r="L206" s="194"/>
      <c r="M206" s="194"/>
      <c r="N206" s="194">
        <f>S206</f>
        <v>0</v>
      </c>
      <c r="O206" s="194"/>
      <c r="P206" s="194"/>
      <c r="Q206" s="194"/>
      <c r="R206" s="194"/>
      <c r="S206" s="194"/>
      <c r="T206" s="194">
        <f>S206</f>
        <v>0</v>
      </c>
      <c r="U206" s="194">
        <f t="shared" si="118"/>
        <v>0</v>
      </c>
    </row>
    <row r="207" spans="1:23" hidden="1">
      <c r="A207" s="304"/>
      <c r="B207" s="89" t="s">
        <v>225</v>
      </c>
      <c r="C207" s="183" t="s">
        <v>226</v>
      </c>
      <c r="D207" s="64" t="s">
        <v>101</v>
      </c>
      <c r="E207" s="60"/>
      <c r="F207" s="60"/>
      <c r="G207" s="60"/>
      <c r="H207" s="60"/>
      <c r="I207" s="60"/>
      <c r="J207" s="74"/>
      <c r="K207" s="74"/>
      <c r="L207" s="194"/>
      <c r="M207" s="194"/>
      <c r="N207" s="194">
        <f>Q207</f>
        <v>0</v>
      </c>
      <c r="O207" s="194"/>
      <c r="P207" s="194"/>
      <c r="Q207" s="194"/>
      <c r="R207" s="194"/>
      <c r="S207" s="194"/>
      <c r="T207" s="194"/>
      <c r="U207" s="194"/>
    </row>
    <row r="208" spans="1:23" hidden="1">
      <c r="A208" s="304"/>
      <c r="B208" s="89" t="s">
        <v>291</v>
      </c>
      <c r="C208" s="183" t="s">
        <v>219</v>
      </c>
      <c r="D208" s="64"/>
      <c r="E208" s="60"/>
      <c r="F208" s="60"/>
      <c r="G208" s="60"/>
      <c r="H208" s="60"/>
      <c r="I208" s="60"/>
      <c r="J208" s="74"/>
      <c r="K208" s="74"/>
      <c r="L208" s="194"/>
      <c r="M208" s="194"/>
      <c r="N208" s="194">
        <f t="shared" ref="N208" si="120">S208</f>
        <v>0</v>
      </c>
      <c r="O208" s="194"/>
      <c r="P208" s="194"/>
      <c r="Q208" s="194"/>
      <c r="R208" s="194"/>
      <c r="S208" s="194"/>
      <c r="T208" s="194"/>
      <c r="U208" s="194"/>
    </row>
    <row r="209" spans="1:24" hidden="1">
      <c r="A209" s="304"/>
      <c r="B209" s="89" t="s">
        <v>307</v>
      </c>
      <c r="C209" s="183" t="s">
        <v>226</v>
      </c>
      <c r="D209" s="64"/>
      <c r="E209" s="60"/>
      <c r="F209" s="60"/>
      <c r="G209" s="60">
        <v>12</v>
      </c>
      <c r="H209" s="60">
        <v>12</v>
      </c>
      <c r="I209" s="60">
        <v>12</v>
      </c>
      <c r="J209" s="74"/>
      <c r="K209" s="74"/>
      <c r="L209" s="194"/>
      <c r="M209" s="194"/>
      <c r="N209" s="194">
        <f>O209</f>
        <v>0</v>
      </c>
      <c r="O209" s="194"/>
      <c r="P209" s="194"/>
      <c r="Q209" s="194"/>
      <c r="R209" s="194"/>
      <c r="S209" s="194"/>
      <c r="T209" s="194"/>
      <c r="U209" s="194">
        <f>T209</f>
        <v>0</v>
      </c>
    </row>
    <row r="210" spans="1:24" hidden="1">
      <c r="A210" s="304"/>
      <c r="B210" s="89" t="s">
        <v>259</v>
      </c>
      <c r="C210" s="183" t="s">
        <v>226</v>
      </c>
      <c r="D210" s="64"/>
      <c r="E210" s="60"/>
      <c r="F210" s="60"/>
      <c r="G210" s="60"/>
      <c r="H210" s="60"/>
      <c r="I210" s="60"/>
      <c r="J210" s="74"/>
      <c r="K210" s="74"/>
      <c r="L210" s="194"/>
      <c r="M210" s="194"/>
      <c r="N210" s="194">
        <f>O210</f>
        <v>0</v>
      </c>
      <c r="O210" s="194"/>
      <c r="P210" s="194"/>
      <c r="Q210" s="194"/>
      <c r="R210" s="194"/>
      <c r="S210" s="194"/>
      <c r="T210" s="194">
        <f>O210</f>
        <v>0</v>
      </c>
      <c r="U210" s="194">
        <f t="shared" si="118"/>
        <v>0</v>
      </c>
    </row>
    <row r="211" spans="1:24" hidden="1">
      <c r="A211" s="304"/>
      <c r="B211" s="89" t="s">
        <v>308</v>
      </c>
      <c r="C211" s="183" t="s">
        <v>226</v>
      </c>
      <c r="D211" s="64"/>
      <c r="E211" s="60"/>
      <c r="F211" s="60"/>
      <c r="G211" s="60"/>
      <c r="H211" s="60"/>
      <c r="I211" s="60"/>
      <c r="J211" s="74"/>
      <c r="K211" s="74"/>
      <c r="L211" s="194"/>
      <c r="M211" s="194"/>
      <c r="N211" s="194">
        <f>P211</f>
        <v>0</v>
      </c>
      <c r="O211" s="194"/>
      <c r="P211" s="194"/>
      <c r="Q211" s="194"/>
      <c r="R211" s="194"/>
      <c r="S211" s="194"/>
      <c r="T211" s="194"/>
      <c r="U211" s="194">
        <f>T211</f>
        <v>0</v>
      </c>
    </row>
    <row r="212" spans="1:24">
      <c r="A212" s="304"/>
      <c r="B212" s="101" t="s">
        <v>112</v>
      </c>
      <c r="C212" s="101"/>
      <c r="D212" s="69"/>
      <c r="E212" s="103"/>
      <c r="F212" s="103"/>
      <c r="G212" s="102">
        <f>85+116+17</f>
        <v>218</v>
      </c>
      <c r="H212" s="102">
        <f>85+116+17</f>
        <v>218</v>
      </c>
      <c r="I212" s="102">
        <f>85+116+17</f>
        <v>218</v>
      </c>
      <c r="J212" s="103"/>
      <c r="K212" s="103"/>
      <c r="L212" s="138"/>
      <c r="M212" s="138"/>
      <c r="N212" s="138">
        <f>SUM(O212:S212)</f>
        <v>19445968.316643082</v>
      </c>
      <c r="O212" s="138">
        <f>O189+O197+O202+O204+O209+O210</f>
        <v>12552999.000000002</v>
      </c>
      <c r="P212" s="138">
        <f>P189+P197+P202+P204+P205+P206+P207+P211</f>
        <v>2299646.9955630796</v>
      </c>
      <c r="Q212" s="138">
        <f t="shared" ref="Q212" si="121">Q189+Q197+Q202+Q204+Q205+Q206+Q207</f>
        <v>0</v>
      </c>
      <c r="R212" s="138">
        <f>R189+R197+R202+R204+R205+R206+R207+R208</f>
        <v>4593322.3210800001</v>
      </c>
      <c r="S212" s="138">
        <f>S189+S197+S202+S204+S205+S206+S207+S208</f>
        <v>0</v>
      </c>
      <c r="T212" s="138">
        <f>T189+T197+T202+T204+T205+T206+T207+T208+T209+T210+T211</f>
        <v>20295724.316643078</v>
      </c>
      <c r="U212" s="138">
        <f>U189+U197+U202+U204+U205+U206+U207+U208+U209+U210+U211</f>
        <v>20295724.316643078</v>
      </c>
      <c r="V212" s="80">
        <v>2496055.3199999998</v>
      </c>
      <c r="W212" s="85">
        <f>V212-R212</f>
        <v>-2097267.0010800003</v>
      </c>
      <c r="X212" s="80">
        <f>W212/I212</f>
        <v>-9620.4908306422039</v>
      </c>
    </row>
    <row r="213" spans="1:24" ht="27" customHeight="1">
      <c r="B213" s="328" t="s">
        <v>231</v>
      </c>
      <c r="C213" s="329"/>
      <c r="D213" s="329"/>
      <c r="E213" s="329"/>
      <c r="F213" s="329"/>
      <c r="G213" s="329"/>
      <c r="H213" s="329"/>
      <c r="I213" s="329"/>
      <c r="J213" s="329"/>
      <c r="K213" s="329"/>
      <c r="L213" s="329"/>
      <c r="M213" s="330"/>
      <c r="N213" s="283">
        <f>N212+N181+N144+N109+N77+N46-0.01</f>
        <v>220662493.85760805</v>
      </c>
      <c r="O213" s="283">
        <f t="shared" ref="O213:S213" si="122">O212+O181+O144+O109+O77+O46</f>
        <v>143276434</v>
      </c>
      <c r="P213" s="283">
        <f t="shared" si="122"/>
        <v>34675370.004669458</v>
      </c>
      <c r="Q213" s="283">
        <f t="shared" si="122"/>
        <v>0</v>
      </c>
      <c r="R213" s="283">
        <f t="shared" si="122"/>
        <v>42710689.862938583</v>
      </c>
      <c r="S213" s="283">
        <f t="shared" si="122"/>
        <v>0</v>
      </c>
      <c r="T213" s="283">
        <f>T212+T181+T144+T109+T77+T46-0.01</f>
        <v>229831453.85760805</v>
      </c>
      <c r="U213" s="283">
        <f>U212+U181+U144+U109+U77+U46-0.01</f>
        <v>229831453.85760805</v>
      </c>
      <c r="X213" s="70" t="s">
        <v>252</v>
      </c>
    </row>
    <row r="214" spans="1:24">
      <c r="A214" s="80" t="s">
        <v>233</v>
      </c>
      <c r="T214" s="284"/>
      <c r="U214" s="284"/>
    </row>
    <row r="215" spans="1:24">
      <c r="A215" s="80" t="s">
        <v>178</v>
      </c>
      <c r="O215" s="196"/>
      <c r="T215" s="196"/>
    </row>
    <row r="216" spans="1:24">
      <c r="O216" s="196"/>
      <c r="T216" s="196"/>
      <c r="U216" s="196"/>
      <c r="X216" s="80">
        <f>12601.84959-590.0704652-587.990779</f>
        <v>11423.7883458</v>
      </c>
    </row>
    <row r="217" spans="1:24">
      <c r="O217" s="196"/>
      <c r="R217" s="196"/>
      <c r="S217" s="196"/>
      <c r="V217" s="85"/>
    </row>
    <row r="218" spans="1:24">
      <c r="O218" s="196"/>
      <c r="P218" s="196"/>
      <c r="R218" s="196"/>
    </row>
    <row r="219" spans="1:24">
      <c r="O219" s="196"/>
      <c r="P219" s="196"/>
      <c r="R219" s="196"/>
      <c r="T219" s="196"/>
    </row>
    <row r="220" spans="1:24">
      <c r="O220" s="196"/>
      <c r="P220" s="196"/>
    </row>
    <row r="221" spans="1:24">
      <c r="O221" s="196"/>
      <c r="P221" s="196"/>
    </row>
    <row r="222" spans="1:24">
      <c r="O222" s="196"/>
      <c r="P222" s="196"/>
    </row>
    <row r="223" spans="1:24">
      <c r="O223" s="196"/>
      <c r="P223" s="196"/>
    </row>
    <row r="224" spans="1:24">
      <c r="O224" s="196"/>
      <c r="P224" s="196"/>
    </row>
    <row r="225" spans="15:18">
      <c r="O225" s="196"/>
      <c r="P225" s="196"/>
    </row>
    <row r="226" spans="15:18">
      <c r="O226" s="196"/>
      <c r="P226" s="196"/>
    </row>
    <row r="227" spans="15:18">
      <c r="O227" s="196"/>
      <c r="P227" s="196"/>
    </row>
    <row r="228" spans="15:18">
      <c r="O228" s="196"/>
      <c r="P228" s="196"/>
    </row>
    <row r="229" spans="15:18">
      <c r="O229" s="196"/>
      <c r="P229" s="196"/>
    </row>
    <row r="230" spans="15:18">
      <c r="O230" s="196"/>
      <c r="P230" s="196"/>
    </row>
    <row r="231" spans="15:18">
      <c r="O231" s="196"/>
      <c r="P231" s="196"/>
    </row>
    <row r="232" spans="15:18">
      <c r="R232" s="196"/>
    </row>
    <row r="233" spans="15:18">
      <c r="R233" s="196"/>
    </row>
    <row r="234" spans="15:18">
      <c r="O234" s="196"/>
      <c r="R234" s="196"/>
    </row>
    <row r="255" spans="15:17">
      <c r="O255" s="196"/>
      <c r="P255" s="196"/>
      <c r="Q255" s="196"/>
    </row>
    <row r="256" spans="15:17">
      <c r="O256" s="196"/>
      <c r="P256" s="196"/>
      <c r="Q256" s="196"/>
    </row>
    <row r="257" spans="1:17">
      <c r="O257" s="196"/>
      <c r="P257" s="196"/>
      <c r="Q257" s="196"/>
    </row>
    <row r="260" spans="1:17">
      <c r="O260" s="196"/>
    </row>
    <row r="262" spans="1:17">
      <c r="H262" s="80">
        <v>2</v>
      </c>
    </row>
    <row r="263" spans="1:17" hidden="1">
      <c r="C263" s="184"/>
      <c r="D263" s="180">
        <v>286</v>
      </c>
      <c r="E263" s="180"/>
      <c r="F263" s="180"/>
      <c r="G263" s="180">
        <v>3</v>
      </c>
      <c r="H263" s="180">
        <v>244</v>
      </c>
      <c r="I263" s="180">
        <v>46</v>
      </c>
      <c r="J263" s="180">
        <v>69</v>
      </c>
      <c r="K263" s="180">
        <f>D263+G263+H263+I263+J263</f>
        <v>648</v>
      </c>
      <c r="L263" s="192" t="s">
        <v>313</v>
      </c>
      <c r="M263" s="192" t="s">
        <v>314</v>
      </c>
      <c r="N263" s="192" t="s">
        <v>315</v>
      </c>
    </row>
    <row r="264" spans="1:17" ht="27.6" hidden="1">
      <c r="A264" s="80" t="s">
        <v>312</v>
      </c>
      <c r="B264" s="214" t="s">
        <v>292</v>
      </c>
      <c r="C264" s="235">
        <v>118131</v>
      </c>
      <c r="D264" s="236"/>
      <c r="E264" s="234"/>
      <c r="F264" s="234"/>
      <c r="G264" s="234"/>
      <c r="H264" s="234"/>
      <c r="I264" s="234"/>
      <c r="J264" s="234"/>
      <c r="K264" s="234"/>
      <c r="L264" s="196">
        <f>(C264+C270)</f>
        <v>522719</v>
      </c>
      <c r="M264" s="196">
        <f>(C268+C269)</f>
        <v>1356154</v>
      </c>
      <c r="N264" s="196">
        <f>(C265+C267)</f>
        <v>3584396</v>
      </c>
      <c r="O264" s="196">
        <f>L264+M264+N264</f>
        <v>5463269</v>
      </c>
    </row>
    <row r="265" spans="1:17" hidden="1">
      <c r="B265" s="89" t="s">
        <v>225</v>
      </c>
      <c r="C265" s="235">
        <v>3308494</v>
      </c>
      <c r="D265" s="236"/>
      <c r="E265" s="234"/>
      <c r="F265" s="234"/>
      <c r="G265" s="234"/>
      <c r="H265" s="234"/>
      <c r="I265" s="234"/>
      <c r="J265" s="234"/>
      <c r="K265" s="234"/>
      <c r="L265" s="196">
        <f>L264/K263</f>
        <v>806.66512345679007</v>
      </c>
      <c r="M265" s="196">
        <f>M264/K263</f>
        <v>2092.8302469135801</v>
      </c>
      <c r="N265" s="196">
        <f>N264/K263</f>
        <v>5531.4753086419751</v>
      </c>
    </row>
    <row r="266" spans="1:17" hidden="1">
      <c r="B266" s="89" t="s">
        <v>225</v>
      </c>
      <c r="C266" s="235"/>
      <c r="D266" s="236"/>
      <c r="E266" s="234"/>
      <c r="F266" s="234"/>
      <c r="G266" s="234"/>
      <c r="H266" s="234"/>
      <c r="I266" s="234"/>
      <c r="J266" s="234"/>
      <c r="K266" s="234"/>
      <c r="L266" s="196"/>
    </row>
    <row r="267" spans="1:17" hidden="1">
      <c r="B267" s="89" t="s">
        <v>291</v>
      </c>
      <c r="C267" s="235">
        <v>275902</v>
      </c>
      <c r="D267" s="236"/>
      <c r="E267" s="234"/>
      <c r="F267" s="234"/>
      <c r="G267" s="234"/>
      <c r="H267" s="234"/>
      <c r="I267" s="234"/>
      <c r="J267" s="234"/>
      <c r="K267" s="234"/>
      <c r="L267" s="196">
        <f>C264+691346</f>
        <v>809477</v>
      </c>
      <c r="M267" s="196">
        <f>C269+3249792</f>
        <v>3522682</v>
      </c>
      <c r="N267" s="196">
        <f>C265</f>
        <v>3308494</v>
      </c>
    </row>
    <row r="268" spans="1:17" hidden="1">
      <c r="B268" s="89" t="s">
        <v>307</v>
      </c>
      <c r="C268" s="235">
        <v>1083264</v>
      </c>
      <c r="D268" s="234"/>
      <c r="E268" s="234"/>
      <c r="F268" s="234"/>
      <c r="G268" s="234"/>
      <c r="H268" s="234"/>
      <c r="I268" s="234"/>
      <c r="J268" s="234"/>
      <c r="K268" s="234"/>
      <c r="L268" s="196">
        <f>L267-L264</f>
        <v>286758</v>
      </c>
      <c r="M268" s="196">
        <f>M267-M264</f>
        <v>2166528</v>
      </c>
      <c r="N268" s="196">
        <f>N267-N264</f>
        <v>-275902</v>
      </c>
    </row>
    <row r="269" spans="1:17" hidden="1">
      <c r="B269" s="89" t="s">
        <v>259</v>
      </c>
      <c r="C269" s="235">
        <v>272890</v>
      </c>
      <c r="D269" s="234"/>
      <c r="E269" s="234"/>
      <c r="F269" s="234"/>
      <c r="G269" s="234"/>
      <c r="H269" s="234"/>
      <c r="I269" s="234"/>
      <c r="J269" s="234"/>
      <c r="K269" s="234"/>
      <c r="L269" s="196">
        <f>L268/K263</f>
        <v>442.52777777777777</v>
      </c>
      <c r="M269" s="196">
        <f>M268/K263</f>
        <v>3343.4074074074074</v>
      </c>
      <c r="N269" s="196">
        <f>N268/K263</f>
        <v>-425.77469135802471</v>
      </c>
    </row>
    <row r="270" spans="1:17" hidden="1">
      <c r="B270" s="89" t="s">
        <v>308</v>
      </c>
      <c r="C270" s="235">
        <v>404588</v>
      </c>
      <c r="D270" s="234"/>
      <c r="E270" s="234"/>
      <c r="F270" s="234"/>
      <c r="G270" s="234"/>
      <c r="H270" s="234"/>
      <c r="I270" s="234"/>
      <c r="J270" s="234"/>
      <c r="K270" s="234"/>
      <c r="L270" s="196">
        <f>D263*L269</f>
        <v>126562.94444444444</v>
      </c>
      <c r="M270" s="196">
        <f>D263*M269</f>
        <v>956214.51851851854</v>
      </c>
      <c r="N270" s="196">
        <f>D263*N269</f>
        <v>-121771.56172839507</v>
      </c>
      <c r="O270" s="196">
        <f>L270+M270+N270</f>
        <v>961005.90123456786</v>
      </c>
    </row>
    <row r="271" spans="1:17" hidden="1">
      <c r="B271" s="101" t="s">
        <v>112</v>
      </c>
      <c r="C271" s="235">
        <f>SUM(C264:C270)</f>
        <v>5463269</v>
      </c>
      <c r="D271" s="234"/>
      <c r="E271" s="234"/>
      <c r="F271" s="234"/>
      <c r="G271" s="234"/>
      <c r="H271" s="234"/>
      <c r="I271" s="234"/>
      <c r="J271" s="234"/>
      <c r="K271" s="234"/>
      <c r="L271" s="196">
        <f>G263*L269</f>
        <v>1327.5833333333333</v>
      </c>
      <c r="M271" s="196">
        <f>G263*M269</f>
        <v>10030.222222222223</v>
      </c>
      <c r="N271" s="196">
        <f>G263*N269</f>
        <v>-1277.3240740740741</v>
      </c>
      <c r="O271" s="196">
        <f t="shared" ref="O271:O275" si="123">L271+M271+N271</f>
        <v>10080.481481481482</v>
      </c>
    </row>
    <row r="272" spans="1:17" hidden="1">
      <c r="L272" s="196">
        <f>242*L269</f>
        <v>107091.72222222222</v>
      </c>
      <c r="M272" s="196">
        <f>242*M269</f>
        <v>809104.59259259258</v>
      </c>
      <c r="N272" s="196">
        <f>242*N269</f>
        <v>-103037.47530864198</v>
      </c>
      <c r="O272" s="196">
        <f t="shared" si="123"/>
        <v>813158.83950617281</v>
      </c>
    </row>
    <row r="273" spans="1:15" hidden="1">
      <c r="D273" s="232"/>
      <c r="L273" s="196">
        <f>2*L269</f>
        <v>885.05555555555554</v>
      </c>
      <c r="M273" s="196">
        <f>2*M269</f>
        <v>6686.8148148148148</v>
      </c>
      <c r="N273" s="196">
        <f>2*N269</f>
        <v>-851.54938271604942</v>
      </c>
      <c r="O273" s="196">
        <f t="shared" si="123"/>
        <v>6720.3209876543206</v>
      </c>
    </row>
    <row r="274" spans="1:15" hidden="1">
      <c r="D274" s="233"/>
      <c r="L274" s="196">
        <f>I263*L269</f>
        <v>20356.277777777777</v>
      </c>
      <c r="M274" s="196">
        <f>I263*M269</f>
        <v>153796.74074074073</v>
      </c>
      <c r="N274" s="196">
        <f>I263*N269</f>
        <v>-19585.635802469136</v>
      </c>
      <c r="O274" s="196">
        <f t="shared" si="123"/>
        <v>154567.38271604938</v>
      </c>
    </row>
    <row r="275" spans="1:15" hidden="1">
      <c r="D275" s="233"/>
      <c r="L275" s="196">
        <f>J263*L269</f>
        <v>30534.416666666668</v>
      </c>
      <c r="M275" s="196">
        <f>J263*M269</f>
        <v>230695.11111111112</v>
      </c>
      <c r="N275" s="196">
        <f>J263*N269</f>
        <v>-29378.453703703704</v>
      </c>
      <c r="O275" s="196">
        <f t="shared" si="123"/>
        <v>231851.07407407407</v>
      </c>
    </row>
    <row r="276" spans="1:15" hidden="1">
      <c r="D276" s="233"/>
    </row>
    <row r="277" spans="1:15" hidden="1">
      <c r="D277" s="233"/>
    </row>
    <row r="278" spans="1:15" hidden="1">
      <c r="D278" s="233"/>
    </row>
    <row r="279" spans="1:15" hidden="1">
      <c r="C279" s="184"/>
      <c r="D279" s="180">
        <v>261</v>
      </c>
      <c r="E279" s="180"/>
      <c r="F279" s="180"/>
      <c r="G279" s="180">
        <v>2</v>
      </c>
      <c r="H279" s="180">
        <v>219</v>
      </c>
      <c r="I279" s="180">
        <v>2</v>
      </c>
      <c r="J279" s="180">
        <v>44</v>
      </c>
      <c r="K279" s="180">
        <f>D279+G279+H279+I279+J279</f>
        <v>528</v>
      </c>
      <c r="L279" s="192" t="s">
        <v>313</v>
      </c>
      <c r="M279" s="192" t="s">
        <v>314</v>
      </c>
      <c r="N279" s="192" t="s">
        <v>315</v>
      </c>
    </row>
    <row r="280" spans="1:15" ht="27.6" hidden="1">
      <c r="A280" s="80" t="s">
        <v>316</v>
      </c>
      <c r="B280" s="214" t="s">
        <v>292</v>
      </c>
      <c r="C280" s="235">
        <v>96255</v>
      </c>
      <c r="D280" s="236"/>
      <c r="E280" s="234"/>
      <c r="F280" s="234"/>
      <c r="G280" s="234"/>
      <c r="H280" s="234"/>
      <c r="I280" s="234"/>
      <c r="J280" s="234"/>
      <c r="K280" s="234"/>
      <c r="L280" s="196">
        <f>C280+C282+C286</f>
        <v>1031146</v>
      </c>
      <c r="M280" s="196">
        <f>C284+C285</f>
        <v>1027677</v>
      </c>
      <c r="N280" s="196">
        <f>C281+C283</f>
        <v>4122597</v>
      </c>
      <c r="O280" s="196">
        <f>L280+M280+N280</f>
        <v>6181420</v>
      </c>
    </row>
    <row r="281" spans="1:15" hidden="1">
      <c r="B281" s="89" t="s">
        <v>225</v>
      </c>
      <c r="C281" s="235">
        <v>3813252</v>
      </c>
      <c r="D281" s="236"/>
      <c r="E281" s="234"/>
      <c r="F281" s="234"/>
      <c r="G281" s="234"/>
      <c r="H281" s="234"/>
      <c r="I281" s="234"/>
      <c r="J281" s="234"/>
      <c r="K281" s="234"/>
      <c r="L281" s="196">
        <f>L280/K279</f>
        <v>1952.9280303030303</v>
      </c>
      <c r="M281" s="196">
        <f>M280/K279</f>
        <v>1946.3579545454545</v>
      </c>
      <c r="N281" s="196">
        <f>N280/K279</f>
        <v>7807.948863636364</v>
      </c>
    </row>
    <row r="282" spans="1:15" hidden="1">
      <c r="B282" s="89" t="s">
        <v>225</v>
      </c>
      <c r="C282" s="235">
        <v>606031</v>
      </c>
      <c r="D282" s="236"/>
      <c r="E282" s="234"/>
      <c r="F282" s="234"/>
      <c r="G282" s="234"/>
      <c r="H282" s="234"/>
      <c r="I282" s="234"/>
      <c r="J282" s="234"/>
      <c r="K282" s="234"/>
    </row>
    <row r="283" spans="1:15" hidden="1">
      <c r="B283" s="89" t="s">
        <v>291</v>
      </c>
      <c r="C283" s="235">
        <v>309345</v>
      </c>
      <c r="D283" s="236"/>
      <c r="E283" s="234"/>
      <c r="F283" s="234"/>
      <c r="G283" s="234"/>
      <c r="H283" s="234"/>
      <c r="I283" s="234"/>
      <c r="J283" s="234"/>
      <c r="K283" s="234"/>
      <c r="L283" s="196">
        <f>C280+C282+563319</f>
        <v>1265605</v>
      </c>
      <c r="M283" s="196">
        <f>C285+2624832</f>
        <v>2777565</v>
      </c>
      <c r="N283" s="196">
        <f>C281</f>
        <v>3813252</v>
      </c>
    </row>
    <row r="284" spans="1:15" hidden="1">
      <c r="B284" s="89" t="s">
        <v>307</v>
      </c>
      <c r="C284" s="235">
        <v>874944</v>
      </c>
      <c r="D284" s="234"/>
      <c r="E284" s="234"/>
      <c r="F284" s="234"/>
      <c r="G284" s="234"/>
      <c r="H284" s="234"/>
      <c r="I284" s="234"/>
      <c r="J284" s="234"/>
      <c r="K284" s="234"/>
      <c r="L284" s="196">
        <f>L283-L280</f>
        <v>234459</v>
      </c>
      <c r="M284" s="196">
        <f>M283-M280</f>
        <v>1749888</v>
      </c>
      <c r="N284" s="196">
        <f>N283-N280</f>
        <v>-309345</v>
      </c>
    </row>
    <row r="285" spans="1:15" hidden="1">
      <c r="B285" s="89" t="s">
        <v>259</v>
      </c>
      <c r="C285" s="235">
        <v>152733</v>
      </c>
      <c r="D285" s="234"/>
      <c r="E285" s="234"/>
      <c r="F285" s="234"/>
      <c r="G285" s="234"/>
      <c r="H285" s="234"/>
      <c r="I285" s="234"/>
      <c r="J285" s="234"/>
      <c r="K285" s="234"/>
      <c r="L285" s="284">
        <f>L284/K279</f>
        <v>444.05113636363637</v>
      </c>
      <c r="M285" s="284">
        <f>M284/K279</f>
        <v>3314.181818181818</v>
      </c>
      <c r="N285" s="284">
        <f>N284/K279</f>
        <v>-585.88068181818187</v>
      </c>
    </row>
    <row r="286" spans="1:15" hidden="1">
      <c r="B286" s="89" t="s">
        <v>308</v>
      </c>
      <c r="C286" s="235">
        <v>328860</v>
      </c>
      <c r="D286" s="234"/>
      <c r="E286" s="234"/>
      <c r="F286" s="234"/>
      <c r="G286" s="234"/>
      <c r="H286" s="234"/>
      <c r="I286" s="234"/>
      <c r="J286" s="234"/>
      <c r="K286" s="234"/>
      <c r="L286" s="196">
        <f>D279*L285</f>
        <v>115897.34659090909</v>
      </c>
      <c r="M286" s="196">
        <f>M285*D279</f>
        <v>865001.45454545447</v>
      </c>
      <c r="N286" s="196">
        <f>D279*N285</f>
        <v>-152914.85795454547</v>
      </c>
      <c r="O286" s="196">
        <f>L286+M286+N286</f>
        <v>827983.94318181812</v>
      </c>
    </row>
    <row r="287" spans="1:15" hidden="1">
      <c r="B287" s="101" t="s">
        <v>112</v>
      </c>
      <c r="C287" s="235">
        <f>SUM(C280:C286)</f>
        <v>6181420</v>
      </c>
      <c r="D287" s="234"/>
      <c r="E287" s="234"/>
      <c r="F287" s="234"/>
      <c r="G287" s="234"/>
      <c r="H287" s="234"/>
      <c r="I287" s="234"/>
      <c r="J287" s="234"/>
      <c r="K287" s="234"/>
      <c r="L287" s="196">
        <f>G279*L285</f>
        <v>888.10227272727275</v>
      </c>
      <c r="M287" s="196">
        <f>G279*M285</f>
        <v>6628.363636363636</v>
      </c>
      <c r="N287" s="196">
        <f>G279*N285</f>
        <v>-1171.7613636363637</v>
      </c>
      <c r="O287" s="196">
        <f t="shared" ref="O287:O290" si="124">L287+M287+N287</f>
        <v>6344.704545454545</v>
      </c>
    </row>
    <row r="288" spans="1:15" hidden="1">
      <c r="L288" s="196">
        <f>H279*L285</f>
        <v>97247.198863636368</v>
      </c>
      <c r="M288" s="196">
        <f>H279*M285</f>
        <v>725805.81818181812</v>
      </c>
      <c r="N288" s="196">
        <f>H279*N285</f>
        <v>-128307.86931818182</v>
      </c>
      <c r="O288" s="196">
        <f t="shared" si="124"/>
        <v>694745.14772727271</v>
      </c>
    </row>
    <row r="289" spans="1:15" hidden="1">
      <c r="L289" s="196">
        <f>I279*L285</f>
        <v>888.10227272727275</v>
      </c>
      <c r="M289" s="196">
        <f>I279*M285</f>
        <v>6628.363636363636</v>
      </c>
      <c r="N289" s="196">
        <f>I279*N285</f>
        <v>-1171.7613636363637</v>
      </c>
      <c r="O289" s="196">
        <f t="shared" si="124"/>
        <v>6344.704545454545</v>
      </c>
    </row>
    <row r="290" spans="1:15" hidden="1">
      <c r="L290" s="196">
        <f>J279*L285</f>
        <v>19538.25</v>
      </c>
      <c r="M290" s="196">
        <f>J279*M285</f>
        <v>145824</v>
      </c>
      <c r="N290" s="196">
        <f>J279*N285</f>
        <v>-25778.750000000004</v>
      </c>
      <c r="O290" s="196">
        <f t="shared" si="124"/>
        <v>139583.5</v>
      </c>
    </row>
    <row r="291" spans="1:15" hidden="1"/>
    <row r="292" spans="1:15" hidden="1">
      <c r="C292" s="184"/>
      <c r="D292" s="180">
        <v>242</v>
      </c>
      <c r="E292" s="180"/>
      <c r="F292" s="180"/>
      <c r="G292" s="180">
        <v>1</v>
      </c>
      <c r="H292" s="180">
        <v>224</v>
      </c>
      <c r="I292" s="180">
        <v>3</v>
      </c>
      <c r="J292" s="180">
        <v>69</v>
      </c>
      <c r="K292" s="180">
        <f>D292+G292+H292+I292+J292</f>
        <v>539</v>
      </c>
      <c r="L292" s="192" t="s">
        <v>313</v>
      </c>
      <c r="M292" s="192" t="s">
        <v>314</v>
      </c>
      <c r="N292" s="192" t="s">
        <v>315</v>
      </c>
    </row>
    <row r="293" spans="1:15" ht="27.6" hidden="1">
      <c r="A293" s="80" t="s">
        <v>317</v>
      </c>
      <c r="B293" s="214" t="s">
        <v>292</v>
      </c>
      <c r="C293" s="235">
        <v>98261</v>
      </c>
      <c r="D293" s="236"/>
      <c r="E293" s="234"/>
      <c r="F293" s="234"/>
      <c r="G293" s="234"/>
      <c r="H293" s="234"/>
      <c r="I293" s="234"/>
      <c r="J293" s="234"/>
      <c r="K293" s="234"/>
      <c r="L293" s="196">
        <f>C293+C295+C299</f>
        <v>598302</v>
      </c>
      <c r="M293" s="196">
        <f>C297</f>
        <v>874944</v>
      </c>
      <c r="N293" s="196">
        <f>C294+C296</f>
        <v>1479238</v>
      </c>
      <c r="O293" s="196">
        <f>L293+M293+N293</f>
        <v>2952484</v>
      </c>
    </row>
    <row r="294" spans="1:15" hidden="1">
      <c r="B294" s="89" t="s">
        <v>225</v>
      </c>
      <c r="C294" s="235">
        <v>1362189</v>
      </c>
      <c r="D294" s="236"/>
      <c r="E294" s="234"/>
      <c r="F294" s="234"/>
      <c r="G294" s="234"/>
      <c r="H294" s="234"/>
      <c r="I294" s="234"/>
      <c r="J294" s="234"/>
      <c r="K294" s="234"/>
      <c r="L294" s="196">
        <f>L293/K292</f>
        <v>1110.0222634508348</v>
      </c>
      <c r="M294" s="196">
        <f>M293/K292</f>
        <v>1623.2727272727273</v>
      </c>
      <c r="N294" s="196">
        <f>N293/K292</f>
        <v>2744.4118738404454</v>
      </c>
    </row>
    <row r="295" spans="1:15" hidden="1">
      <c r="B295" s="89" t="s">
        <v>225</v>
      </c>
      <c r="C295" s="235">
        <v>164828</v>
      </c>
      <c r="D295" s="236"/>
      <c r="E295" s="234"/>
      <c r="F295" s="234"/>
      <c r="G295" s="234"/>
      <c r="H295" s="234"/>
      <c r="I295" s="234"/>
      <c r="J295" s="234"/>
      <c r="K295" s="234"/>
    </row>
    <row r="296" spans="1:15" hidden="1">
      <c r="B296" s="89" t="s">
        <v>291</v>
      </c>
      <c r="C296" s="235">
        <v>117049</v>
      </c>
      <c r="D296" s="236"/>
      <c r="E296" s="234"/>
      <c r="F296" s="234"/>
      <c r="G296" s="234"/>
      <c r="H296" s="234"/>
      <c r="I296" s="234"/>
      <c r="J296" s="234"/>
      <c r="K296" s="234"/>
      <c r="L296" s="196">
        <f>C293+C295+575056</f>
        <v>838145</v>
      </c>
      <c r="M296" s="196">
        <f>2624832</f>
        <v>2624832</v>
      </c>
      <c r="N296" s="196">
        <f>C294</f>
        <v>1362189</v>
      </c>
    </row>
    <row r="297" spans="1:15" hidden="1">
      <c r="B297" s="89" t="s">
        <v>307</v>
      </c>
      <c r="C297" s="235">
        <v>874944</v>
      </c>
      <c r="D297" s="234"/>
      <c r="E297" s="234"/>
      <c r="F297" s="234"/>
      <c r="G297" s="234"/>
      <c r="H297" s="234"/>
      <c r="I297" s="234"/>
      <c r="J297" s="234"/>
      <c r="K297" s="234"/>
      <c r="L297" s="196">
        <f>L296-L293</f>
        <v>239843</v>
      </c>
      <c r="M297" s="196">
        <f>M296-M293</f>
        <v>1749888</v>
      </c>
      <c r="N297" s="196">
        <f>N296-N293</f>
        <v>-117049</v>
      </c>
    </row>
    <row r="298" spans="1:15" hidden="1">
      <c r="B298" s="89" t="s">
        <v>259</v>
      </c>
      <c r="C298" s="235">
        <v>0</v>
      </c>
      <c r="D298" s="234"/>
      <c r="E298" s="234"/>
      <c r="F298" s="234"/>
      <c r="G298" s="234"/>
      <c r="H298" s="234"/>
      <c r="I298" s="234"/>
      <c r="J298" s="234"/>
      <c r="K298" s="234"/>
      <c r="L298" s="196">
        <f>L297/K292</f>
        <v>444.97773654916512</v>
      </c>
      <c r="M298" s="196">
        <f>M297/K292</f>
        <v>3246.5454545454545</v>
      </c>
      <c r="N298" s="196">
        <f>N297/K292</f>
        <v>-217.1595547309833</v>
      </c>
    </row>
    <row r="299" spans="1:15" hidden="1">
      <c r="B299" s="89" t="s">
        <v>308</v>
      </c>
      <c r="C299" s="235">
        <v>335213</v>
      </c>
      <c r="D299" s="234"/>
      <c r="E299" s="234"/>
      <c r="F299" s="234"/>
      <c r="G299" s="234"/>
      <c r="H299" s="234"/>
      <c r="I299" s="234"/>
      <c r="J299" s="234"/>
      <c r="K299" s="234"/>
      <c r="L299" s="196">
        <f>D292*L298</f>
        <v>107684.61224489796</v>
      </c>
      <c r="M299" s="196">
        <f>D292*M298</f>
        <v>785664</v>
      </c>
      <c r="N299" s="196">
        <f>D292*N298</f>
        <v>-52552.612244897959</v>
      </c>
      <c r="O299" s="196">
        <f>L299+M299+N299</f>
        <v>840796</v>
      </c>
    </row>
    <row r="300" spans="1:15" hidden="1">
      <c r="B300" s="101" t="s">
        <v>112</v>
      </c>
      <c r="C300" s="235">
        <f>SUM(C293:C299)</f>
        <v>2952484</v>
      </c>
      <c r="D300" s="234"/>
      <c r="E300" s="234"/>
      <c r="F300" s="234"/>
      <c r="G300" s="234"/>
      <c r="H300" s="234"/>
      <c r="I300" s="234"/>
      <c r="J300" s="234"/>
      <c r="K300" s="234"/>
      <c r="L300" s="196">
        <f>G292*L298</f>
        <v>444.97773654916512</v>
      </c>
      <c r="M300" s="196">
        <f>G292*M298</f>
        <v>3246.5454545454545</v>
      </c>
      <c r="N300" s="196">
        <f>G292*N298</f>
        <v>-217.1595547309833</v>
      </c>
      <c r="O300" s="196">
        <f t="shared" ref="O300:O303" si="125">L300+M300+N300</f>
        <v>3474.363636363636</v>
      </c>
    </row>
    <row r="301" spans="1:15" hidden="1">
      <c r="L301" s="196">
        <f>H292*L298</f>
        <v>99675.012987012989</v>
      </c>
      <c r="M301" s="196">
        <f>H292*M298</f>
        <v>727226.18181818177</v>
      </c>
      <c r="N301" s="196">
        <f>H292*N298</f>
        <v>-48643.740259740262</v>
      </c>
      <c r="O301" s="196">
        <f t="shared" si="125"/>
        <v>778257.45454545447</v>
      </c>
    </row>
    <row r="302" spans="1:15" hidden="1">
      <c r="L302" s="196">
        <f>I292*L298</f>
        <v>1334.9332096474955</v>
      </c>
      <c r="M302" s="196">
        <f>I292*M298</f>
        <v>9739.636363636364</v>
      </c>
      <c r="N302" s="196">
        <f>I292*N298</f>
        <v>-651.47866419294996</v>
      </c>
      <c r="O302" s="196">
        <f t="shared" si="125"/>
        <v>10423.09090909091</v>
      </c>
    </row>
    <row r="303" spans="1:15" hidden="1">
      <c r="L303" s="196">
        <f>J292*L298</f>
        <v>30703.463821892394</v>
      </c>
      <c r="M303" s="196">
        <f>J292*M298</f>
        <v>224011.63636363635</v>
      </c>
      <c r="N303" s="196">
        <f>J292*N298</f>
        <v>-14984.009276437848</v>
      </c>
      <c r="O303" s="196">
        <f t="shared" si="125"/>
        <v>239731.09090909091</v>
      </c>
    </row>
    <row r="304" spans="1:15" hidden="1"/>
    <row r="305" spans="1:17" hidden="1">
      <c r="C305" s="184"/>
      <c r="D305" s="180">
        <v>206</v>
      </c>
      <c r="E305" s="180"/>
      <c r="F305" s="180"/>
      <c r="G305" s="180">
        <v>5</v>
      </c>
      <c r="H305" s="180">
        <v>238</v>
      </c>
      <c r="I305" s="180">
        <v>1</v>
      </c>
      <c r="J305" s="180">
        <v>33</v>
      </c>
      <c r="K305" s="180">
        <f>D305+G305+H305+I305+J305</f>
        <v>483</v>
      </c>
      <c r="L305" s="192" t="s">
        <v>313</v>
      </c>
      <c r="M305" s="192" t="s">
        <v>314</v>
      </c>
      <c r="N305" s="192" t="s">
        <v>315</v>
      </c>
    </row>
    <row r="306" spans="1:17" ht="27.6" hidden="1">
      <c r="A306" s="80" t="s">
        <v>318</v>
      </c>
      <c r="B306" s="214" t="s">
        <v>292</v>
      </c>
      <c r="C306" s="235">
        <v>88052</v>
      </c>
      <c r="D306" s="236"/>
      <c r="E306" s="234"/>
      <c r="F306" s="234"/>
      <c r="G306" s="234"/>
      <c r="H306" s="234"/>
      <c r="I306" s="234"/>
      <c r="J306" s="234"/>
      <c r="K306" s="234"/>
      <c r="L306" s="196">
        <f>C306+C312</f>
        <v>388924</v>
      </c>
      <c r="M306" s="196">
        <f>C310+C311</f>
        <v>1185246</v>
      </c>
      <c r="N306" s="196">
        <f>C307+C309</f>
        <v>2227002</v>
      </c>
      <c r="O306" s="196">
        <f>L306+M306+N306</f>
        <v>3801172</v>
      </c>
    </row>
    <row r="307" spans="1:17" hidden="1">
      <c r="B307" s="89" t="s">
        <v>225</v>
      </c>
      <c r="C307" s="235">
        <v>2026333</v>
      </c>
      <c r="D307" s="236"/>
      <c r="E307" s="234"/>
      <c r="F307" s="234"/>
      <c r="G307" s="234"/>
      <c r="H307" s="234"/>
      <c r="I307" s="234"/>
      <c r="J307" s="234"/>
      <c r="K307" s="234"/>
      <c r="L307" s="196">
        <f>L306/K305</f>
        <v>805.22567287784682</v>
      </c>
      <c r="M307" s="196">
        <f>M306/K305</f>
        <v>2453.9254658385094</v>
      </c>
      <c r="N307" s="196">
        <f>N306/K305</f>
        <v>4610.7701863354041</v>
      </c>
    </row>
    <row r="308" spans="1:17" hidden="1">
      <c r="B308" s="89" t="s">
        <v>225</v>
      </c>
      <c r="C308" s="235">
        <v>0</v>
      </c>
      <c r="D308" s="236"/>
      <c r="E308" s="234"/>
      <c r="F308" s="234"/>
      <c r="G308" s="234"/>
      <c r="H308" s="234"/>
      <c r="I308" s="234"/>
      <c r="J308" s="234"/>
      <c r="K308" s="234"/>
    </row>
    <row r="309" spans="1:17" hidden="1">
      <c r="B309" s="89" t="s">
        <v>291</v>
      </c>
      <c r="C309" s="235">
        <v>200669</v>
      </c>
      <c r="D309" s="236"/>
      <c r="E309" s="234"/>
      <c r="F309" s="234"/>
      <c r="G309" s="234"/>
      <c r="H309" s="234"/>
      <c r="I309" s="234"/>
      <c r="J309" s="234"/>
      <c r="K309" s="234"/>
      <c r="L309" s="196">
        <f>C306+515309</f>
        <v>603361</v>
      </c>
      <c r="M309" s="196">
        <f>C311+2499840</f>
        <v>2851806</v>
      </c>
      <c r="N309" s="196">
        <f>C307</f>
        <v>2026333</v>
      </c>
    </row>
    <row r="310" spans="1:17" hidden="1">
      <c r="B310" s="89" t="s">
        <v>307</v>
      </c>
      <c r="C310" s="235">
        <v>833280</v>
      </c>
      <c r="D310" s="234"/>
      <c r="E310" s="234"/>
      <c r="F310" s="234"/>
      <c r="G310" s="234"/>
      <c r="H310" s="234"/>
      <c r="I310" s="234"/>
      <c r="J310" s="234"/>
      <c r="K310" s="234"/>
      <c r="L310" s="196">
        <f>L309-L306</f>
        <v>214437</v>
      </c>
      <c r="M310" s="196">
        <f>M309-M306</f>
        <v>1666560</v>
      </c>
      <c r="N310" s="196">
        <f>N309-N306</f>
        <v>-200669</v>
      </c>
    </row>
    <row r="311" spans="1:17" hidden="1">
      <c r="B311" s="89" t="s">
        <v>259</v>
      </c>
      <c r="C311" s="235">
        <v>351966</v>
      </c>
      <c r="D311" s="234"/>
      <c r="E311" s="234"/>
      <c r="F311" s="234"/>
      <c r="G311" s="234"/>
      <c r="H311" s="234"/>
      <c r="I311" s="234"/>
      <c r="J311" s="234"/>
      <c r="K311" s="234"/>
      <c r="L311" s="196">
        <f>L310/K305</f>
        <v>443.96894409937886</v>
      </c>
      <c r="M311" s="196">
        <f>M310/K305</f>
        <v>3450.4347826086955</v>
      </c>
      <c r="N311" s="196">
        <f>N310/K305</f>
        <v>-415.463768115942</v>
      </c>
    </row>
    <row r="312" spans="1:17" hidden="1">
      <c r="B312" s="89" t="s">
        <v>308</v>
      </c>
      <c r="C312" s="235">
        <v>300872</v>
      </c>
      <c r="D312" s="234"/>
      <c r="E312" s="234"/>
      <c r="F312" s="234"/>
      <c r="G312" s="234"/>
      <c r="H312" s="234"/>
      <c r="I312" s="234"/>
      <c r="J312" s="234"/>
      <c r="K312" s="234"/>
      <c r="L312" s="196">
        <f>D305*L311</f>
        <v>91457.602484472038</v>
      </c>
      <c r="M312" s="196">
        <f>M311*D305</f>
        <v>710789.56521739124</v>
      </c>
      <c r="N312" s="196">
        <f>D305*N311</f>
        <v>-85585.536231884049</v>
      </c>
      <c r="O312" s="196">
        <f>L312+M312+N312</f>
        <v>716661.63146997918</v>
      </c>
    </row>
    <row r="313" spans="1:17" hidden="1">
      <c r="B313" s="101" t="s">
        <v>112</v>
      </c>
      <c r="C313" s="235">
        <f>SUM(C306:C312)</f>
        <v>3801172</v>
      </c>
      <c r="D313" s="234"/>
      <c r="E313" s="234"/>
      <c r="F313" s="234"/>
      <c r="G313" s="234"/>
      <c r="H313" s="234"/>
      <c r="I313" s="234"/>
      <c r="J313" s="234"/>
      <c r="K313" s="234"/>
      <c r="L313" s="196">
        <f>G305*L311</f>
        <v>2219.8447204968943</v>
      </c>
      <c r="M313" s="196">
        <f>G305*M311</f>
        <v>17252.173913043476</v>
      </c>
      <c r="N313" s="196">
        <f>G305*N311</f>
        <v>-2077.31884057971</v>
      </c>
      <c r="O313" s="196">
        <f t="shared" ref="O313:O316" si="126">L313+M313+N313</f>
        <v>17394.699792960659</v>
      </c>
    </row>
    <row r="314" spans="1:17" hidden="1">
      <c r="L314" s="196">
        <f>H305*L311</f>
        <v>105664.60869565216</v>
      </c>
      <c r="M314" s="196">
        <f>H305*M311</f>
        <v>821203.47826086951</v>
      </c>
      <c r="N314" s="196">
        <f>H305*N311</f>
        <v>-98880.376811594193</v>
      </c>
      <c r="O314" s="196">
        <f t="shared" si="126"/>
        <v>827987.71014492749</v>
      </c>
    </row>
    <row r="315" spans="1:17" hidden="1">
      <c r="L315" s="196">
        <f>I305*L311</f>
        <v>443.96894409937886</v>
      </c>
      <c r="M315" s="196">
        <f>I305*M311</f>
        <v>3450.4347826086955</v>
      </c>
      <c r="N315" s="196">
        <f>I305*N311</f>
        <v>-415.463768115942</v>
      </c>
      <c r="O315" s="196">
        <f t="shared" si="126"/>
        <v>3478.9399585921324</v>
      </c>
    </row>
    <row r="316" spans="1:17" hidden="1">
      <c r="L316" s="196">
        <f>J305*L311</f>
        <v>14650.975155279502</v>
      </c>
      <c r="M316" s="196">
        <f>J305*M311</f>
        <v>113864.34782608695</v>
      </c>
      <c r="N316" s="196">
        <f>J305*N311</f>
        <v>-13710.304347826086</v>
      </c>
      <c r="O316" s="196">
        <f t="shared" si="126"/>
        <v>114805.01863354037</v>
      </c>
    </row>
    <row r="317" spans="1:17" hidden="1">
      <c r="N317" s="192" t="s">
        <v>313</v>
      </c>
      <c r="O317" s="192" t="s">
        <v>314</v>
      </c>
      <c r="P317" s="192" t="s">
        <v>315</v>
      </c>
    </row>
    <row r="318" spans="1:17" hidden="1">
      <c r="C318" s="184"/>
      <c r="D318" s="180">
        <v>316</v>
      </c>
      <c r="E318" s="180"/>
      <c r="F318" s="180"/>
      <c r="G318" s="180">
        <v>2</v>
      </c>
      <c r="H318" s="180">
        <v>196</v>
      </c>
      <c r="I318" s="180">
        <v>206</v>
      </c>
      <c r="J318" s="180">
        <v>1</v>
      </c>
      <c r="K318" s="180">
        <v>51</v>
      </c>
      <c r="L318" s="247">
        <v>53</v>
      </c>
      <c r="M318" s="247">
        <f>D318+G318+H318+I318+J318+K318+L318</f>
        <v>825</v>
      </c>
    </row>
    <row r="319" spans="1:17" ht="27.6" hidden="1">
      <c r="A319" s="80" t="s">
        <v>319</v>
      </c>
      <c r="B319" s="214" t="s">
        <v>292</v>
      </c>
      <c r="C319" s="194">
        <v>150399</v>
      </c>
      <c r="D319" s="236"/>
      <c r="E319" s="234"/>
      <c r="F319" s="234"/>
      <c r="G319" s="234"/>
      <c r="H319" s="234"/>
      <c r="I319" s="234"/>
      <c r="J319" s="234"/>
      <c r="K319" s="180"/>
      <c r="L319" s="247"/>
      <c r="M319" s="247"/>
      <c r="N319" s="196">
        <f>C319+C325</f>
        <v>662764</v>
      </c>
      <c r="O319" s="196">
        <f>C323+C324</f>
        <v>1800175</v>
      </c>
      <c r="P319" s="196">
        <f>C320+C322</f>
        <v>182500</v>
      </c>
      <c r="Q319" s="196">
        <f>N319+O319+P319</f>
        <v>2645439</v>
      </c>
    </row>
    <row r="320" spans="1:17" hidden="1">
      <c r="B320" s="89" t="s">
        <v>225</v>
      </c>
      <c r="C320" s="194">
        <v>179700</v>
      </c>
      <c r="D320" s="236"/>
      <c r="E320" s="234"/>
      <c r="F320" s="234"/>
      <c r="G320" s="234"/>
      <c r="H320" s="234"/>
      <c r="I320" s="234"/>
      <c r="J320" s="234"/>
      <c r="K320" s="180"/>
      <c r="L320" s="247"/>
      <c r="M320" s="247"/>
      <c r="N320" s="196">
        <f>N319/M318</f>
        <v>803.35030303030305</v>
      </c>
      <c r="O320" s="196">
        <f>O319/M318</f>
        <v>2182.030303030303</v>
      </c>
      <c r="P320" s="196">
        <f>P319/M318</f>
        <v>221.21212121212122</v>
      </c>
    </row>
    <row r="321" spans="1:17" hidden="1">
      <c r="B321" s="89" t="s">
        <v>225</v>
      </c>
      <c r="C321" s="194">
        <v>0</v>
      </c>
      <c r="D321" s="236"/>
      <c r="E321" s="234"/>
      <c r="F321" s="234"/>
      <c r="G321" s="234"/>
      <c r="H321" s="234"/>
      <c r="I321" s="234"/>
      <c r="J321" s="234"/>
      <c r="K321" s="180"/>
      <c r="L321" s="247"/>
      <c r="M321" s="247"/>
    </row>
    <row r="322" spans="1:17" hidden="1">
      <c r="B322" s="89" t="s">
        <v>291</v>
      </c>
      <c r="C322" s="194">
        <v>2800</v>
      </c>
      <c r="D322" s="236"/>
      <c r="E322" s="234"/>
      <c r="F322" s="234"/>
      <c r="G322" s="234"/>
      <c r="H322" s="234"/>
      <c r="I322" s="234"/>
      <c r="J322" s="234"/>
      <c r="K322" s="180"/>
      <c r="L322" s="247"/>
      <c r="M322" s="247"/>
      <c r="N322" s="196">
        <f>C319+880187</f>
        <v>1030586</v>
      </c>
      <c r="O322" s="196">
        <f>C324+3874752</f>
        <v>4383343</v>
      </c>
      <c r="P322" s="196">
        <f>C320</f>
        <v>179700</v>
      </c>
    </row>
    <row r="323" spans="1:17" hidden="1">
      <c r="B323" s="89" t="s">
        <v>307</v>
      </c>
      <c r="C323" s="194">
        <v>1291584</v>
      </c>
      <c r="D323" s="234"/>
      <c r="E323" s="234"/>
      <c r="F323" s="234"/>
      <c r="G323" s="234"/>
      <c r="H323" s="234"/>
      <c r="I323" s="234"/>
      <c r="J323" s="234"/>
      <c r="K323" s="180"/>
      <c r="L323" s="247"/>
      <c r="M323" s="247"/>
      <c r="N323" s="196">
        <f>N322-N319</f>
        <v>367822</v>
      </c>
      <c r="O323" s="196">
        <f>O322-O319</f>
        <v>2583168</v>
      </c>
      <c r="P323" s="196">
        <f>P322-P319</f>
        <v>-2800</v>
      </c>
    </row>
    <row r="324" spans="1:17" hidden="1">
      <c r="B324" s="89" t="s">
        <v>259</v>
      </c>
      <c r="C324" s="194">
        <v>508591</v>
      </c>
      <c r="D324" s="234"/>
      <c r="E324" s="234"/>
      <c r="F324" s="234"/>
      <c r="G324" s="234"/>
      <c r="H324" s="234"/>
      <c r="I324" s="234"/>
      <c r="J324" s="234"/>
      <c r="K324" s="180"/>
      <c r="L324" s="247"/>
      <c r="M324" s="247"/>
      <c r="N324" s="196">
        <f>N323/M318</f>
        <v>445.84484848484851</v>
      </c>
      <c r="O324" s="196">
        <f>O323/M318</f>
        <v>3131.1127272727272</v>
      </c>
      <c r="P324" s="196">
        <f>P323/M318</f>
        <v>-3.393939393939394</v>
      </c>
    </row>
    <row r="325" spans="1:17" hidden="1">
      <c r="B325" s="89" t="s">
        <v>308</v>
      </c>
      <c r="C325" s="194">
        <v>512365</v>
      </c>
      <c r="D325" s="234"/>
      <c r="E325" s="234"/>
      <c r="F325" s="234"/>
      <c r="G325" s="234"/>
      <c r="H325" s="234"/>
      <c r="I325" s="234"/>
      <c r="J325" s="234"/>
      <c r="K325" s="180"/>
      <c r="L325" s="247"/>
      <c r="M325" s="247"/>
      <c r="N325" s="196">
        <f>D318*N324</f>
        <v>140886.97212121214</v>
      </c>
      <c r="O325" s="196">
        <f>D318*O324</f>
        <v>989431.62181818183</v>
      </c>
      <c r="P325" s="196">
        <f>D318*P324</f>
        <v>-1072.4848484848485</v>
      </c>
      <c r="Q325" s="196">
        <f>N325+O325+P325</f>
        <v>1129246.1090909091</v>
      </c>
    </row>
    <row r="326" spans="1:17" hidden="1">
      <c r="B326" s="101" t="s">
        <v>112</v>
      </c>
      <c r="C326" s="235">
        <f>SUM(C319:C325)</f>
        <v>2645439</v>
      </c>
      <c r="D326" s="234"/>
      <c r="E326" s="234"/>
      <c r="F326" s="234"/>
      <c r="G326" s="234"/>
      <c r="H326" s="234"/>
      <c r="I326" s="234"/>
      <c r="J326" s="234"/>
      <c r="K326" s="180"/>
      <c r="L326" s="247"/>
      <c r="M326" s="247"/>
      <c r="N326" s="196">
        <f>G318*N324</f>
        <v>891.68969696969702</v>
      </c>
      <c r="O326" s="196">
        <f>G318*O324</f>
        <v>6262.2254545454543</v>
      </c>
      <c r="P326" s="196">
        <f>G318*P324</f>
        <v>-6.7878787878787881</v>
      </c>
      <c r="Q326" s="196">
        <f t="shared" ref="Q326:Q331" si="127">N326+O326+P326</f>
        <v>7147.1272727272726</v>
      </c>
    </row>
    <row r="327" spans="1:17" hidden="1">
      <c r="N327" s="196">
        <f>H318*N324</f>
        <v>87385.590303030302</v>
      </c>
      <c r="O327" s="196">
        <f>H318*O324</f>
        <v>613698.09454545449</v>
      </c>
      <c r="P327" s="196">
        <f>H318*P324</f>
        <v>-665.21212121212125</v>
      </c>
      <c r="Q327" s="196">
        <f t="shared" si="127"/>
        <v>700418.47272727266</v>
      </c>
    </row>
    <row r="328" spans="1:17" hidden="1">
      <c r="N328" s="196">
        <f>I318*N324</f>
        <v>91844.038787878788</v>
      </c>
      <c r="O328" s="196">
        <f>I318*O324</f>
        <v>645009.2218181818</v>
      </c>
      <c r="P328" s="196">
        <f>I318*P324</f>
        <v>-699.15151515151513</v>
      </c>
      <c r="Q328" s="196">
        <f t="shared" si="127"/>
        <v>736154.10909090913</v>
      </c>
    </row>
    <row r="329" spans="1:17" hidden="1">
      <c r="N329" s="196">
        <f>J318*N324</f>
        <v>445.84484848484851</v>
      </c>
      <c r="O329" s="196">
        <f>J318*O324</f>
        <v>3131.1127272727272</v>
      </c>
      <c r="P329" s="196">
        <f>J318*P324</f>
        <v>-3.393939393939394</v>
      </c>
      <c r="Q329" s="196">
        <f t="shared" si="127"/>
        <v>3573.5636363636363</v>
      </c>
    </row>
    <row r="330" spans="1:17" hidden="1">
      <c r="N330" s="196">
        <f>K318*N324</f>
        <v>22738.087272727273</v>
      </c>
      <c r="O330" s="196">
        <f>K318*O324</f>
        <v>159686.74909090908</v>
      </c>
      <c r="P330" s="196">
        <f>K318*P324</f>
        <v>-173.09090909090909</v>
      </c>
      <c r="Q330" s="196">
        <f t="shared" si="127"/>
        <v>182251.74545454545</v>
      </c>
    </row>
    <row r="331" spans="1:17" hidden="1">
      <c r="N331" s="196">
        <f>L318*N324</f>
        <v>23629.77696969697</v>
      </c>
      <c r="O331" s="196">
        <f>L318*O324</f>
        <v>165948.97454545455</v>
      </c>
      <c r="P331" s="196">
        <f>L318*P324</f>
        <v>-179.87878787878788</v>
      </c>
      <c r="Q331" s="196">
        <f t="shared" si="127"/>
        <v>189398.87272727274</v>
      </c>
    </row>
    <row r="332" spans="1:17" hidden="1">
      <c r="M332" s="192" t="s">
        <v>313</v>
      </c>
      <c r="N332" s="192" t="s">
        <v>314</v>
      </c>
      <c r="O332" s="192" t="s">
        <v>315</v>
      </c>
    </row>
    <row r="333" spans="1:17" hidden="1">
      <c r="C333" s="184"/>
      <c r="D333" s="180">
        <v>67</v>
      </c>
      <c r="E333" s="180"/>
      <c r="F333" s="180"/>
      <c r="G333" s="180">
        <v>17</v>
      </c>
      <c r="H333" s="180">
        <v>1</v>
      </c>
      <c r="I333" s="180">
        <v>72</v>
      </c>
      <c r="J333" s="180">
        <v>44</v>
      </c>
      <c r="K333" s="180">
        <v>17</v>
      </c>
      <c r="L333" s="247">
        <f>D333+G333+H333+I333+J333+K333</f>
        <v>218</v>
      </c>
    </row>
    <row r="334" spans="1:17" ht="27.6" hidden="1">
      <c r="A334" s="80" t="s">
        <v>320</v>
      </c>
      <c r="B334" s="214" t="s">
        <v>292</v>
      </c>
      <c r="C334" s="235">
        <v>39742</v>
      </c>
      <c r="D334" s="236"/>
      <c r="E334" s="234"/>
      <c r="F334" s="234"/>
      <c r="G334" s="234"/>
      <c r="H334" s="234"/>
      <c r="I334" s="234"/>
      <c r="J334" s="234"/>
      <c r="K334" s="234"/>
      <c r="L334" s="251"/>
      <c r="M334" s="196">
        <f>C334+C336+C340</f>
        <v>195953</v>
      </c>
      <c r="N334" s="196">
        <f>C338+C339</f>
        <v>542463</v>
      </c>
      <c r="O334" s="196">
        <f>C335+C337</f>
        <v>2064267</v>
      </c>
      <c r="P334" s="196">
        <f>M334+N334+O334</f>
        <v>2802683</v>
      </c>
    </row>
    <row r="335" spans="1:17" hidden="1">
      <c r="B335" s="89" t="s">
        <v>225</v>
      </c>
      <c r="C335" s="235">
        <v>1880332</v>
      </c>
      <c r="D335" s="236"/>
      <c r="E335" s="234"/>
      <c r="F335" s="234"/>
      <c r="G335" s="234"/>
      <c r="H335" s="234"/>
      <c r="I335" s="234"/>
      <c r="J335" s="234"/>
      <c r="K335" s="234"/>
      <c r="L335" s="247"/>
      <c r="M335" s="196">
        <f>M334/L333</f>
        <v>898.86697247706422</v>
      </c>
      <c r="N335" s="196">
        <f>N334/L333</f>
        <v>2488.3623853211011</v>
      </c>
      <c r="O335" s="196">
        <f>O334/L333</f>
        <v>9469.1146788990827</v>
      </c>
    </row>
    <row r="336" spans="1:17" hidden="1">
      <c r="B336" s="89" t="s">
        <v>225</v>
      </c>
      <c r="C336" s="235">
        <v>21109</v>
      </c>
      <c r="D336" s="236"/>
      <c r="E336" s="234"/>
      <c r="F336" s="234"/>
      <c r="G336" s="234"/>
      <c r="H336" s="234"/>
      <c r="I336" s="234"/>
      <c r="J336" s="234"/>
      <c r="K336" s="234"/>
      <c r="L336" s="247"/>
    </row>
    <row r="337" spans="2:16" hidden="1">
      <c r="B337" s="89" t="s">
        <v>291</v>
      </c>
      <c r="C337" s="235">
        <v>183935</v>
      </c>
      <c r="D337" s="236"/>
      <c r="E337" s="234"/>
      <c r="F337" s="234"/>
      <c r="G337" s="234"/>
      <c r="H337" s="234"/>
      <c r="I337" s="234"/>
      <c r="J337" s="234"/>
      <c r="K337" s="234"/>
      <c r="L337" s="247"/>
      <c r="M337" s="196">
        <f>C334+232583</f>
        <v>272325</v>
      </c>
      <c r="N337" s="196">
        <f>C339+1499904</f>
        <v>1542399</v>
      </c>
      <c r="O337" s="196">
        <f>C335</f>
        <v>1880332</v>
      </c>
    </row>
    <row r="338" spans="2:16" hidden="1">
      <c r="B338" s="89" t="s">
        <v>307</v>
      </c>
      <c r="C338" s="235">
        <v>499968</v>
      </c>
      <c r="D338" s="234"/>
      <c r="E338" s="234"/>
      <c r="F338" s="234"/>
      <c r="G338" s="234"/>
      <c r="H338" s="234"/>
      <c r="I338" s="234"/>
      <c r="J338" s="234"/>
      <c r="K338" s="234"/>
      <c r="L338" s="247"/>
      <c r="M338" s="196">
        <f>M337-M334</f>
        <v>76372</v>
      </c>
      <c r="N338" s="196">
        <f>N337-N334</f>
        <v>999936</v>
      </c>
      <c r="O338" s="196">
        <f>O337-O334</f>
        <v>-183935</v>
      </c>
    </row>
    <row r="339" spans="2:16" hidden="1">
      <c r="B339" s="89" t="s">
        <v>259</v>
      </c>
      <c r="C339" s="235">
        <v>42495</v>
      </c>
      <c r="D339" s="234"/>
      <c r="E339" s="234"/>
      <c r="F339" s="234"/>
      <c r="G339" s="234"/>
      <c r="H339" s="234"/>
      <c r="I339" s="234"/>
      <c r="J339" s="234"/>
      <c r="K339" s="234"/>
      <c r="L339" s="247"/>
      <c r="M339" s="196">
        <f>M338/L333</f>
        <v>350.33027522935782</v>
      </c>
      <c r="N339" s="196">
        <f>N338/L333</f>
        <v>4586.8623853211011</v>
      </c>
      <c r="O339" s="196">
        <f>O338/L333</f>
        <v>-843.7385321100918</v>
      </c>
    </row>
    <row r="340" spans="2:16" hidden="1">
      <c r="B340" s="89" t="s">
        <v>308</v>
      </c>
      <c r="C340" s="235">
        <v>135102</v>
      </c>
      <c r="D340" s="234"/>
      <c r="E340" s="234"/>
      <c r="F340" s="234"/>
      <c r="G340" s="234"/>
      <c r="H340" s="234"/>
      <c r="I340" s="234"/>
      <c r="J340" s="234"/>
      <c r="K340" s="234"/>
      <c r="L340" s="247"/>
      <c r="M340" s="196">
        <f>D333*M339</f>
        <v>23472.128440366974</v>
      </c>
      <c r="N340" s="196">
        <f>D333*N339</f>
        <v>307319.77981651376</v>
      </c>
      <c r="O340" s="196">
        <f>D333*O339</f>
        <v>-56530.481651376147</v>
      </c>
      <c r="P340" s="196">
        <f>M340+N340+O340</f>
        <v>274261.42660550459</v>
      </c>
    </row>
    <row r="341" spans="2:16" hidden="1">
      <c r="B341" s="101" t="s">
        <v>112</v>
      </c>
      <c r="C341" s="235">
        <f>SUM(C334:C340)</f>
        <v>2802683</v>
      </c>
      <c r="D341" s="234"/>
      <c r="E341" s="234"/>
      <c r="F341" s="234"/>
      <c r="G341" s="234"/>
      <c r="H341" s="234"/>
      <c r="I341" s="234"/>
      <c r="J341" s="234"/>
      <c r="K341" s="234"/>
      <c r="L341" s="247"/>
      <c r="M341" s="196">
        <f>G333*M339</f>
        <v>5955.6146788990827</v>
      </c>
      <c r="N341" s="196">
        <f>G333*N339</f>
        <v>77976.660550458721</v>
      </c>
      <c r="O341" s="196">
        <f>G333*O339</f>
        <v>-14343.555045871561</v>
      </c>
      <c r="P341" s="196">
        <f t="shared" ref="P341:P345" si="128">M341+N341+O341</f>
        <v>69588.72018348625</v>
      </c>
    </row>
    <row r="342" spans="2:16" hidden="1">
      <c r="M342" s="196">
        <f>H333*M339</f>
        <v>350.33027522935782</v>
      </c>
      <c r="N342" s="196">
        <f>H333*N339</f>
        <v>4586.8623853211011</v>
      </c>
      <c r="O342" s="196">
        <f>H333*O339</f>
        <v>-843.7385321100918</v>
      </c>
      <c r="P342" s="196">
        <f t="shared" si="128"/>
        <v>4093.4541284403667</v>
      </c>
    </row>
    <row r="343" spans="2:16" hidden="1">
      <c r="M343" s="196">
        <f>I333*M339</f>
        <v>25223.779816513765</v>
      </c>
      <c r="N343" s="196">
        <f>I333*N339</f>
        <v>330254.09174311929</v>
      </c>
      <c r="O343" s="196">
        <f>I333*O339</f>
        <v>-60749.17431192661</v>
      </c>
      <c r="P343" s="196">
        <f t="shared" si="128"/>
        <v>294728.69724770647</v>
      </c>
    </row>
    <row r="344" spans="2:16" hidden="1">
      <c r="M344" s="196">
        <f>J333*M339</f>
        <v>15414.532110091744</v>
      </c>
      <c r="N344" s="196">
        <f>J333*N339</f>
        <v>201821.94495412844</v>
      </c>
      <c r="O344" s="196">
        <f>J333*O339</f>
        <v>-37124.495412844037</v>
      </c>
      <c r="P344" s="196">
        <f t="shared" si="128"/>
        <v>180111.98165137615</v>
      </c>
    </row>
    <row r="345" spans="2:16" hidden="1">
      <c r="M345" s="196">
        <f>K333*M339</f>
        <v>5955.6146788990827</v>
      </c>
      <c r="N345" s="196">
        <f>K333*N339</f>
        <v>77976.660550458721</v>
      </c>
      <c r="O345" s="196">
        <f>K333*O339</f>
        <v>-14343.555045871561</v>
      </c>
      <c r="P345" s="196">
        <f t="shared" si="128"/>
        <v>69588.72018348625</v>
      </c>
    </row>
    <row r="346" spans="2:16" hidden="1"/>
    <row r="347" spans="2:16" hidden="1"/>
    <row r="348" spans="2:16" hidden="1"/>
    <row r="349" spans="2:16" hidden="1"/>
    <row r="350" spans="2:16" hidden="1"/>
    <row r="351" spans="2:16" hidden="1"/>
    <row r="352" spans="2:16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</sheetData>
  <mergeCells count="32">
    <mergeCell ref="B213:M213"/>
    <mergeCell ref="A78:A109"/>
    <mergeCell ref="B78:B86"/>
    <mergeCell ref="B87:B92"/>
    <mergeCell ref="B94:B98"/>
    <mergeCell ref="A182:A212"/>
    <mergeCell ref="B182:B189"/>
    <mergeCell ref="B190:B192"/>
    <mergeCell ref="A110:A144"/>
    <mergeCell ref="B110:B120"/>
    <mergeCell ref="B121:B128"/>
    <mergeCell ref="B130:B133"/>
    <mergeCell ref="A145:A181"/>
    <mergeCell ref="B145:B155"/>
    <mergeCell ref="B156:B164"/>
    <mergeCell ref="B165:B170"/>
    <mergeCell ref="A12:A46"/>
    <mergeCell ref="B12:B23"/>
    <mergeCell ref="B24:B29"/>
    <mergeCell ref="A47:A77"/>
    <mergeCell ref="B47:B55"/>
    <mergeCell ref="B56:B61"/>
    <mergeCell ref="B63:B66"/>
    <mergeCell ref="B31:B35"/>
    <mergeCell ref="A8:C8"/>
    <mergeCell ref="A9:A10"/>
    <mergeCell ref="B9:B10"/>
    <mergeCell ref="D9:D10"/>
    <mergeCell ref="A7:U7"/>
    <mergeCell ref="E9:I9"/>
    <mergeCell ref="J9:M9"/>
    <mergeCell ref="N9:U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255"/>
  <sheetViews>
    <sheetView tabSelected="1" zoomScale="60" zoomScaleNormal="60" workbookViewId="0">
      <pane xSplit="1" ySplit="13" topLeftCell="D14" activePane="bottomRight" state="frozen"/>
      <selection pane="topRight" activeCell="B1" sqref="B1"/>
      <selection pane="bottomLeft" activeCell="A12" sqref="A12"/>
      <selection pane="bottomRight" activeCell="M1" sqref="M1:V1048576"/>
    </sheetView>
  </sheetViews>
  <sheetFormatPr defaultColWidth="9.109375" defaultRowHeight="13.8"/>
  <cols>
    <col min="1" max="1" width="30.6640625" style="80" customWidth="1"/>
    <col min="2" max="2" width="21.5546875" style="80" customWidth="1"/>
    <col min="3" max="3" width="23.6640625" style="80" customWidth="1"/>
    <col min="4" max="4" width="8.6640625" style="192" customWidth="1"/>
    <col min="5" max="5" width="17.5546875" style="192" hidden="1" customWidth="1"/>
    <col min="6" max="6" width="13.33203125" style="192" hidden="1" customWidth="1"/>
    <col min="7" max="7" width="14" style="192" customWidth="1"/>
    <col min="8" max="9" width="14.109375" style="192" customWidth="1"/>
    <col min="10" max="10" width="17.33203125" style="192" customWidth="1"/>
    <col min="11" max="11" width="17.109375" style="192" customWidth="1"/>
    <col min="12" max="13" width="12.44140625" style="192" customWidth="1"/>
    <col min="14" max="14" width="16.33203125" style="192" customWidth="1"/>
    <col min="15" max="15" width="14.88671875" style="192" customWidth="1"/>
    <col min="16" max="16" width="5.6640625" style="192" hidden="1" customWidth="1"/>
    <col min="17" max="17" width="16.109375" style="192" customWidth="1"/>
    <col min="18" max="18" width="0.44140625" style="192" hidden="1" customWidth="1"/>
    <col min="19" max="19" width="15.33203125" style="192" customWidth="1"/>
    <col min="20" max="20" width="16.5546875" style="192" customWidth="1"/>
    <col min="21" max="21" width="17.33203125" style="192" customWidth="1"/>
    <col min="22" max="22" width="16" style="192" customWidth="1"/>
    <col min="23" max="23" width="15.33203125" style="80" hidden="1" customWidth="1"/>
    <col min="24" max="24" width="13.5546875" style="80" hidden="1" customWidth="1"/>
    <col min="25" max="25" width="18.6640625" style="80" hidden="1" customWidth="1"/>
    <col min="26" max="26" width="0" style="80" hidden="1" customWidth="1"/>
    <col min="27" max="27" width="16.5546875" style="80" hidden="1" customWidth="1"/>
    <col min="28" max="28" width="17.109375" style="80" hidden="1" customWidth="1"/>
    <col min="29" max="29" width="14.33203125" style="80" hidden="1" customWidth="1"/>
    <col min="30" max="33" width="0" style="80" hidden="1" customWidth="1"/>
    <col min="34" max="16384" width="9.109375" style="80"/>
  </cols>
  <sheetData>
    <row r="1" spans="1:29" hidden="1">
      <c r="T1" s="195" t="s">
        <v>203</v>
      </c>
    </row>
    <row r="2" spans="1:29" hidden="1">
      <c r="T2" s="195" t="s">
        <v>204</v>
      </c>
    </row>
    <row r="3" spans="1:29">
      <c r="T3" s="195" t="s">
        <v>297</v>
      </c>
    </row>
    <row r="4" spans="1:29">
      <c r="T4" s="195" t="s">
        <v>348</v>
      </c>
    </row>
    <row r="5" spans="1:29">
      <c r="T5" s="195" t="s">
        <v>175</v>
      </c>
    </row>
    <row r="6" spans="1:29">
      <c r="T6" s="195" t="s">
        <v>301</v>
      </c>
    </row>
    <row r="7" spans="1:29">
      <c r="A7" s="340" t="s">
        <v>262</v>
      </c>
      <c r="B7" s="340"/>
      <c r="C7" s="341"/>
      <c r="D7" s="340"/>
      <c r="E7" s="340"/>
      <c r="F7" s="341"/>
      <c r="G7" s="341"/>
      <c r="H7" s="340"/>
      <c r="I7" s="340"/>
      <c r="J7" s="340"/>
      <c r="K7" s="341"/>
      <c r="L7" s="340"/>
      <c r="M7" s="340"/>
      <c r="N7" s="340"/>
      <c r="O7" s="340"/>
      <c r="P7" s="341"/>
      <c r="Q7" s="341"/>
      <c r="R7" s="341"/>
      <c r="S7" s="341"/>
      <c r="T7" s="340"/>
      <c r="U7" s="340"/>
      <c r="V7" s="340"/>
    </row>
    <row r="8" spans="1:29" ht="17.399999999999999">
      <c r="A8" s="224" t="s">
        <v>155</v>
      </c>
    </row>
    <row r="10" spans="1:29" ht="41.4">
      <c r="A10" s="241" t="s">
        <v>3</v>
      </c>
      <c r="B10" s="241" t="s">
        <v>81</v>
      </c>
      <c r="C10" s="241" t="s">
        <v>152</v>
      </c>
      <c r="D10" s="264" t="s">
        <v>4</v>
      </c>
      <c r="E10" s="268" t="s">
        <v>5</v>
      </c>
      <c r="F10" s="215"/>
      <c r="G10" s="215"/>
      <c r="H10" s="215"/>
      <c r="I10" s="216"/>
      <c r="J10" s="342" t="s">
        <v>6</v>
      </c>
      <c r="K10" s="343"/>
      <c r="L10" s="343"/>
      <c r="M10" s="344"/>
      <c r="N10" s="300" t="s">
        <v>7</v>
      </c>
      <c r="O10" s="300"/>
      <c r="P10" s="300"/>
      <c r="Q10" s="300"/>
      <c r="R10" s="300"/>
      <c r="S10" s="300"/>
      <c r="T10" s="300"/>
      <c r="U10" s="300"/>
      <c r="V10" s="300"/>
    </row>
    <row r="11" spans="1:29">
      <c r="A11" s="241"/>
      <c r="B11" s="241"/>
      <c r="C11" s="241"/>
      <c r="D11" s="264"/>
      <c r="E11" s="331"/>
      <c r="F11" s="345"/>
      <c r="G11" s="332"/>
      <c r="H11" s="263"/>
      <c r="I11" s="263"/>
      <c r="J11" s="264"/>
      <c r="K11" s="264"/>
      <c r="L11" s="264"/>
      <c r="M11" s="286"/>
      <c r="N11" s="342"/>
      <c r="O11" s="346"/>
      <c r="P11" s="346"/>
      <c r="Q11" s="346"/>
      <c r="R11" s="346"/>
      <c r="S11" s="346"/>
      <c r="T11" s="347"/>
      <c r="U11" s="286"/>
      <c r="V11" s="286"/>
    </row>
    <row r="12" spans="1:29" ht="75" customHeight="1">
      <c r="A12" s="82"/>
      <c r="B12" s="82"/>
      <c r="C12" s="82"/>
      <c r="D12" s="45"/>
      <c r="E12" s="264" t="s">
        <v>183</v>
      </c>
      <c r="F12" s="217" t="s">
        <v>267</v>
      </c>
      <c r="G12" s="217" t="s">
        <v>264</v>
      </c>
      <c r="H12" s="265" t="s">
        <v>205</v>
      </c>
      <c r="I12" s="265" t="s">
        <v>263</v>
      </c>
      <c r="J12" s="264" t="s">
        <v>79</v>
      </c>
      <c r="K12" s="264" t="s">
        <v>224</v>
      </c>
      <c r="L12" s="264" t="s">
        <v>11</v>
      </c>
      <c r="M12" s="287" t="s">
        <v>12</v>
      </c>
      <c r="N12" s="339" t="s">
        <v>183</v>
      </c>
      <c r="O12" s="339"/>
      <c r="P12" s="339"/>
      <c r="Q12" s="339"/>
      <c r="R12" s="339"/>
      <c r="S12" s="339"/>
      <c r="T12" s="339"/>
      <c r="U12" s="287" t="s">
        <v>211</v>
      </c>
      <c r="V12" s="287" t="s">
        <v>263</v>
      </c>
      <c r="AA12" s="80">
        <v>21722659.059999999</v>
      </c>
      <c r="AB12" s="85">
        <f>AA12+U22</f>
        <v>23184442.439999998</v>
      </c>
    </row>
    <row r="13" spans="1:29" ht="81" customHeight="1">
      <c r="A13" s="83" t="s">
        <v>13</v>
      </c>
      <c r="B13" s="83" t="s">
        <v>14</v>
      </c>
      <c r="C13" s="83"/>
      <c r="D13" s="264" t="s">
        <v>15</v>
      </c>
      <c r="E13" s="42" t="s">
        <v>16</v>
      </c>
      <c r="F13" s="42" t="s">
        <v>16</v>
      </c>
      <c r="G13" s="264" t="s">
        <v>16</v>
      </c>
      <c r="H13" s="264" t="s">
        <v>16</v>
      </c>
      <c r="I13" s="264" t="s">
        <v>16</v>
      </c>
      <c r="J13" s="264" t="s">
        <v>17</v>
      </c>
      <c r="K13" s="264" t="s">
        <v>17</v>
      </c>
      <c r="L13" s="264" t="s">
        <v>17</v>
      </c>
      <c r="M13" s="286" t="s">
        <v>17</v>
      </c>
      <c r="N13" s="286" t="s">
        <v>85</v>
      </c>
      <c r="O13" s="286" t="s">
        <v>83</v>
      </c>
      <c r="P13" s="47" t="s">
        <v>228</v>
      </c>
      <c r="Q13" s="286" t="s">
        <v>84</v>
      </c>
      <c r="R13" s="47" t="s">
        <v>227</v>
      </c>
      <c r="S13" s="47" t="s">
        <v>253</v>
      </c>
      <c r="T13" s="286" t="s">
        <v>12</v>
      </c>
      <c r="U13" s="286" t="s">
        <v>17</v>
      </c>
      <c r="V13" s="286" t="s">
        <v>17</v>
      </c>
      <c r="W13" s="85"/>
      <c r="AA13" s="85">
        <f>U14-AB12</f>
        <v>-3.0060820281505585E-3</v>
      </c>
    </row>
    <row r="14" spans="1:29" ht="21.6" customHeight="1">
      <c r="A14" s="243" t="s">
        <v>18</v>
      </c>
      <c r="B14" s="82"/>
      <c r="C14" s="82"/>
      <c r="D14" s="45"/>
      <c r="E14" s="193"/>
      <c r="F14" s="193"/>
      <c r="G14" s="193"/>
      <c r="H14" s="193"/>
      <c r="I14" s="193"/>
      <c r="J14" s="46"/>
      <c r="K14" s="46"/>
      <c r="L14" s="46"/>
      <c r="M14" s="218"/>
      <c r="N14" s="201">
        <f>N15+N21</f>
        <v>8791850</v>
      </c>
      <c r="O14" s="201">
        <f>O15+O21</f>
        <v>4947990.9978339998</v>
      </c>
      <c r="P14" s="201"/>
      <c r="Q14" s="201">
        <f>Q15+Q21</f>
        <v>8719839.9799499996</v>
      </c>
      <c r="R14" s="201"/>
      <c r="S14" s="201">
        <f>S22</f>
        <v>1461783.38</v>
      </c>
      <c r="T14" s="201">
        <f>T15+T21+T22</f>
        <v>23921464.357783996</v>
      </c>
      <c r="U14" s="201">
        <f>U15+U21+U22</f>
        <v>23184442.436993916</v>
      </c>
      <c r="V14" s="201">
        <f>V15+V21+V22</f>
        <v>23184442.436993916</v>
      </c>
      <c r="W14" s="80">
        <v>4126506.7</v>
      </c>
      <c r="X14" s="85">
        <f>W14-Q14</f>
        <v>-4593333.2799499994</v>
      </c>
      <c r="Y14" s="80">
        <f>X14/I21</f>
        <v>-30622.22186633333</v>
      </c>
      <c r="AA14" s="80">
        <v>8719839.9800000004</v>
      </c>
      <c r="AB14" s="85">
        <f>AA14-Q14</f>
        <v>5.0000846385955811E-5</v>
      </c>
      <c r="AC14" s="124">
        <f>AB14/I22</f>
        <v>3.3333897590637209E-7</v>
      </c>
    </row>
    <row r="15" spans="1:29" ht="85.5" customHeight="1">
      <c r="A15" s="241" t="s">
        <v>247</v>
      </c>
      <c r="B15" s="84" t="s">
        <v>76</v>
      </c>
      <c r="C15" s="84"/>
      <c r="D15" s="45"/>
      <c r="E15" s="193"/>
      <c r="F15" s="193"/>
      <c r="G15" s="193"/>
      <c r="H15" s="193"/>
      <c r="I15" s="193"/>
      <c r="J15" s="46"/>
      <c r="K15" s="46"/>
      <c r="L15" s="46"/>
      <c r="M15" s="46"/>
      <c r="N15" s="46">
        <f>N16+N17+N19+N18+N20</f>
        <v>8791850</v>
      </c>
      <c r="O15" s="46">
        <f t="shared" ref="O15:P15" si="0">O16+O17+O19+O18+O20</f>
        <v>4947990.9978339998</v>
      </c>
      <c r="P15" s="46">
        <f t="shared" si="0"/>
        <v>0</v>
      </c>
      <c r="Q15" s="46">
        <f>Q16+Q17+Q19+Q18+Q20</f>
        <v>7794777.8499499997</v>
      </c>
      <c r="R15" s="46">
        <f t="shared" ref="R15" si="1">R16+R17+R19+R18+R20</f>
        <v>0</v>
      </c>
      <c r="S15" s="46">
        <f t="shared" ref="S15" si="2">S16+S17+S19+S18+S20</f>
        <v>0</v>
      </c>
      <c r="T15" s="46">
        <f>T16+T17+T19+T18+T20</f>
        <v>21534618.847783998</v>
      </c>
      <c r="U15" s="46">
        <f>U16+U17+U19+U18+U20-0.01</f>
        <v>20797596.926993918</v>
      </c>
      <c r="V15" s="46">
        <f>V16+V17+V19+V18+V20-0.01</f>
        <v>20797596.926993918</v>
      </c>
      <c r="W15" s="85">
        <f>T15-U15</f>
        <v>737021.92079007998</v>
      </c>
      <c r="X15" s="85"/>
    </row>
    <row r="16" spans="1:29" ht="15.75" customHeight="1">
      <c r="A16" s="83"/>
      <c r="B16" s="97" t="s">
        <v>272</v>
      </c>
      <c r="C16" s="335" t="s">
        <v>275</v>
      </c>
      <c r="D16" s="44" t="s">
        <v>20</v>
      </c>
      <c r="E16" s="200">
        <v>20</v>
      </c>
      <c r="F16" s="200">
        <v>20</v>
      </c>
      <c r="G16" s="200">
        <v>19</v>
      </c>
      <c r="H16" s="200">
        <v>19</v>
      </c>
      <c r="I16" s="200">
        <v>19</v>
      </c>
      <c r="J16" s="46">
        <f>49378.38+2218.63</f>
        <v>51597.009999999995</v>
      </c>
      <c r="K16" s="46">
        <f>(12142.68*1.802017)+8329.23</f>
        <v>30210.54578556</v>
      </c>
      <c r="L16" s="46">
        <f>50454.5766+0.00627+270+410.666663-4.297066+834.239466</f>
        <v>51965.191933000002</v>
      </c>
      <c r="M16" s="46">
        <f>J16+K16+L16</f>
        <v>133772.74771855999</v>
      </c>
      <c r="N16" s="46">
        <f>G16*J16-0.22</f>
        <v>980342.97</v>
      </c>
      <c r="O16" s="46">
        <f>G16*K16</f>
        <v>574000.36992563994</v>
      </c>
      <c r="P16" s="46"/>
      <c r="Q16" s="46">
        <f>G16*L16</f>
        <v>987338.64672700001</v>
      </c>
      <c r="R16" s="46"/>
      <c r="S16" s="46">
        <v>0</v>
      </c>
      <c r="T16" s="46">
        <f>SUM(N16:Q16)</f>
        <v>2541681.9866526397</v>
      </c>
      <c r="U16" s="46">
        <v>2490000</v>
      </c>
      <c r="V16" s="46">
        <f t="shared" ref="V16:V21" si="3">U16</f>
        <v>2490000</v>
      </c>
      <c r="X16" s="85"/>
    </row>
    <row r="17" spans="1:29" ht="15.75" customHeight="1">
      <c r="A17" s="88"/>
      <c r="B17" s="97" t="s">
        <v>270</v>
      </c>
      <c r="C17" s="338"/>
      <c r="D17" s="265" t="s">
        <v>20</v>
      </c>
      <c r="E17" s="200">
        <v>61</v>
      </c>
      <c r="F17" s="200">
        <v>61</v>
      </c>
      <c r="G17" s="200">
        <v>60</v>
      </c>
      <c r="H17" s="200">
        <v>60</v>
      </c>
      <c r="I17" s="200">
        <v>60</v>
      </c>
      <c r="J17" s="46">
        <f>39098.57+2218.63</f>
        <v>41317.199999999997</v>
      </c>
      <c r="K17" s="46">
        <f>(12142.68*1.802017)+8329.23</f>
        <v>30210.54578556</v>
      </c>
      <c r="L17" s="46">
        <f>50454.5766+0.00627+270+410.666663-4.297066+834.239466</f>
        <v>51965.191933000002</v>
      </c>
      <c r="M17" s="46">
        <f t="shared" ref="M17:M58" si="4">J17+K17+L17</f>
        <v>123492.93771855999</v>
      </c>
      <c r="N17" s="46">
        <f>G17*J17-0.2</f>
        <v>2479031.7999999998</v>
      </c>
      <c r="O17" s="46">
        <f>G17*K17+0.05</f>
        <v>1812632.7971336001</v>
      </c>
      <c r="P17" s="46"/>
      <c r="Q17" s="46">
        <f>G17*L17</f>
        <v>3117911.5159800001</v>
      </c>
      <c r="R17" s="46"/>
      <c r="S17" s="46">
        <v>0</v>
      </c>
      <c r="T17" s="46">
        <f>SUM(N17:Q17)</f>
        <v>7409576.1131136008</v>
      </c>
      <c r="U17" s="46">
        <f>6879303.84-48983.57</f>
        <v>6830320.2699999996</v>
      </c>
      <c r="V17" s="46">
        <f t="shared" si="3"/>
        <v>6830320.2699999996</v>
      </c>
      <c r="X17" s="85"/>
    </row>
    <row r="18" spans="1:29" ht="120" customHeight="1">
      <c r="A18" s="88"/>
      <c r="B18" s="93" t="s">
        <v>269</v>
      </c>
      <c r="C18" s="337"/>
      <c r="D18" s="265" t="s">
        <v>20</v>
      </c>
      <c r="E18" s="200">
        <v>22</v>
      </c>
      <c r="F18" s="200">
        <v>22</v>
      </c>
      <c r="G18" s="200">
        <v>22</v>
      </c>
      <c r="H18" s="200">
        <v>22</v>
      </c>
      <c r="I18" s="200">
        <v>22</v>
      </c>
      <c r="J18" s="219">
        <f>77037.7+2218.63</f>
        <v>79256.33</v>
      </c>
      <c r="K18" s="46">
        <f>(12142.68*1.802017)+8329.23</f>
        <v>30210.54578556</v>
      </c>
      <c r="L18" s="46">
        <f>50454.5766+0.00627+270+410.666663-4.297066+834.239466</f>
        <v>51965.191933000002</v>
      </c>
      <c r="M18" s="46">
        <f t="shared" si="4"/>
        <v>161432.06771855999</v>
      </c>
      <c r="N18" s="46">
        <f>G18*J18+0.6</f>
        <v>1743639.86</v>
      </c>
      <c r="O18" s="46">
        <f>G18*K18+0.05</f>
        <v>664632.05728231999</v>
      </c>
      <c r="P18" s="46"/>
      <c r="Q18" s="46">
        <f>G18*L18</f>
        <v>1143234.2225260001</v>
      </c>
      <c r="R18" s="46"/>
      <c r="S18" s="46">
        <v>0</v>
      </c>
      <c r="T18" s="46">
        <f>SUM(N18:Q18)</f>
        <v>3551506.1398083204</v>
      </c>
      <c r="U18" s="46">
        <v>3491663.84</v>
      </c>
      <c r="V18" s="46">
        <f t="shared" si="3"/>
        <v>3491663.84</v>
      </c>
      <c r="X18" s="85"/>
    </row>
    <row r="19" spans="1:29" ht="138.75" customHeight="1">
      <c r="A19" s="88"/>
      <c r="B19" s="97" t="s">
        <v>270</v>
      </c>
      <c r="C19" s="93" t="s">
        <v>274</v>
      </c>
      <c r="D19" s="265" t="s">
        <v>20</v>
      </c>
      <c r="E19" s="200">
        <v>17</v>
      </c>
      <c r="F19" s="200">
        <v>17</v>
      </c>
      <c r="G19" s="200">
        <v>17</v>
      </c>
      <c r="H19" s="200">
        <v>17</v>
      </c>
      <c r="I19" s="200">
        <v>17</v>
      </c>
      <c r="J19" s="220">
        <f>75101.54+2218.63</f>
        <v>77320.17</v>
      </c>
      <c r="K19" s="46">
        <f>(12142.68*1.802017)+8329.23</f>
        <v>30210.54578556</v>
      </c>
      <c r="L19" s="46">
        <f>50454.5766+0.00627+270+410.666663-4.297066+834.239466</f>
        <v>51965.191933000002</v>
      </c>
      <c r="M19" s="46">
        <f t="shared" si="4"/>
        <v>159495.90771855999</v>
      </c>
      <c r="N19" s="46">
        <f>G19*J19-0.18</f>
        <v>1314442.71</v>
      </c>
      <c r="O19" s="46">
        <f>G19*K19-0.37+0.01</f>
        <v>513578.91835451999</v>
      </c>
      <c r="P19" s="46"/>
      <c r="Q19" s="46">
        <f>G19*L19-0.47</f>
        <v>883407.79286100005</v>
      </c>
      <c r="R19" s="46"/>
      <c r="S19" s="46">
        <v>0</v>
      </c>
      <c r="T19" s="46">
        <f t="shared" ref="T19:T108" si="5">SUM(N19:Q19)</f>
        <v>2711429.4212155202</v>
      </c>
      <c r="U19" s="46">
        <v>2665187.64</v>
      </c>
      <c r="V19" s="46">
        <f t="shared" si="3"/>
        <v>2665187.64</v>
      </c>
      <c r="X19" s="85"/>
    </row>
    <row r="20" spans="1:29" ht="107.25" customHeight="1">
      <c r="A20" s="88"/>
      <c r="B20" s="97" t="s">
        <v>271</v>
      </c>
      <c r="C20" s="93" t="s">
        <v>273</v>
      </c>
      <c r="D20" s="265" t="s">
        <v>31</v>
      </c>
      <c r="E20" s="200">
        <v>3</v>
      </c>
      <c r="F20" s="200">
        <v>3</v>
      </c>
      <c r="G20" s="200">
        <v>32</v>
      </c>
      <c r="H20" s="200">
        <v>32</v>
      </c>
      <c r="I20" s="200">
        <v>32</v>
      </c>
      <c r="J20" s="220">
        <v>758131.11</v>
      </c>
      <c r="K20" s="46">
        <v>43223.34703556</v>
      </c>
      <c r="L20" s="46">
        <f>50454.5766+0.00627+270+410.666663-4.297066+834.239466</f>
        <v>51965.191933000002</v>
      </c>
      <c r="M20" s="46">
        <v>856310.33297555987</v>
      </c>
      <c r="N20" s="46">
        <f>2274393-0.34</f>
        <v>2274392.66</v>
      </c>
      <c r="O20" s="46">
        <f>1383146.99513792-0.14</f>
        <v>1383146.85513792</v>
      </c>
      <c r="P20" s="46"/>
      <c r="Q20" s="46">
        <f>G20*L20-0.47</f>
        <v>1662885.6718560001</v>
      </c>
      <c r="R20" s="46"/>
      <c r="S20" s="46"/>
      <c r="T20" s="46">
        <f t="shared" si="5"/>
        <v>5320425.1869939202</v>
      </c>
      <c r="U20" s="46">
        <f>T20</f>
        <v>5320425.1869939202</v>
      </c>
      <c r="V20" s="46">
        <f t="shared" si="3"/>
        <v>5320425.1869939202</v>
      </c>
      <c r="X20" s="85"/>
    </row>
    <row r="21" spans="1:29" s="260" customFormat="1" ht="63" customHeight="1">
      <c r="A21" s="258" t="s">
        <v>248</v>
      </c>
      <c r="B21" s="259" t="s">
        <v>28</v>
      </c>
      <c r="C21" s="259" t="s">
        <v>219</v>
      </c>
      <c r="D21" s="45"/>
      <c r="E21" s="200">
        <f>E19+E18+E17+E16</f>
        <v>120</v>
      </c>
      <c r="F21" s="200">
        <f>F19+F18+F17+F16</f>
        <v>120</v>
      </c>
      <c r="G21" s="200">
        <f>G20+G19+G18+G17+G16</f>
        <v>150</v>
      </c>
      <c r="H21" s="200">
        <f>H20+H19+H18+H17+H16</f>
        <v>150</v>
      </c>
      <c r="I21" s="200">
        <f>I20+I19+I18+I17+I16</f>
        <v>150</v>
      </c>
      <c r="J21" s="46">
        <v>0</v>
      </c>
      <c r="K21" s="46"/>
      <c r="L21" s="46">
        <f>Q21/G21</f>
        <v>6167.0808666666671</v>
      </c>
      <c r="M21" s="46">
        <f>J21+K21+L21</f>
        <v>6167.0808666666671</v>
      </c>
      <c r="N21" s="206">
        <f t="shared" ref="N21" si="6">E21*J21</f>
        <v>0</v>
      </c>
      <c r="O21" s="46"/>
      <c r="P21" s="46"/>
      <c r="Q21" s="46">
        <v>925062.13</v>
      </c>
      <c r="R21" s="46"/>
      <c r="S21" s="46">
        <v>0</v>
      </c>
      <c r="T21" s="46">
        <f>SUM(N21:Q21)</f>
        <v>925062.13</v>
      </c>
      <c r="U21" s="46">
        <f>T21</f>
        <v>925062.13</v>
      </c>
      <c r="V21" s="46">
        <f t="shared" si="3"/>
        <v>925062.13</v>
      </c>
      <c r="AA21" s="285">
        <f>18835786.28+U35</f>
        <v>19648621.560000002</v>
      </c>
      <c r="AB21" s="285">
        <f>U25-AA21</f>
        <v>0</v>
      </c>
      <c r="AC21" s="285"/>
    </row>
    <row r="22" spans="1:29" s="192" customFormat="1" ht="17.25" customHeight="1">
      <c r="A22" s="245"/>
      <c r="B22" s="199" t="s">
        <v>28</v>
      </c>
      <c r="C22" s="199" t="s">
        <v>220</v>
      </c>
      <c r="D22" s="45"/>
      <c r="E22" s="200"/>
      <c r="F22" s="200"/>
      <c r="G22" s="200">
        <v>150</v>
      </c>
      <c r="H22" s="200">
        <v>150</v>
      </c>
      <c r="I22" s="200">
        <v>150</v>
      </c>
      <c r="J22" s="46"/>
      <c r="K22" s="46"/>
      <c r="L22" s="46">
        <f>S22/G22</f>
        <v>9745.2225333333317</v>
      </c>
      <c r="M22" s="46">
        <f>J22+K22+L22</f>
        <v>9745.2225333333317</v>
      </c>
      <c r="N22" s="206"/>
      <c r="O22" s="46"/>
      <c r="P22" s="46"/>
      <c r="Q22" s="46"/>
      <c r="R22" s="46"/>
      <c r="S22" s="46">
        <f>1461783.38</f>
        <v>1461783.38</v>
      </c>
      <c r="T22" s="46">
        <f>S22</f>
        <v>1461783.38</v>
      </c>
      <c r="U22" s="46">
        <f>S22</f>
        <v>1461783.38</v>
      </c>
      <c r="V22" s="46">
        <f>S22</f>
        <v>1461783.38</v>
      </c>
    </row>
    <row r="23" spans="1:29" ht="45" hidden="1" customHeight="1">
      <c r="A23" s="242"/>
      <c r="B23" s="128"/>
      <c r="C23" s="127" t="s">
        <v>226</v>
      </c>
      <c r="D23" s="265"/>
      <c r="E23" s="200"/>
      <c r="F23" s="200"/>
      <c r="G23" s="200"/>
      <c r="H23" s="200"/>
      <c r="I23" s="200"/>
      <c r="J23" s="46"/>
      <c r="K23" s="46"/>
      <c r="L23" s="46"/>
      <c r="M23" s="46">
        <f t="shared" si="4"/>
        <v>0</v>
      </c>
      <c r="N23" s="206"/>
      <c r="O23" s="46"/>
      <c r="P23" s="206"/>
      <c r="Q23" s="46"/>
      <c r="R23" s="46"/>
      <c r="S23" s="46"/>
      <c r="T23" s="46">
        <f>N23+O23+P23+Q23</f>
        <v>0</v>
      </c>
      <c r="U23" s="46">
        <f t="shared" ref="U23:V24" si="7">T23</f>
        <v>0</v>
      </c>
      <c r="V23" s="46">
        <f t="shared" si="7"/>
        <v>0</v>
      </c>
    </row>
    <row r="24" spans="1:29" ht="16.5" hidden="1" customHeight="1">
      <c r="A24" s="242"/>
      <c r="B24" s="128"/>
      <c r="C24" s="127"/>
      <c r="D24" s="265"/>
      <c r="E24" s="200"/>
      <c r="F24" s="200"/>
      <c r="G24" s="200"/>
      <c r="H24" s="200"/>
      <c r="I24" s="200"/>
      <c r="J24" s="46"/>
      <c r="K24" s="46"/>
      <c r="L24" s="46"/>
      <c r="M24" s="46">
        <f t="shared" si="4"/>
        <v>0</v>
      </c>
      <c r="N24" s="206"/>
      <c r="O24" s="46"/>
      <c r="P24" s="206"/>
      <c r="Q24" s="46"/>
      <c r="R24" s="46"/>
      <c r="S24" s="46"/>
      <c r="T24" s="46">
        <f>O24</f>
        <v>0</v>
      </c>
      <c r="U24" s="46">
        <f t="shared" si="7"/>
        <v>0</v>
      </c>
      <c r="V24" s="46">
        <f t="shared" si="7"/>
        <v>0</v>
      </c>
    </row>
    <row r="25" spans="1:29" ht="15.75" customHeight="1">
      <c r="A25" s="243" t="s">
        <v>35</v>
      </c>
      <c r="B25" s="242"/>
      <c r="C25" s="127"/>
      <c r="D25" s="204"/>
      <c r="E25" s="222"/>
      <c r="F25" s="222"/>
      <c r="G25" s="222"/>
      <c r="H25" s="222"/>
      <c r="I25" s="222"/>
      <c r="J25" s="201"/>
      <c r="K25" s="201"/>
      <c r="L25" s="218"/>
      <c r="M25" s="46">
        <f t="shared" si="4"/>
        <v>0</v>
      </c>
      <c r="N25" s="201">
        <f>N26+N34</f>
        <v>8911485.9999999981</v>
      </c>
      <c r="O25" s="201">
        <f>O26</f>
        <v>3795470.0021971604</v>
      </c>
      <c r="P25" s="207">
        <f>P26</f>
        <v>0</v>
      </c>
      <c r="Q25" s="201">
        <f>Q26+Q34</f>
        <v>6003686.5500034792</v>
      </c>
      <c r="R25" s="201">
        <f>R26</f>
        <v>0</v>
      </c>
      <c r="S25" s="201">
        <f>S35</f>
        <v>812835.28</v>
      </c>
      <c r="T25" s="201">
        <f>T26+T34+T35</f>
        <v>19523477.832200639</v>
      </c>
      <c r="U25" s="201">
        <f>U26+U34+U35-0.99</f>
        <v>19648621.560000002</v>
      </c>
      <c r="V25" s="201">
        <f>V26+V34+V35-0.99</f>
        <v>19648621.560000002</v>
      </c>
      <c r="W25" s="80">
        <v>3446778.28</v>
      </c>
      <c r="X25" s="85">
        <f>W25-Q25</f>
        <v>-2556908.2700034794</v>
      </c>
      <c r="Y25" s="80">
        <f>X25/111</f>
        <v>-23035.209639670986</v>
      </c>
      <c r="AA25" s="80">
        <v>6003686.5499999998</v>
      </c>
      <c r="AB25" s="85">
        <f>AA25-Q25</f>
        <v>-3.4794211387634277E-6</v>
      </c>
      <c r="AC25" s="80">
        <f>AB25/I34</f>
        <v>-3.1346136385256106E-8</v>
      </c>
    </row>
    <row r="26" spans="1:29" ht="84.75" customHeight="1">
      <c r="A26" s="241" t="s">
        <v>247</v>
      </c>
      <c r="B26" s="84" t="s">
        <v>76</v>
      </c>
      <c r="C26" s="128"/>
      <c r="D26" s="45"/>
      <c r="E26" s="221"/>
      <c r="F26" s="221"/>
      <c r="G26" s="221"/>
      <c r="H26" s="221"/>
      <c r="I26" s="221"/>
      <c r="J26" s="46"/>
      <c r="K26" s="46"/>
      <c r="L26" s="46"/>
      <c r="M26" s="46">
        <f t="shared" si="4"/>
        <v>0</v>
      </c>
      <c r="N26" s="46">
        <f>SUM(N27:N35)</f>
        <v>8911485.9999999981</v>
      </c>
      <c r="O26" s="46">
        <f>SUM(O27:O35)</f>
        <v>3795470.0021971604</v>
      </c>
      <c r="P26" s="206"/>
      <c r="Q26" s="46">
        <f t="shared" ref="Q26" si="8">SUM(Q27:Q31)</f>
        <v>5396302.5900034793</v>
      </c>
      <c r="R26" s="46"/>
      <c r="S26" s="46"/>
      <c r="T26" s="46">
        <f>SUM(T27:T33)</f>
        <v>18103258.592200637</v>
      </c>
      <c r="U26" s="46">
        <f>SUM(U27:U33)-0.02</f>
        <v>18228403.309999999</v>
      </c>
      <c r="V26" s="46">
        <f>SUM(V27:V33)-0.02</f>
        <v>18228403.309999999</v>
      </c>
      <c r="W26" s="85">
        <f>T25-U25</f>
        <v>-125143.72779936343</v>
      </c>
      <c r="Y26" s="85"/>
      <c r="AA26" s="85"/>
    </row>
    <row r="27" spans="1:29" ht="52.5" customHeight="1">
      <c r="A27" s="83"/>
      <c r="B27" s="97" t="s">
        <v>272</v>
      </c>
      <c r="C27" s="333" t="s">
        <v>275</v>
      </c>
      <c r="D27" s="265" t="s">
        <v>20</v>
      </c>
      <c r="E27" s="200">
        <v>18</v>
      </c>
      <c r="F27" s="200">
        <v>18</v>
      </c>
      <c r="G27" s="200">
        <v>13</v>
      </c>
      <c r="H27" s="200">
        <v>13</v>
      </c>
      <c r="I27" s="200">
        <v>13</v>
      </c>
      <c r="J27" s="46">
        <f>43138.04+2775.31</f>
        <v>45913.35</v>
      </c>
      <c r="K27" s="46">
        <f>(12142.68*1.802017)+12312.12</f>
        <v>34193.435785560003</v>
      </c>
      <c r="L27" s="46">
        <f>47485.28351+180.1801837+90.09009008+859.7848649</f>
        <v>48615.338648680001</v>
      </c>
      <c r="M27" s="46">
        <f t="shared" si="4"/>
        <v>128722.12443424</v>
      </c>
      <c r="N27" s="46">
        <f>G27*J27+0.48</f>
        <v>596874.02999999991</v>
      </c>
      <c r="O27" s="46">
        <f>G27*K27</f>
        <v>444514.66521228006</v>
      </c>
      <c r="P27" s="206"/>
      <c r="Q27" s="46">
        <f>G27*L27</f>
        <v>631999.40243283997</v>
      </c>
      <c r="R27" s="46"/>
      <c r="S27" s="46"/>
      <c r="T27" s="46">
        <f t="shared" si="5"/>
        <v>1673388.0976451198</v>
      </c>
      <c r="U27" s="46">
        <v>1641571.38</v>
      </c>
      <c r="V27" s="46">
        <f t="shared" ref="V27:V30" si="9">U27</f>
        <v>1641571.38</v>
      </c>
    </row>
    <row r="28" spans="1:29" ht="52.5" customHeight="1">
      <c r="A28" s="83"/>
      <c r="B28" s="97" t="s">
        <v>270</v>
      </c>
      <c r="C28" s="334"/>
      <c r="D28" s="265" t="s">
        <v>20</v>
      </c>
      <c r="E28" s="200"/>
      <c r="F28" s="200"/>
      <c r="G28" s="200">
        <v>24</v>
      </c>
      <c r="H28" s="200">
        <v>24</v>
      </c>
      <c r="I28" s="200">
        <v>24</v>
      </c>
      <c r="J28" s="46">
        <f>34198.17+2775.31</f>
        <v>36973.479999999996</v>
      </c>
      <c r="K28" s="46">
        <f>(12142.68*1.802017)+12312.12</f>
        <v>34193.435785560003</v>
      </c>
      <c r="L28" s="46">
        <f t="shared" ref="L28:L31" si="10">47485.28351+180.1801837+90.09009008+859.7848649</f>
        <v>48615.338648680001</v>
      </c>
      <c r="M28" s="46">
        <f t="shared" si="4"/>
        <v>119782.25443424001</v>
      </c>
      <c r="N28" s="46">
        <f>G28*J28</f>
        <v>887363.5199999999</v>
      </c>
      <c r="O28" s="46">
        <f>G28*K28</f>
        <v>820642.45885344013</v>
      </c>
      <c r="P28" s="206"/>
      <c r="Q28" s="46">
        <f t="shared" ref="Q28:Q29" si="11">G28*L28</f>
        <v>1166768.1275683199</v>
      </c>
      <c r="R28" s="46"/>
      <c r="S28" s="46"/>
      <c r="T28" s="46">
        <f t="shared" si="5"/>
        <v>2874774.1064217598</v>
      </c>
      <c r="U28" s="46">
        <v>2816035.73</v>
      </c>
      <c r="V28" s="46">
        <f t="shared" si="9"/>
        <v>2816035.73</v>
      </c>
    </row>
    <row r="29" spans="1:29" ht="54.75" customHeight="1">
      <c r="A29" s="83"/>
      <c r="B29" s="97" t="s">
        <v>338</v>
      </c>
      <c r="C29" s="333" t="s">
        <v>276</v>
      </c>
      <c r="D29" s="265" t="s">
        <v>20</v>
      </c>
      <c r="E29" s="200"/>
      <c r="F29" s="200"/>
      <c r="G29" s="200">
        <v>18</v>
      </c>
      <c r="H29" s="200">
        <v>18</v>
      </c>
      <c r="I29" s="200">
        <v>18</v>
      </c>
      <c r="J29" s="46">
        <f>142093.58+2775.31</f>
        <v>144868.88999999998</v>
      </c>
      <c r="K29" s="46">
        <f>(12142.68*1.802017)+12312.12</f>
        <v>34193.435785560003</v>
      </c>
      <c r="L29" s="46">
        <f t="shared" si="10"/>
        <v>48615.338648680001</v>
      </c>
      <c r="M29" s="46">
        <f t="shared" si="4"/>
        <v>227677.66443423997</v>
      </c>
      <c r="N29" s="46">
        <f>G29*J29</f>
        <v>2607640.0199999996</v>
      </c>
      <c r="O29" s="46">
        <f>G29*K29</f>
        <v>615481.84414008004</v>
      </c>
      <c r="P29" s="206"/>
      <c r="Q29" s="46">
        <f t="shared" si="11"/>
        <v>875076.09567624005</v>
      </c>
      <c r="R29" s="46"/>
      <c r="S29" s="46"/>
      <c r="T29" s="46">
        <f t="shared" si="5"/>
        <v>4098197.9598163194</v>
      </c>
      <c r="U29" s="46">
        <v>4054144.04</v>
      </c>
      <c r="V29" s="46">
        <f t="shared" si="9"/>
        <v>4054144.04</v>
      </c>
    </row>
    <row r="30" spans="1:29" ht="50.25" customHeight="1">
      <c r="A30" s="83"/>
      <c r="B30" s="97" t="s">
        <v>303</v>
      </c>
      <c r="C30" s="336"/>
      <c r="D30" s="265" t="s">
        <v>20</v>
      </c>
      <c r="E30" s="200">
        <v>30</v>
      </c>
      <c r="F30" s="200">
        <v>30</v>
      </c>
      <c r="G30" s="200">
        <v>13</v>
      </c>
      <c r="H30" s="200">
        <v>13</v>
      </c>
      <c r="I30" s="200">
        <v>13</v>
      </c>
      <c r="J30" s="46">
        <f>142093.58+2775.31</f>
        <v>144868.88999999998</v>
      </c>
      <c r="K30" s="46">
        <f>(12142.68*1.802017)+12312.12</f>
        <v>34193.435785560003</v>
      </c>
      <c r="L30" s="46">
        <f t="shared" si="10"/>
        <v>48615.338648680001</v>
      </c>
      <c r="M30" s="46">
        <f t="shared" si="4"/>
        <v>227677.66443423997</v>
      </c>
      <c r="N30" s="46">
        <f>G30*J30+0.46-0.22</f>
        <v>1883295.8099999998</v>
      </c>
      <c r="O30" s="46">
        <f>G30*K30</f>
        <v>444514.66521228006</v>
      </c>
      <c r="P30" s="206"/>
      <c r="Q30" s="46">
        <f>G30*L30</f>
        <v>631999.40243283997</v>
      </c>
      <c r="R30" s="46"/>
      <c r="S30" s="46"/>
      <c r="T30" s="46">
        <f t="shared" si="5"/>
        <v>2959809.8776451196</v>
      </c>
      <c r="U30" s="46">
        <v>2927993.38</v>
      </c>
      <c r="V30" s="46">
        <f t="shared" si="9"/>
        <v>2927993.38</v>
      </c>
    </row>
    <row r="31" spans="1:29" ht="105.75" customHeight="1">
      <c r="A31" s="83"/>
      <c r="B31" s="93" t="s">
        <v>278</v>
      </c>
      <c r="C31" s="93" t="s">
        <v>277</v>
      </c>
      <c r="D31" s="265" t="s">
        <v>20</v>
      </c>
      <c r="E31" s="200">
        <v>67</v>
      </c>
      <c r="F31" s="200">
        <v>67</v>
      </c>
      <c r="G31" s="200">
        <v>43</v>
      </c>
      <c r="H31" s="200">
        <v>43</v>
      </c>
      <c r="I31" s="200">
        <v>43</v>
      </c>
      <c r="J31" s="220">
        <f>65511.03+2775.31</f>
        <v>68286.34</v>
      </c>
      <c r="K31" s="46">
        <f>(12142.68*1.802017)+12312.12</f>
        <v>34193.435785560003</v>
      </c>
      <c r="L31" s="46">
        <f t="shared" si="10"/>
        <v>48615.338648680001</v>
      </c>
      <c r="M31" s="46">
        <f t="shared" si="4"/>
        <v>151095.11443423998</v>
      </c>
      <c r="N31" s="46">
        <f>G31*J31</f>
        <v>2936312.6199999996</v>
      </c>
      <c r="O31" s="46">
        <f>G31*K31-1.37</f>
        <v>1470316.36877908</v>
      </c>
      <c r="P31" s="206"/>
      <c r="Q31" s="46">
        <f>G31*L31</f>
        <v>2090459.5618932401</v>
      </c>
      <c r="R31" s="46"/>
      <c r="S31" s="46"/>
      <c r="T31" s="46">
        <f t="shared" si="5"/>
        <v>6497088.5506723188</v>
      </c>
      <c r="U31" s="46">
        <f>7227653.95-438995.15</f>
        <v>6788658.7999999998</v>
      </c>
      <c r="V31" s="46">
        <f>U31</f>
        <v>6788658.7999999998</v>
      </c>
    </row>
    <row r="32" spans="1:29" ht="44.25" hidden="1" customHeight="1">
      <c r="A32" s="83"/>
      <c r="B32" s="128"/>
      <c r="C32" s="127" t="s">
        <v>226</v>
      </c>
      <c r="D32" s="265"/>
      <c r="E32" s="200"/>
      <c r="F32" s="200"/>
      <c r="G32" s="200"/>
      <c r="H32" s="200"/>
      <c r="I32" s="200"/>
      <c r="J32" s="46"/>
      <c r="K32" s="46"/>
      <c r="L32" s="46"/>
      <c r="M32" s="46">
        <f t="shared" si="4"/>
        <v>0</v>
      </c>
      <c r="N32" s="206"/>
      <c r="O32" s="46"/>
      <c r="P32" s="206"/>
      <c r="Q32" s="46"/>
      <c r="R32" s="46"/>
      <c r="S32" s="46"/>
      <c r="T32" s="46">
        <f>N32</f>
        <v>0</v>
      </c>
      <c r="U32" s="46">
        <f t="shared" ref="U32:V34" si="12">T32</f>
        <v>0</v>
      </c>
      <c r="V32" s="46">
        <f t="shared" si="12"/>
        <v>0</v>
      </c>
    </row>
    <row r="33" spans="1:29" hidden="1">
      <c r="A33" s="83"/>
      <c r="B33" s="128"/>
      <c r="C33" s="127"/>
      <c r="D33" s="265"/>
      <c r="E33" s="200"/>
      <c r="F33" s="200"/>
      <c r="G33" s="200"/>
      <c r="H33" s="200"/>
      <c r="I33" s="200"/>
      <c r="J33" s="46"/>
      <c r="K33" s="46"/>
      <c r="L33" s="46"/>
      <c r="M33" s="46">
        <f t="shared" si="4"/>
        <v>0</v>
      </c>
      <c r="N33" s="206"/>
      <c r="O33" s="46"/>
      <c r="P33" s="206"/>
      <c r="Q33" s="46"/>
      <c r="R33" s="46"/>
      <c r="S33" s="46"/>
      <c r="T33" s="46">
        <f>O33</f>
        <v>0</v>
      </c>
      <c r="U33" s="46">
        <f t="shared" si="12"/>
        <v>0</v>
      </c>
      <c r="V33" s="46">
        <f t="shared" si="12"/>
        <v>0</v>
      </c>
    </row>
    <row r="34" spans="1:29" ht="64.5" customHeight="1">
      <c r="A34" s="241" t="s">
        <v>248</v>
      </c>
      <c r="B34" s="242" t="s">
        <v>332</v>
      </c>
      <c r="C34" s="127" t="s">
        <v>219</v>
      </c>
      <c r="D34" s="265" t="s">
        <v>20</v>
      </c>
      <c r="E34" s="200">
        <v>115</v>
      </c>
      <c r="F34" s="200">
        <v>115</v>
      </c>
      <c r="G34" s="200">
        <v>111</v>
      </c>
      <c r="H34" s="200">
        <v>111</v>
      </c>
      <c r="I34" s="200">
        <v>111</v>
      </c>
      <c r="J34" s="46" t="s">
        <v>23</v>
      </c>
      <c r="K34" s="46"/>
      <c r="L34" s="46">
        <f>Q34/G34</f>
        <v>5471.9275675675672</v>
      </c>
      <c r="M34" s="46">
        <f t="shared" si="4"/>
        <v>5471.9275675675672</v>
      </c>
      <c r="N34" s="206">
        <f t="shared" ref="N34:N76" si="13">E34*J34</f>
        <v>0</v>
      </c>
      <c r="O34" s="46"/>
      <c r="P34" s="206"/>
      <c r="Q34" s="46">
        <v>607383.96</v>
      </c>
      <c r="R34" s="46"/>
      <c r="S34" s="46"/>
      <c r="T34" s="46">
        <f>SUM(N34:Q34)</f>
        <v>607383.96</v>
      </c>
      <c r="U34" s="46">
        <f t="shared" si="12"/>
        <v>607383.96</v>
      </c>
      <c r="V34" s="46">
        <f t="shared" si="12"/>
        <v>607383.96</v>
      </c>
    </row>
    <row r="35" spans="1:29">
      <c r="A35" s="86"/>
      <c r="B35" s="242" t="s">
        <v>332</v>
      </c>
      <c r="C35" s="127" t="s">
        <v>220</v>
      </c>
      <c r="D35" s="265"/>
      <c r="E35" s="200"/>
      <c r="F35" s="200"/>
      <c r="G35" s="200">
        <v>105</v>
      </c>
      <c r="H35" s="200">
        <v>105</v>
      </c>
      <c r="I35" s="200">
        <v>105</v>
      </c>
      <c r="J35" s="46"/>
      <c r="K35" s="46"/>
      <c r="L35" s="46">
        <f>S35/G35</f>
        <v>7741.288380952381</v>
      </c>
      <c r="M35" s="46">
        <f t="shared" si="4"/>
        <v>7741.288380952381</v>
      </c>
      <c r="N35" s="206"/>
      <c r="O35" s="46"/>
      <c r="P35" s="206"/>
      <c r="Q35" s="46"/>
      <c r="R35" s="46"/>
      <c r="S35" s="46">
        <v>812835.28</v>
      </c>
      <c r="T35" s="46">
        <f>S35</f>
        <v>812835.28</v>
      </c>
      <c r="U35" s="46">
        <f>S35</f>
        <v>812835.28</v>
      </c>
      <c r="V35" s="46">
        <f>S35</f>
        <v>812835.28</v>
      </c>
    </row>
    <row r="36" spans="1:29">
      <c r="A36" s="243" t="s">
        <v>40</v>
      </c>
      <c r="B36" s="94"/>
      <c r="C36" s="94"/>
      <c r="D36" s="257"/>
      <c r="E36" s="222"/>
      <c r="F36" s="222"/>
      <c r="G36" s="222"/>
      <c r="H36" s="222"/>
      <c r="I36" s="222"/>
      <c r="J36" s="201"/>
      <c r="K36" s="201"/>
      <c r="L36" s="201"/>
      <c r="M36" s="46">
        <f t="shared" si="4"/>
        <v>0</v>
      </c>
      <c r="N36" s="201">
        <f>N37+N45</f>
        <v>6647073.9999999991</v>
      </c>
      <c r="O36" s="201">
        <f>O37+O45</f>
        <v>3254736.9995538397</v>
      </c>
      <c r="P36" s="201"/>
      <c r="Q36" s="201">
        <f>Q37+Q45</f>
        <v>5754388.0300014075</v>
      </c>
      <c r="R36" s="201"/>
      <c r="S36" s="201">
        <f>S46</f>
        <v>967166.95</v>
      </c>
      <c r="T36" s="201">
        <f>T37+T45+T46</f>
        <v>16623365.979555245</v>
      </c>
      <c r="U36" s="201">
        <f>U37+U45+U46</f>
        <v>16192081.98</v>
      </c>
      <c r="V36" s="201">
        <f>V37+V45+V46</f>
        <v>16192081.98</v>
      </c>
      <c r="W36" s="85">
        <v>3416765.03</v>
      </c>
      <c r="X36" s="85">
        <f>W36-Q36</f>
        <v>-2337623.0000014077</v>
      </c>
      <c r="Y36" s="80">
        <f>X36/I45</f>
        <v>-20505.46491229305</v>
      </c>
      <c r="AA36" s="80">
        <v>5754388.0300000003</v>
      </c>
      <c r="AB36" s="85">
        <f>AA36-Q36</f>
        <v>-1.407228410243988E-6</v>
      </c>
      <c r="AC36" s="80">
        <f>AB36/I45</f>
        <v>-1.2344108861789369E-8</v>
      </c>
    </row>
    <row r="37" spans="1:29" ht="84" customHeight="1">
      <c r="A37" s="241" t="s">
        <v>247</v>
      </c>
      <c r="B37" s="84" t="s">
        <v>76</v>
      </c>
      <c r="C37" s="128"/>
      <c r="D37" s="52"/>
      <c r="E37" s="221"/>
      <c r="F37" s="221"/>
      <c r="G37" s="221"/>
      <c r="H37" s="221"/>
      <c r="I37" s="221"/>
      <c r="J37" s="46"/>
      <c r="K37" s="46"/>
      <c r="L37" s="46"/>
      <c r="M37" s="46">
        <f t="shared" si="4"/>
        <v>0</v>
      </c>
      <c r="N37" s="46">
        <f>SUM(N38:N46)</f>
        <v>6647073.9999999991</v>
      </c>
      <c r="O37" s="46">
        <f>SUM(O38:O46)</f>
        <v>3254736.9995538397</v>
      </c>
      <c r="P37" s="46"/>
      <c r="Q37" s="46">
        <f t="shared" ref="Q37" si="14">SUM(Q38:Q40)</f>
        <v>4892207.6900014076</v>
      </c>
      <c r="R37" s="46"/>
      <c r="S37" s="46"/>
      <c r="T37" s="46">
        <f>SUM(T38:T44)</f>
        <v>14794018.689555246</v>
      </c>
      <c r="U37" s="46">
        <f t="shared" ref="U37:V37" si="15">SUM(U38:U44)</f>
        <v>14362734.690000001</v>
      </c>
      <c r="V37" s="46">
        <f t="shared" si="15"/>
        <v>14362734.690000001</v>
      </c>
      <c r="W37" s="85">
        <f>T36-U36</f>
        <v>431283.99955524504</v>
      </c>
      <c r="AA37" s="85">
        <f>15224915.03+U46</f>
        <v>16192081.979999999</v>
      </c>
      <c r="AB37" s="85">
        <f>U36-AA37</f>
        <v>0</v>
      </c>
    </row>
    <row r="38" spans="1:29" ht="56.25" customHeight="1">
      <c r="A38" s="83"/>
      <c r="B38" s="97" t="s">
        <v>272</v>
      </c>
      <c r="C38" s="335" t="s">
        <v>275</v>
      </c>
      <c r="D38" s="265" t="s">
        <v>20</v>
      </c>
      <c r="E38" s="200">
        <v>22</v>
      </c>
      <c r="F38" s="200">
        <v>22</v>
      </c>
      <c r="G38" s="200">
        <v>19</v>
      </c>
      <c r="H38" s="200">
        <v>19</v>
      </c>
      <c r="I38" s="200">
        <v>19</v>
      </c>
      <c r="J38" s="46">
        <f>43138.04+1744.28</f>
        <v>44882.32</v>
      </c>
      <c r="K38" s="46">
        <f>(12142.68*1.802017)+6669.01</f>
        <v>28550.325785560002</v>
      </c>
      <c r="L38" s="46">
        <f>41633.620087772+290.3508771+572.3684211+417.7631579</f>
        <v>42914.102543871995</v>
      </c>
      <c r="M38" s="46">
        <f t="shared" si="4"/>
        <v>116346.748329432</v>
      </c>
      <c r="N38" s="46">
        <f>G38*J38+0.24</f>
        <v>852764.32</v>
      </c>
      <c r="O38" s="46">
        <f>G38*K38</f>
        <v>542456.18992564001</v>
      </c>
      <c r="P38" s="206"/>
      <c r="Q38" s="46">
        <f>G38*L38</f>
        <v>815367.94833356794</v>
      </c>
      <c r="R38" s="46"/>
      <c r="S38" s="46"/>
      <c r="T38" s="46">
        <f t="shared" si="5"/>
        <v>2210588.4582592081</v>
      </c>
      <c r="U38" s="46">
        <v>2168192.2799999998</v>
      </c>
      <c r="V38" s="46">
        <f>U38</f>
        <v>2168192.2799999998</v>
      </c>
    </row>
    <row r="39" spans="1:29" ht="54" customHeight="1">
      <c r="A39" s="88"/>
      <c r="B39" s="97" t="s">
        <v>270</v>
      </c>
      <c r="C39" s="337"/>
      <c r="D39" s="44" t="s">
        <v>20</v>
      </c>
      <c r="E39" s="200">
        <v>21</v>
      </c>
      <c r="F39" s="200">
        <v>21</v>
      </c>
      <c r="G39" s="200">
        <v>19</v>
      </c>
      <c r="H39" s="200">
        <v>19</v>
      </c>
      <c r="I39" s="200">
        <v>19</v>
      </c>
      <c r="J39" s="46">
        <f>34198.17+1744.28</f>
        <v>35942.449999999997</v>
      </c>
      <c r="K39" s="46">
        <f>(12142.68*1.802017)+6669.01</f>
        <v>28550.325785560002</v>
      </c>
      <c r="L39" s="46">
        <f t="shared" ref="L39:L40" si="16">41633.620087772+290.3508771+572.3684211+417.7631579</f>
        <v>42914.102543871995</v>
      </c>
      <c r="M39" s="46">
        <f t="shared" si="4"/>
        <v>107406.87832943199</v>
      </c>
      <c r="N39" s="46">
        <f>G39*J39-0.23</f>
        <v>682906.32</v>
      </c>
      <c r="O39" s="46">
        <f>G39*K39</f>
        <v>542456.18992564001</v>
      </c>
      <c r="P39" s="206"/>
      <c r="Q39" s="46">
        <f>G39*L39</f>
        <v>815367.94833356794</v>
      </c>
      <c r="R39" s="46"/>
      <c r="S39" s="46"/>
      <c r="T39" s="46">
        <f t="shared" si="5"/>
        <v>2040730.4582592079</v>
      </c>
      <c r="U39" s="46">
        <v>1998334.28</v>
      </c>
      <c r="V39" s="46">
        <f>U39</f>
        <v>1998334.28</v>
      </c>
    </row>
    <row r="40" spans="1:29" ht="110.4">
      <c r="A40" s="88"/>
      <c r="B40" s="97" t="s">
        <v>270</v>
      </c>
      <c r="C40" s="93" t="s">
        <v>274</v>
      </c>
      <c r="D40" s="265" t="s">
        <v>20</v>
      </c>
      <c r="E40" s="200">
        <v>71</v>
      </c>
      <c r="F40" s="200">
        <v>71</v>
      </c>
      <c r="G40" s="200">
        <v>76</v>
      </c>
      <c r="H40" s="200">
        <v>76</v>
      </c>
      <c r="I40" s="200">
        <v>76</v>
      </c>
      <c r="J40" s="220">
        <f>65511.03+1744.28</f>
        <v>67255.31</v>
      </c>
      <c r="K40" s="46">
        <f>(12142.68*1.802017)+6669.01</f>
        <v>28550.325785560002</v>
      </c>
      <c r="L40" s="46">
        <f t="shared" si="16"/>
        <v>42914.102543871995</v>
      </c>
      <c r="M40" s="46">
        <f t="shared" si="4"/>
        <v>138719.738329432</v>
      </c>
      <c r="N40" s="46">
        <f>G40*J40-0.28+0.08</f>
        <v>5111403.3599999994</v>
      </c>
      <c r="O40" s="46">
        <f>G40*K40-0.14</f>
        <v>2169824.6197025599</v>
      </c>
      <c r="P40" s="206"/>
      <c r="Q40" s="46">
        <f>G40*L40</f>
        <v>3261471.7933342718</v>
      </c>
      <c r="R40" s="46"/>
      <c r="S40" s="46"/>
      <c r="T40" s="46">
        <f t="shared" si="5"/>
        <v>10542699.77303683</v>
      </c>
      <c r="U40" s="46">
        <f>10330958.13-134750</f>
        <v>10196208.130000001</v>
      </c>
      <c r="V40" s="46">
        <f>U40</f>
        <v>10196208.130000001</v>
      </c>
    </row>
    <row r="41" spans="1:29" s="192" customFormat="1" hidden="1">
      <c r="A41" s="245"/>
      <c r="B41" s="203" t="s">
        <v>260</v>
      </c>
      <c r="C41" s="199" t="s">
        <v>226</v>
      </c>
      <c r="D41" s="45"/>
      <c r="E41" s="200"/>
      <c r="F41" s="200"/>
      <c r="G41" s="200"/>
      <c r="H41" s="200"/>
      <c r="I41" s="200"/>
      <c r="J41" s="46"/>
      <c r="K41" s="46"/>
      <c r="L41" s="46"/>
      <c r="M41" s="46">
        <f t="shared" si="4"/>
        <v>0</v>
      </c>
      <c r="N41" s="206"/>
      <c r="O41" s="46"/>
      <c r="P41" s="206"/>
      <c r="Q41" s="46"/>
      <c r="R41" s="46"/>
      <c r="S41" s="46"/>
      <c r="T41" s="46">
        <f>O41</f>
        <v>0</v>
      </c>
      <c r="U41" s="46">
        <f t="shared" ref="U41:V45" si="17">T41</f>
        <v>0</v>
      </c>
      <c r="V41" s="46">
        <f>U41</f>
        <v>0</v>
      </c>
    </row>
    <row r="42" spans="1:29" s="192" customFormat="1" hidden="1">
      <c r="A42" s="245"/>
      <c r="B42" s="203" t="s">
        <v>261</v>
      </c>
      <c r="C42" s="199" t="s">
        <v>226</v>
      </c>
      <c r="D42" s="45"/>
      <c r="E42" s="200"/>
      <c r="F42" s="200"/>
      <c r="G42" s="200"/>
      <c r="H42" s="200"/>
      <c r="I42" s="200"/>
      <c r="J42" s="46"/>
      <c r="K42" s="46"/>
      <c r="L42" s="46"/>
      <c r="M42" s="46">
        <f t="shared" si="4"/>
        <v>0</v>
      </c>
      <c r="N42" s="206"/>
      <c r="O42" s="46"/>
      <c r="P42" s="206"/>
      <c r="Q42" s="46"/>
      <c r="R42" s="46"/>
      <c r="S42" s="46"/>
      <c r="T42" s="46">
        <f>N42</f>
        <v>0</v>
      </c>
      <c r="U42" s="46">
        <f t="shared" si="17"/>
        <v>0</v>
      </c>
      <c r="V42" s="46">
        <f t="shared" si="17"/>
        <v>0</v>
      </c>
    </row>
    <row r="43" spans="1:29" ht="45.75" hidden="1" customHeight="1">
      <c r="A43" s="88"/>
      <c r="B43" s="128" t="s">
        <v>255</v>
      </c>
      <c r="C43" s="127" t="s">
        <v>226</v>
      </c>
      <c r="D43" s="265"/>
      <c r="E43" s="200"/>
      <c r="F43" s="200"/>
      <c r="G43" s="200"/>
      <c r="H43" s="200"/>
      <c r="I43" s="200"/>
      <c r="J43" s="46"/>
      <c r="K43" s="46"/>
      <c r="L43" s="46"/>
      <c r="M43" s="46">
        <f t="shared" si="4"/>
        <v>0</v>
      </c>
      <c r="N43" s="206"/>
      <c r="O43" s="46"/>
      <c r="P43" s="206"/>
      <c r="Q43" s="46"/>
      <c r="R43" s="46"/>
      <c r="S43" s="46"/>
      <c r="T43" s="46">
        <f>N43</f>
        <v>0</v>
      </c>
      <c r="U43" s="46">
        <f t="shared" si="17"/>
        <v>0</v>
      </c>
      <c r="V43" s="46">
        <f t="shared" si="17"/>
        <v>0</v>
      </c>
    </row>
    <row r="44" spans="1:29" hidden="1">
      <c r="A44" s="88"/>
      <c r="B44" s="128" t="s">
        <v>258</v>
      </c>
      <c r="C44" s="127"/>
      <c r="D44" s="265"/>
      <c r="E44" s="200"/>
      <c r="F44" s="200"/>
      <c r="G44" s="200"/>
      <c r="H44" s="200"/>
      <c r="I44" s="200"/>
      <c r="J44" s="46"/>
      <c r="K44" s="46"/>
      <c r="L44" s="46"/>
      <c r="M44" s="46">
        <f t="shared" si="4"/>
        <v>0</v>
      </c>
      <c r="N44" s="206"/>
      <c r="O44" s="46"/>
      <c r="P44" s="206"/>
      <c r="Q44" s="46"/>
      <c r="R44" s="46"/>
      <c r="S44" s="46"/>
      <c r="T44" s="46">
        <f>O44</f>
        <v>0</v>
      </c>
      <c r="U44" s="46">
        <f t="shared" si="17"/>
        <v>0</v>
      </c>
      <c r="V44" s="46">
        <f t="shared" si="17"/>
        <v>0</v>
      </c>
    </row>
    <row r="45" spans="1:29" ht="63" customHeight="1">
      <c r="A45" s="241" t="s">
        <v>248</v>
      </c>
      <c r="B45" s="242" t="s">
        <v>332</v>
      </c>
      <c r="C45" s="127" t="s">
        <v>219</v>
      </c>
      <c r="D45" s="44" t="s">
        <v>20</v>
      </c>
      <c r="E45" s="200">
        <f>E40+E39+E38</f>
        <v>114</v>
      </c>
      <c r="F45" s="200">
        <f t="shared" ref="F45:I45" si="18">F40+F39+F38</f>
        <v>114</v>
      </c>
      <c r="G45" s="200">
        <f t="shared" si="18"/>
        <v>114</v>
      </c>
      <c r="H45" s="200">
        <f t="shared" si="18"/>
        <v>114</v>
      </c>
      <c r="I45" s="200">
        <f t="shared" si="18"/>
        <v>114</v>
      </c>
      <c r="J45" s="46" t="s">
        <v>23</v>
      </c>
      <c r="K45" s="46"/>
      <c r="L45" s="46">
        <f>Q45/G45</f>
        <v>7562.9854385964909</v>
      </c>
      <c r="M45" s="46">
        <f t="shared" si="4"/>
        <v>7562.9854385964909</v>
      </c>
      <c r="N45" s="206">
        <f>G45*J45</f>
        <v>0</v>
      </c>
      <c r="O45" s="46">
        <f t="shared" ref="O45" si="19">G45*K45</f>
        <v>0</v>
      </c>
      <c r="P45" s="206"/>
      <c r="Q45" s="46">
        <v>862180.34</v>
      </c>
      <c r="R45" s="46"/>
      <c r="S45" s="46"/>
      <c r="T45" s="46">
        <f>SUM(N45:Q45)</f>
        <v>862180.34</v>
      </c>
      <c r="U45" s="46">
        <f t="shared" si="17"/>
        <v>862180.34</v>
      </c>
      <c r="V45" s="46">
        <f t="shared" si="17"/>
        <v>862180.34</v>
      </c>
    </row>
    <row r="46" spans="1:29">
      <c r="A46" s="86"/>
      <c r="B46" s="242" t="s">
        <v>332</v>
      </c>
      <c r="C46" s="127" t="s">
        <v>220</v>
      </c>
      <c r="D46" s="44"/>
      <c r="E46" s="200"/>
      <c r="F46" s="200"/>
      <c r="G46" s="200">
        <v>111</v>
      </c>
      <c r="H46" s="200">
        <v>111</v>
      </c>
      <c r="I46" s="200">
        <v>111</v>
      </c>
      <c r="J46" s="46"/>
      <c r="K46" s="46"/>
      <c r="L46" s="46">
        <f>S46/G46</f>
        <v>8713.2157657657644</v>
      </c>
      <c r="M46" s="46">
        <f t="shared" si="4"/>
        <v>8713.2157657657644</v>
      </c>
      <c r="N46" s="206"/>
      <c r="O46" s="46"/>
      <c r="P46" s="206"/>
      <c r="Q46" s="46"/>
      <c r="R46" s="46"/>
      <c r="S46" s="46">
        <v>967166.95</v>
      </c>
      <c r="T46" s="46">
        <f>S46</f>
        <v>967166.95</v>
      </c>
      <c r="U46" s="46">
        <f>S46</f>
        <v>967166.95</v>
      </c>
      <c r="V46" s="46">
        <f>S46</f>
        <v>967166.95</v>
      </c>
    </row>
    <row r="47" spans="1:29">
      <c r="A47" s="243" t="s">
        <v>44</v>
      </c>
      <c r="B47" s="94"/>
      <c r="C47" s="94"/>
      <c r="D47" s="257"/>
      <c r="E47" s="222"/>
      <c r="F47" s="222"/>
      <c r="G47" s="222"/>
      <c r="H47" s="222"/>
      <c r="I47" s="222"/>
      <c r="J47" s="201"/>
      <c r="K47" s="201"/>
      <c r="L47" s="201"/>
      <c r="M47" s="46">
        <f t="shared" si="4"/>
        <v>0</v>
      </c>
      <c r="N47" s="201">
        <f>N48+N56</f>
        <v>13007352</v>
      </c>
      <c r="O47" s="201">
        <f>O48+O56</f>
        <v>5912054.9954665201</v>
      </c>
      <c r="P47" s="201"/>
      <c r="Q47" s="201">
        <f>Q48+Q56</f>
        <v>10354392.529997287</v>
      </c>
      <c r="R47" s="201"/>
      <c r="S47" s="201">
        <f>S57</f>
        <v>1853605.77</v>
      </c>
      <c r="T47" s="201">
        <f>T48+T56+T57</f>
        <v>31127405.295463804</v>
      </c>
      <c r="U47" s="201">
        <f>U48+U56+U57</f>
        <v>30997025.300000001</v>
      </c>
      <c r="V47" s="201">
        <f>V48+V56+V57</f>
        <v>30997025.300000001</v>
      </c>
      <c r="W47" s="197">
        <v>6593759.5300000003</v>
      </c>
      <c r="X47" s="85">
        <f>W47-Q47</f>
        <v>-3760632.9999972871</v>
      </c>
      <c r="Y47" s="80">
        <f>X47/I56</f>
        <v>-17330.10599077091</v>
      </c>
      <c r="AA47" s="80">
        <v>10354392.529999999</v>
      </c>
      <c r="AB47" s="85">
        <f>AA47-Q47</f>
        <v>2.7120113372802734E-6</v>
      </c>
      <c r="AC47" s="80">
        <f>AB47/I56</f>
        <v>1.2497748098065777E-8</v>
      </c>
    </row>
    <row r="48" spans="1:29" ht="85.5" customHeight="1">
      <c r="A48" s="241" t="s">
        <v>247</v>
      </c>
      <c r="B48" s="84" t="s">
        <v>76</v>
      </c>
      <c r="C48" s="128"/>
      <c r="D48" s="52"/>
      <c r="E48" s="221"/>
      <c r="F48" s="221"/>
      <c r="G48" s="221"/>
      <c r="H48" s="221"/>
      <c r="I48" s="221"/>
      <c r="J48" s="46"/>
      <c r="K48" s="46"/>
      <c r="L48" s="46"/>
      <c r="M48" s="46">
        <f t="shared" si="4"/>
        <v>0</v>
      </c>
      <c r="N48" s="46">
        <f>SUM(N49:N57)</f>
        <v>13007352</v>
      </c>
      <c r="O48" s="46">
        <f>SUM(O49:O57)</f>
        <v>5912054.9954665201</v>
      </c>
      <c r="P48" s="206"/>
      <c r="Q48" s="46">
        <f>SUM(Q49:Q52)</f>
        <v>8573805.4299972877</v>
      </c>
      <c r="R48" s="46"/>
      <c r="S48" s="46"/>
      <c r="T48" s="46">
        <f>SUM(T49:T55)</f>
        <v>27493212.425463803</v>
      </c>
      <c r="U48" s="46">
        <f>SUM(U49:U55)+0.01</f>
        <v>27362832.43</v>
      </c>
      <c r="V48" s="46">
        <f>SUM(V49:V55)+0.01</f>
        <v>27362832.43</v>
      </c>
      <c r="W48" s="85">
        <f>T47-U47</f>
        <v>130379.99546380341</v>
      </c>
      <c r="AA48" s="85">
        <f>29143419.53+U57</f>
        <v>30997025.300000001</v>
      </c>
      <c r="AB48" s="85">
        <f>U47-AA48</f>
        <v>0</v>
      </c>
    </row>
    <row r="49" spans="1:28" ht="51.75" customHeight="1">
      <c r="A49" s="83"/>
      <c r="B49" s="97" t="s">
        <v>272</v>
      </c>
      <c r="C49" s="333" t="s">
        <v>279</v>
      </c>
      <c r="D49" s="265" t="s">
        <v>20</v>
      </c>
      <c r="E49" s="200">
        <v>35</v>
      </c>
      <c r="F49" s="200">
        <v>35</v>
      </c>
      <c r="G49" s="200">
        <v>29</v>
      </c>
      <c r="H49" s="200">
        <v>29</v>
      </c>
      <c r="I49" s="200">
        <v>29</v>
      </c>
      <c r="J49" s="46">
        <f>43138.04+1793.27</f>
        <v>44931.31</v>
      </c>
      <c r="K49" s="46">
        <f>(12142.68*1.802017)+5363.18</f>
        <v>27244.495785560001</v>
      </c>
      <c r="L49" s="46">
        <f>39321.40751+96.77419507-408.7557604+501.1981567</f>
        <v>39510.624101369991</v>
      </c>
      <c r="M49" s="46">
        <f t="shared" si="4"/>
        <v>111686.42988692998</v>
      </c>
      <c r="N49" s="46">
        <f>G49*J49-0.16</f>
        <v>1303007.83</v>
      </c>
      <c r="O49" s="46">
        <f>G49*K49-0.16</f>
        <v>790090.21778124</v>
      </c>
      <c r="P49" s="206"/>
      <c r="Q49" s="46">
        <f>G49*L49</f>
        <v>1145808.0989397299</v>
      </c>
      <c r="R49" s="46"/>
      <c r="S49" s="46"/>
      <c r="T49" s="46">
        <f>SUM(N49:Q49)</f>
        <v>3238906.14672097</v>
      </c>
      <c r="U49" s="46">
        <v>3205068.27</v>
      </c>
      <c r="V49" s="46">
        <f>U49</f>
        <v>3205068.27</v>
      </c>
    </row>
    <row r="50" spans="1:28" ht="51" customHeight="1">
      <c r="A50" s="88"/>
      <c r="B50" s="97" t="s">
        <v>270</v>
      </c>
      <c r="C50" s="334"/>
      <c r="D50" s="44" t="s">
        <v>20</v>
      </c>
      <c r="E50" s="200">
        <v>85</v>
      </c>
      <c r="F50" s="200">
        <v>85</v>
      </c>
      <c r="G50" s="200">
        <v>89</v>
      </c>
      <c r="H50" s="200">
        <v>89</v>
      </c>
      <c r="I50" s="200">
        <v>89</v>
      </c>
      <c r="J50" s="46">
        <f>34198.17+1793.27</f>
        <v>35991.439999999995</v>
      </c>
      <c r="K50" s="46">
        <f>(12142.68*1.802017)+5363.18</f>
        <v>27244.495785560001</v>
      </c>
      <c r="L50" s="46">
        <f t="shared" ref="L50:L52" si="20">39321.40751+96.77419507-408.7557604+501.1981567</f>
        <v>39510.624101369991</v>
      </c>
      <c r="M50" s="46">
        <f t="shared" si="4"/>
        <v>102746.55988692999</v>
      </c>
      <c r="N50" s="46">
        <f>G50*J50-0.13</f>
        <v>3203238.03</v>
      </c>
      <c r="O50" s="46">
        <f>G50*K50-0.1</f>
        <v>2424760.0249148398</v>
      </c>
      <c r="P50" s="206"/>
      <c r="Q50" s="46">
        <f t="shared" ref="Q50:Q51" si="21">G50*L50</f>
        <v>3516445.5450219293</v>
      </c>
      <c r="R50" s="46"/>
      <c r="S50" s="46"/>
      <c r="T50" s="46">
        <f t="shared" si="5"/>
        <v>9144443.5999367684</v>
      </c>
      <c r="U50" s="46">
        <f>9054656.32+108760</f>
        <v>9163416.3200000003</v>
      </c>
      <c r="V50" s="46">
        <f>U50</f>
        <v>9163416.3200000003</v>
      </c>
    </row>
    <row r="51" spans="1:28" ht="96.6">
      <c r="A51" s="83"/>
      <c r="B51" s="97" t="s">
        <v>303</v>
      </c>
      <c r="C51" s="93" t="s">
        <v>280</v>
      </c>
      <c r="D51" s="265" t="s">
        <v>20</v>
      </c>
      <c r="E51" s="200">
        <v>25</v>
      </c>
      <c r="F51" s="200">
        <v>25</v>
      </c>
      <c r="G51" s="200">
        <v>24</v>
      </c>
      <c r="H51" s="200">
        <v>24</v>
      </c>
      <c r="I51" s="200">
        <v>24</v>
      </c>
      <c r="J51" s="46">
        <f>142093.58+1793.27</f>
        <v>143886.84999999998</v>
      </c>
      <c r="K51" s="46">
        <f>(12142.68*1.802017)+5363.18</f>
        <v>27244.495785560001</v>
      </c>
      <c r="L51" s="46">
        <f t="shared" si="20"/>
        <v>39510.624101369991</v>
      </c>
      <c r="M51" s="46">
        <f t="shared" si="4"/>
        <v>210641.96988692996</v>
      </c>
      <c r="N51" s="46">
        <f>G51*J51+0.08</f>
        <v>3453284.4799999995</v>
      </c>
      <c r="O51" s="46">
        <f>G51*K51</f>
        <v>653867.89885344007</v>
      </c>
      <c r="P51" s="206"/>
      <c r="Q51" s="46">
        <f t="shared" si="21"/>
        <v>948254.97843287978</v>
      </c>
      <c r="R51" s="46"/>
      <c r="S51" s="46"/>
      <c r="T51" s="46">
        <f t="shared" si="5"/>
        <v>5055407.3572863191</v>
      </c>
      <c r="U51" s="46">
        <v>5027403.5999999996</v>
      </c>
      <c r="V51" s="46">
        <f>U51</f>
        <v>5027403.5999999996</v>
      </c>
    </row>
    <row r="52" spans="1:28" ht="110.4">
      <c r="A52" s="83"/>
      <c r="B52" s="97" t="s">
        <v>268</v>
      </c>
      <c r="C52" s="93" t="s">
        <v>281</v>
      </c>
      <c r="D52" s="265" t="s">
        <v>20</v>
      </c>
      <c r="E52" s="200">
        <v>75</v>
      </c>
      <c r="F52" s="200">
        <v>75</v>
      </c>
      <c r="G52" s="200">
        <f t="shared" ref="G52" si="22">(E52*8+F52*4)/12</f>
        <v>75</v>
      </c>
      <c r="H52" s="200">
        <v>75</v>
      </c>
      <c r="I52" s="200">
        <v>75</v>
      </c>
      <c r="J52" s="220">
        <f>65511.03+1793.27</f>
        <v>67304.3</v>
      </c>
      <c r="K52" s="46">
        <f>(12142.68*1.802017)+5363.18</f>
        <v>27244.495785560001</v>
      </c>
      <c r="L52" s="46">
        <f t="shared" si="20"/>
        <v>39510.624101369991</v>
      </c>
      <c r="M52" s="46">
        <f t="shared" si="4"/>
        <v>134059.41988693</v>
      </c>
      <c r="N52" s="46">
        <f>G52*J52-0.25-0.59</f>
        <v>5047821.66</v>
      </c>
      <c r="O52" s="46">
        <f>G52*K52-0.27-0.06</f>
        <v>2043336.8539169999</v>
      </c>
      <c r="P52" s="206"/>
      <c r="Q52" s="46">
        <f>G52*L52</f>
        <v>2963296.8076027492</v>
      </c>
      <c r="R52" s="46"/>
      <c r="S52" s="46"/>
      <c r="T52" s="46">
        <f t="shared" si="5"/>
        <v>10054455.321519749</v>
      </c>
      <c r="U52" s="46">
        <v>9966944.2300000004</v>
      </c>
      <c r="V52" s="46">
        <f>U52</f>
        <v>9966944.2300000004</v>
      </c>
    </row>
    <row r="53" spans="1:28" s="192" customFormat="1" hidden="1">
      <c r="A53" s="245"/>
      <c r="B53" s="203"/>
      <c r="C53" s="199" t="s">
        <v>226</v>
      </c>
      <c r="D53" s="45"/>
      <c r="E53" s="200"/>
      <c r="F53" s="200"/>
      <c r="G53" s="200"/>
      <c r="H53" s="200"/>
      <c r="I53" s="200"/>
      <c r="J53" s="46"/>
      <c r="K53" s="46"/>
      <c r="L53" s="46"/>
      <c r="M53" s="46">
        <f t="shared" si="4"/>
        <v>0</v>
      </c>
      <c r="N53" s="206"/>
      <c r="O53" s="46"/>
      <c r="P53" s="206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8" ht="47.25" hidden="1" customHeight="1">
      <c r="A54" s="83"/>
      <c r="B54" s="128"/>
      <c r="C54" s="127" t="s">
        <v>226</v>
      </c>
      <c r="D54" s="265"/>
      <c r="E54" s="200"/>
      <c r="F54" s="200"/>
      <c r="G54" s="200"/>
      <c r="H54" s="200"/>
      <c r="I54" s="200"/>
      <c r="J54" s="46"/>
      <c r="K54" s="46"/>
      <c r="L54" s="46"/>
      <c r="M54" s="46">
        <f t="shared" si="4"/>
        <v>0</v>
      </c>
      <c r="N54" s="206"/>
      <c r="O54" s="46"/>
      <c r="P54" s="206"/>
      <c r="Q54" s="46"/>
      <c r="R54" s="46"/>
      <c r="S54" s="46"/>
      <c r="T54" s="46">
        <f>N54</f>
        <v>0</v>
      </c>
      <c r="U54" s="46">
        <f t="shared" ref="U54:V56" si="23">T54</f>
        <v>0</v>
      </c>
      <c r="V54" s="46">
        <f t="shared" si="23"/>
        <v>0</v>
      </c>
    </row>
    <row r="55" spans="1:28" hidden="1">
      <c r="A55" s="83"/>
      <c r="B55" s="128"/>
      <c r="C55" s="127"/>
      <c r="D55" s="265"/>
      <c r="E55" s="200"/>
      <c r="F55" s="200"/>
      <c r="G55" s="200"/>
      <c r="H55" s="200"/>
      <c r="I55" s="200"/>
      <c r="J55" s="46"/>
      <c r="K55" s="46"/>
      <c r="L55" s="46"/>
      <c r="M55" s="46">
        <f t="shared" si="4"/>
        <v>0</v>
      </c>
      <c r="N55" s="206"/>
      <c r="O55" s="46"/>
      <c r="P55" s="206"/>
      <c r="Q55" s="46"/>
      <c r="R55" s="46"/>
      <c r="S55" s="46"/>
      <c r="T55" s="46">
        <f>O55</f>
        <v>0</v>
      </c>
      <c r="U55" s="46">
        <f t="shared" si="23"/>
        <v>0</v>
      </c>
      <c r="V55" s="46">
        <f t="shared" si="23"/>
        <v>0</v>
      </c>
    </row>
    <row r="56" spans="1:28" ht="58.5" customHeight="1">
      <c r="A56" s="241" t="s">
        <v>248</v>
      </c>
      <c r="B56" s="242" t="s">
        <v>28</v>
      </c>
      <c r="C56" s="127" t="s">
        <v>219</v>
      </c>
      <c r="D56" s="44" t="s">
        <v>20</v>
      </c>
      <c r="E56" s="200">
        <f>E52+E51+E50+E49</f>
        <v>220</v>
      </c>
      <c r="F56" s="200">
        <f>F52+F51+F50+F49</f>
        <v>220</v>
      </c>
      <c r="G56" s="200">
        <v>217</v>
      </c>
      <c r="H56" s="200">
        <v>217</v>
      </c>
      <c r="I56" s="200">
        <v>217</v>
      </c>
      <c r="J56" s="46" t="s">
        <v>23</v>
      </c>
      <c r="K56" s="46"/>
      <c r="L56" s="46">
        <f>Q56/G56</f>
        <v>8205.4705069124429</v>
      </c>
      <c r="M56" s="46">
        <f t="shared" si="4"/>
        <v>8205.4705069124429</v>
      </c>
      <c r="N56" s="206">
        <f t="shared" ref="N56" si="24">G56*J56</f>
        <v>0</v>
      </c>
      <c r="O56" s="46">
        <f t="shared" ref="O56" si="25">G56*K56</f>
        <v>0</v>
      </c>
      <c r="P56" s="206"/>
      <c r="Q56" s="46">
        <v>1780587.1</v>
      </c>
      <c r="R56" s="46"/>
      <c r="S56" s="46"/>
      <c r="T56" s="46">
        <f t="shared" si="5"/>
        <v>1780587.1</v>
      </c>
      <c r="U56" s="46">
        <f t="shared" si="23"/>
        <v>1780587.1</v>
      </c>
      <c r="V56" s="46">
        <f t="shared" si="23"/>
        <v>1780587.1</v>
      </c>
    </row>
    <row r="57" spans="1:28" ht="42" customHeight="1">
      <c r="A57" s="86"/>
      <c r="B57" s="242" t="s">
        <v>28</v>
      </c>
      <c r="C57" s="127" t="s">
        <v>220</v>
      </c>
      <c r="D57" s="44"/>
      <c r="E57" s="200"/>
      <c r="F57" s="200"/>
      <c r="G57" s="200">
        <v>212</v>
      </c>
      <c r="H57" s="200">
        <v>212</v>
      </c>
      <c r="I57" s="200">
        <v>212</v>
      </c>
      <c r="J57" s="46"/>
      <c r="K57" s="46"/>
      <c r="L57" s="46">
        <f>S57/G57</f>
        <v>8743.4234433962265</v>
      </c>
      <c r="M57" s="46">
        <f t="shared" si="4"/>
        <v>8743.4234433962265</v>
      </c>
      <c r="N57" s="206"/>
      <c r="O57" s="46"/>
      <c r="P57" s="206"/>
      <c r="Q57" s="46"/>
      <c r="R57" s="46"/>
      <c r="S57" s="46">
        <v>1853605.77</v>
      </c>
      <c r="T57" s="46">
        <f>S57</f>
        <v>1853605.77</v>
      </c>
      <c r="U57" s="46">
        <f>S57</f>
        <v>1853605.77</v>
      </c>
      <c r="V57" s="46">
        <f>S57</f>
        <v>1853605.77</v>
      </c>
    </row>
    <row r="58" spans="1:28">
      <c r="A58" s="243" t="s">
        <v>49</v>
      </c>
      <c r="B58" s="94"/>
      <c r="C58" s="94"/>
      <c r="D58" s="257"/>
      <c r="E58" s="222"/>
      <c r="F58" s="222"/>
      <c r="G58" s="222"/>
      <c r="H58" s="222"/>
      <c r="I58" s="222"/>
      <c r="J58" s="201"/>
      <c r="K58" s="201"/>
      <c r="L58" s="201"/>
      <c r="M58" s="46">
        <f t="shared" si="4"/>
        <v>0</v>
      </c>
      <c r="N58" s="201">
        <f>N59+N65</f>
        <v>6545074</v>
      </c>
      <c r="O58" s="201">
        <f>O59+O65</f>
        <v>3211622.9964115997</v>
      </c>
      <c r="P58" s="207">
        <f>P59</f>
        <v>0</v>
      </c>
      <c r="Q58" s="201">
        <f>Q59+Q65</f>
        <v>5552393.530100001</v>
      </c>
      <c r="R58" s="201">
        <f>R59</f>
        <v>0</v>
      </c>
      <c r="S58" s="201">
        <f>S66</f>
        <v>859116.54</v>
      </c>
      <c r="T58" s="201">
        <f>T59+T65+T66</f>
        <v>16168207.066511601</v>
      </c>
      <c r="U58" s="201">
        <f>U59+U65+U66</f>
        <v>15403439.07</v>
      </c>
      <c r="V58" s="201">
        <f>V59+V65+V66</f>
        <v>15403439.07</v>
      </c>
      <c r="W58" s="80">
        <v>3236853.53</v>
      </c>
      <c r="X58" s="85">
        <f>W58-Q58</f>
        <v>-2315540.0001000012</v>
      </c>
      <c r="Y58" s="80">
        <f>X58/I65</f>
        <v>-21050.363637272738</v>
      </c>
      <c r="AA58" s="80">
        <v>5552393.5300000003</v>
      </c>
      <c r="AB58" s="85">
        <f>AA58-Q58</f>
        <v>-1.0000076144933701E-4</v>
      </c>
    </row>
    <row r="59" spans="1:28" ht="84.75" customHeight="1">
      <c r="A59" s="241" t="s">
        <v>247</v>
      </c>
      <c r="B59" s="84" t="s">
        <v>76</v>
      </c>
      <c r="C59" s="128"/>
      <c r="D59" s="52"/>
      <c r="E59" s="221"/>
      <c r="F59" s="221"/>
      <c r="G59" s="221"/>
      <c r="H59" s="221"/>
      <c r="I59" s="221"/>
      <c r="J59" s="46"/>
      <c r="K59" s="46"/>
      <c r="L59" s="46"/>
      <c r="M59" s="46">
        <f t="shared" ref="M59:M98" si="26">J59+K59+L59</f>
        <v>0</v>
      </c>
      <c r="N59" s="46">
        <f>SUM(N60:N66)</f>
        <v>6545074</v>
      </c>
      <c r="O59" s="46">
        <f>SUM(O60:O66)</f>
        <v>3211622.9964115997</v>
      </c>
      <c r="P59" s="208"/>
      <c r="Q59" s="46">
        <f>SUM(Q60:Q62)</f>
        <v>4907666.7101000007</v>
      </c>
      <c r="R59" s="46"/>
      <c r="S59" s="46"/>
      <c r="T59" s="46">
        <f>SUM(T60:T64)</f>
        <v>14664363.7065116</v>
      </c>
      <c r="U59" s="46">
        <f>SUM(U60:U64)+0.02</f>
        <v>13899595.709999999</v>
      </c>
      <c r="V59" s="46">
        <f>SUM(V60:V64)+0.02</f>
        <v>13899595.709999999</v>
      </c>
      <c r="W59" s="85">
        <f>T58-U58</f>
        <v>764767.99651160091</v>
      </c>
      <c r="AA59" s="85">
        <f>14544322.53+U66</f>
        <v>15403439.07</v>
      </c>
      <c r="AB59" s="85">
        <f>U58-AA59</f>
        <v>0</v>
      </c>
    </row>
    <row r="60" spans="1:28" ht="51" customHeight="1">
      <c r="A60" s="83"/>
      <c r="B60" s="97" t="s">
        <v>282</v>
      </c>
      <c r="C60" s="335" t="s">
        <v>279</v>
      </c>
      <c r="D60" s="265" t="s">
        <v>20</v>
      </c>
      <c r="E60" s="200">
        <v>20</v>
      </c>
      <c r="F60" s="200">
        <v>20</v>
      </c>
      <c r="G60" s="200">
        <v>18</v>
      </c>
      <c r="H60" s="200">
        <v>18</v>
      </c>
      <c r="I60" s="200">
        <v>18</v>
      </c>
      <c r="J60" s="46">
        <f>43138.04+2489.95</f>
        <v>45627.99</v>
      </c>
      <c r="K60" s="46">
        <f>(12142.68*1.802017)+7315.26</f>
        <v>29196.575785560002</v>
      </c>
      <c r="L60" s="46">
        <v>44615.15191</v>
      </c>
      <c r="M60" s="46">
        <f t="shared" si="26"/>
        <v>119439.71769556</v>
      </c>
      <c r="N60" s="46">
        <f>G60*J60</f>
        <v>821303.82</v>
      </c>
      <c r="O60" s="46">
        <f>G60*K60</f>
        <v>525538.36414008006</v>
      </c>
      <c r="P60" s="206"/>
      <c r="Q60" s="46">
        <f>G60*L60</f>
        <v>803072.73438000004</v>
      </c>
      <c r="R60" s="46"/>
      <c r="S60" s="46"/>
      <c r="T60" s="46">
        <f>SUM(N60:Q60)</f>
        <v>2149914.9185200799</v>
      </c>
      <c r="U60" s="46">
        <v>2132442.79</v>
      </c>
      <c r="V60" s="46">
        <f>U60</f>
        <v>2132442.79</v>
      </c>
    </row>
    <row r="61" spans="1:28" ht="54" customHeight="1">
      <c r="A61" s="88"/>
      <c r="B61" s="97" t="s">
        <v>268</v>
      </c>
      <c r="C61" s="337"/>
      <c r="D61" s="44" t="s">
        <v>20</v>
      </c>
      <c r="E61" s="200">
        <v>23</v>
      </c>
      <c r="F61" s="200">
        <v>23</v>
      </c>
      <c r="G61" s="200">
        <v>17</v>
      </c>
      <c r="H61" s="200">
        <v>17</v>
      </c>
      <c r="I61" s="200">
        <v>17</v>
      </c>
      <c r="J61" s="46">
        <f>34198.17+2489.95</f>
        <v>36688.119999999995</v>
      </c>
      <c r="K61" s="46">
        <f>(12142.68*1.802017)+7315.26</f>
        <v>29196.575785560002</v>
      </c>
      <c r="L61" s="46">
        <v>44615.15191</v>
      </c>
      <c r="M61" s="46">
        <f t="shared" si="26"/>
        <v>110499.84769556001</v>
      </c>
      <c r="N61" s="46">
        <f>G61*J61</f>
        <v>623698.03999999992</v>
      </c>
      <c r="O61" s="46">
        <f>G61*K61</f>
        <v>496341.78835452005</v>
      </c>
      <c r="P61" s="206"/>
      <c r="Q61" s="46">
        <f>G61*L61</f>
        <v>758457.58247000002</v>
      </c>
      <c r="R61" s="46"/>
      <c r="S61" s="46"/>
      <c r="T61" s="46">
        <f>SUM(N61:Q61)</f>
        <v>1878497.41082452</v>
      </c>
      <c r="U61" s="46">
        <v>1861995.96</v>
      </c>
      <c r="V61" s="46">
        <f>U61</f>
        <v>1861995.96</v>
      </c>
    </row>
    <row r="62" spans="1:28" ht="110.4">
      <c r="A62" s="88"/>
      <c r="B62" s="97" t="s">
        <v>270</v>
      </c>
      <c r="C62" s="93" t="s">
        <v>283</v>
      </c>
      <c r="D62" s="44" t="s">
        <v>20</v>
      </c>
      <c r="E62" s="200">
        <v>65</v>
      </c>
      <c r="F62" s="200">
        <v>65</v>
      </c>
      <c r="G62" s="200">
        <v>75</v>
      </c>
      <c r="H62" s="200">
        <v>75</v>
      </c>
      <c r="I62" s="200">
        <v>75</v>
      </c>
      <c r="J62" s="220">
        <f>65511.03+2489.95</f>
        <v>68000.98</v>
      </c>
      <c r="K62" s="46">
        <f>(12142.68*1.802017)+7315.26</f>
        <v>29196.575785560002</v>
      </c>
      <c r="L62" s="46">
        <v>44615.15191</v>
      </c>
      <c r="M62" s="46">
        <f t="shared" si="26"/>
        <v>141812.70769556001</v>
      </c>
      <c r="N62" s="46">
        <f>G62*J62-0.86-0.5</f>
        <v>5100072.1399999997</v>
      </c>
      <c r="O62" s="46">
        <f>G62*K62-0.74+0.4</f>
        <v>2189742.8439169996</v>
      </c>
      <c r="P62" s="206"/>
      <c r="Q62" s="46">
        <f>G62*L62</f>
        <v>3346136.3932500002</v>
      </c>
      <c r="R62" s="46"/>
      <c r="S62" s="46"/>
      <c r="T62" s="46">
        <f>SUM(N62:Q62)</f>
        <v>10635951.377167</v>
      </c>
      <c r="U62" s="46">
        <f>9905156.94</f>
        <v>9905156.9399999995</v>
      </c>
      <c r="V62" s="46">
        <f>U62</f>
        <v>9905156.9399999995</v>
      </c>
    </row>
    <row r="63" spans="1:28" ht="43.5" hidden="1" customHeight="1">
      <c r="A63" s="88"/>
      <c r="B63" s="205" t="s">
        <v>255</v>
      </c>
      <c r="C63" s="127" t="s">
        <v>226</v>
      </c>
      <c r="D63" s="265"/>
      <c r="E63" s="200"/>
      <c r="F63" s="200"/>
      <c r="G63" s="200"/>
      <c r="H63" s="200"/>
      <c r="I63" s="200"/>
      <c r="J63" s="46"/>
      <c r="K63" s="46"/>
      <c r="L63" s="46">
        <v>44612.15191</v>
      </c>
      <c r="M63" s="46">
        <f t="shared" si="26"/>
        <v>44612.15191</v>
      </c>
      <c r="N63" s="206"/>
      <c r="O63" s="46"/>
      <c r="P63" s="206"/>
      <c r="Q63" s="46"/>
      <c r="R63" s="46"/>
      <c r="S63" s="46"/>
      <c r="T63" s="46">
        <f>N63</f>
        <v>0</v>
      </c>
      <c r="U63" s="46">
        <f t="shared" ref="U63:V65" si="27">T63</f>
        <v>0</v>
      </c>
      <c r="V63" s="46">
        <f t="shared" si="27"/>
        <v>0</v>
      </c>
    </row>
    <row r="64" spans="1:28" hidden="1">
      <c r="A64" s="88"/>
      <c r="B64" s="205" t="s">
        <v>258</v>
      </c>
      <c r="C64" s="127"/>
      <c r="D64" s="265"/>
      <c r="E64" s="200"/>
      <c r="F64" s="200"/>
      <c r="G64" s="200"/>
      <c r="H64" s="200"/>
      <c r="I64" s="200"/>
      <c r="J64" s="46"/>
      <c r="K64" s="46"/>
      <c r="L64" s="46">
        <v>44612.15191</v>
      </c>
      <c r="M64" s="46">
        <f t="shared" si="26"/>
        <v>44612.15191</v>
      </c>
      <c r="N64" s="206"/>
      <c r="O64" s="46"/>
      <c r="P64" s="206"/>
      <c r="Q64" s="46"/>
      <c r="R64" s="46"/>
      <c r="S64" s="46"/>
      <c r="T64" s="46">
        <f>O64</f>
        <v>0</v>
      </c>
      <c r="U64" s="46">
        <f t="shared" si="27"/>
        <v>0</v>
      </c>
      <c r="V64" s="46">
        <f t="shared" si="27"/>
        <v>0</v>
      </c>
    </row>
    <row r="65" spans="1:29" ht="61.5" customHeight="1">
      <c r="A65" s="93" t="s">
        <v>248</v>
      </c>
      <c r="B65" s="242" t="s">
        <v>28</v>
      </c>
      <c r="C65" s="127" t="s">
        <v>219</v>
      </c>
      <c r="D65" s="44" t="s">
        <v>20</v>
      </c>
      <c r="E65" s="200">
        <v>108</v>
      </c>
      <c r="F65" s="200">
        <v>108</v>
      </c>
      <c r="G65" s="200">
        <v>110</v>
      </c>
      <c r="H65" s="200">
        <v>110</v>
      </c>
      <c r="I65" s="200">
        <v>110</v>
      </c>
      <c r="J65" s="46" t="s">
        <v>23</v>
      </c>
      <c r="K65" s="46"/>
      <c r="L65" s="46">
        <f>Q65/G65</f>
        <v>5861.1529090909089</v>
      </c>
      <c r="M65" s="46">
        <f t="shared" si="26"/>
        <v>5861.1529090909089</v>
      </c>
      <c r="N65" s="206">
        <f t="shared" ref="N65" si="28">G65*J65</f>
        <v>0</v>
      </c>
      <c r="O65" s="46"/>
      <c r="P65" s="206"/>
      <c r="Q65" s="46">
        <v>644726.81999999995</v>
      </c>
      <c r="R65" s="46"/>
      <c r="S65" s="46"/>
      <c r="T65" s="46">
        <f t="shared" si="5"/>
        <v>644726.81999999995</v>
      </c>
      <c r="U65" s="46">
        <f t="shared" si="27"/>
        <v>644726.81999999995</v>
      </c>
      <c r="V65" s="46">
        <f t="shared" si="27"/>
        <v>644726.81999999995</v>
      </c>
    </row>
    <row r="66" spans="1:29" ht="16.5" customHeight="1">
      <c r="A66" s="86"/>
      <c r="B66" s="242" t="s">
        <v>28</v>
      </c>
      <c r="C66" s="127" t="s">
        <v>220</v>
      </c>
      <c r="D66" s="44"/>
      <c r="E66" s="200"/>
      <c r="F66" s="200"/>
      <c r="G66" s="200">
        <v>108</v>
      </c>
      <c r="H66" s="200">
        <v>108</v>
      </c>
      <c r="I66" s="200">
        <v>108</v>
      </c>
      <c r="J66" s="46"/>
      <c r="K66" s="46"/>
      <c r="L66" s="46">
        <f>S66/G66</f>
        <v>7954.7827777777784</v>
      </c>
      <c r="M66" s="46">
        <f t="shared" si="26"/>
        <v>7954.7827777777784</v>
      </c>
      <c r="N66" s="206"/>
      <c r="O66" s="46"/>
      <c r="P66" s="206"/>
      <c r="Q66" s="46"/>
      <c r="R66" s="46"/>
      <c r="S66" s="46">
        <v>859116.54</v>
      </c>
      <c r="T66" s="46">
        <f>S66</f>
        <v>859116.54</v>
      </c>
      <c r="U66" s="46">
        <f>S66</f>
        <v>859116.54</v>
      </c>
      <c r="V66" s="46">
        <f>S66</f>
        <v>859116.54</v>
      </c>
    </row>
    <row r="67" spans="1:29">
      <c r="A67" s="243" t="s">
        <v>53</v>
      </c>
      <c r="B67" s="94"/>
      <c r="C67" s="94"/>
      <c r="D67" s="257"/>
      <c r="E67" s="222"/>
      <c r="F67" s="222"/>
      <c r="G67" s="222"/>
      <c r="H67" s="222"/>
      <c r="I67" s="222"/>
      <c r="J67" s="201"/>
      <c r="K67" s="201"/>
      <c r="L67" s="201"/>
      <c r="M67" s="46">
        <f t="shared" si="26"/>
        <v>0</v>
      </c>
      <c r="N67" s="201">
        <f>N68+N76</f>
        <v>8280589</v>
      </c>
      <c r="O67" s="201">
        <f>O68+O76</f>
        <v>4817953.00040296</v>
      </c>
      <c r="P67" s="201"/>
      <c r="Q67" s="201">
        <f>Q68+Q76</f>
        <v>11530755.7900002</v>
      </c>
      <c r="R67" s="201"/>
      <c r="S67" s="201">
        <f>S77</f>
        <v>1486964.43</v>
      </c>
      <c r="T67" s="201">
        <f>T68+T76+T77</f>
        <v>26116262.220403161</v>
      </c>
      <c r="U67" s="201">
        <f>U68+U76+U77</f>
        <v>24559273.710000001</v>
      </c>
      <c r="V67" s="201">
        <f>V68+V76+V77</f>
        <v>24559273.710000001</v>
      </c>
      <c r="W67" s="80">
        <v>5005252.28</v>
      </c>
      <c r="X67" s="85">
        <f>W67-Q67</f>
        <v>-6525503.5100002</v>
      </c>
      <c r="Y67" s="124">
        <f>X67/I76</f>
        <v>-39310.262108434938</v>
      </c>
      <c r="AA67" s="80">
        <v>11530755.789999999</v>
      </c>
      <c r="AB67" s="85">
        <f>AA67-Q67</f>
        <v>-2.0116567611694336E-7</v>
      </c>
      <c r="AC67" s="80">
        <f>AB67/I76</f>
        <v>-1.211841422391225E-9</v>
      </c>
    </row>
    <row r="68" spans="1:29" ht="84.75" customHeight="1">
      <c r="A68" s="241" t="s">
        <v>247</v>
      </c>
      <c r="B68" s="84" t="s">
        <v>76</v>
      </c>
      <c r="C68" s="128"/>
      <c r="D68" s="52"/>
      <c r="E68" s="221"/>
      <c r="F68" s="221"/>
      <c r="G68" s="221"/>
      <c r="H68" s="221"/>
      <c r="I68" s="221"/>
      <c r="J68" s="46"/>
      <c r="K68" s="46"/>
      <c r="L68" s="46"/>
      <c r="M68" s="46">
        <f t="shared" si="26"/>
        <v>0</v>
      </c>
      <c r="N68" s="46">
        <f>SUM(N69:N77)</f>
        <v>8280589</v>
      </c>
      <c r="O68" s="46">
        <f>SUM(O69:O77)</f>
        <v>4817953.00040296</v>
      </c>
      <c r="P68" s="206"/>
      <c r="Q68" s="46">
        <f>SUM(Q69:Q71)</f>
        <v>10499506.420000201</v>
      </c>
      <c r="R68" s="46"/>
      <c r="S68" s="46"/>
      <c r="T68" s="46">
        <f>SUM(T69:T75)</f>
        <v>23598048.42040316</v>
      </c>
      <c r="U68" s="46">
        <f t="shared" ref="U68:V68" si="29">SUM(U69:U75)</f>
        <v>22041059.91</v>
      </c>
      <c r="V68" s="46">
        <f t="shared" si="29"/>
        <v>22041059.91</v>
      </c>
      <c r="W68" s="85">
        <f>T67-U67</f>
        <v>1556988.51040316</v>
      </c>
      <c r="AA68" s="85">
        <f>23072309.28+U77</f>
        <v>24559273.710000001</v>
      </c>
      <c r="AB68" s="85">
        <f>U67-AA68</f>
        <v>0</v>
      </c>
    </row>
    <row r="69" spans="1:29" ht="55.5" customHeight="1">
      <c r="A69" s="83"/>
      <c r="B69" s="97" t="s">
        <v>272</v>
      </c>
      <c r="C69" s="333" t="s">
        <v>279</v>
      </c>
      <c r="D69" s="265" t="s">
        <v>20</v>
      </c>
      <c r="E69" s="200">
        <v>31</v>
      </c>
      <c r="F69" s="200">
        <v>31</v>
      </c>
      <c r="G69" s="200">
        <v>29</v>
      </c>
      <c r="H69" s="200">
        <v>29</v>
      </c>
      <c r="I69" s="200">
        <v>29</v>
      </c>
      <c r="J69" s="46">
        <f>43138.04+1484.79</f>
        <v>44622.83</v>
      </c>
      <c r="K69" s="46">
        <f>(12142.68*1.802017)+7142.5</f>
        <v>29023.81578556</v>
      </c>
      <c r="L69" s="46">
        <f>61115.04283+222.8915676+391.5662651+1520.538012</f>
        <v>63250.038674700001</v>
      </c>
      <c r="M69" s="46">
        <f t="shared" si="26"/>
        <v>136896.68446026</v>
      </c>
      <c r="N69" s="46">
        <f>G69*J69-0.16</f>
        <v>1294061.9100000001</v>
      </c>
      <c r="O69" s="46">
        <f>G69*K69-0.16</f>
        <v>841690.49778124003</v>
      </c>
      <c r="P69" s="206"/>
      <c r="Q69" s="46">
        <f>G69*L69</f>
        <v>1834251.1215663</v>
      </c>
      <c r="R69" s="46"/>
      <c r="S69" s="46"/>
      <c r="T69" s="46">
        <f t="shared" si="5"/>
        <v>3970003.5293475399</v>
      </c>
      <c r="U69" s="46">
        <v>3884615.05</v>
      </c>
      <c r="V69" s="46">
        <f>U69</f>
        <v>3884615.05</v>
      </c>
    </row>
    <row r="70" spans="1:29" ht="53.25" customHeight="1">
      <c r="A70" s="88"/>
      <c r="B70" s="97" t="s">
        <v>270</v>
      </c>
      <c r="C70" s="334"/>
      <c r="D70" s="44" t="s">
        <v>20</v>
      </c>
      <c r="E70" s="200">
        <v>64</v>
      </c>
      <c r="F70" s="200">
        <v>64</v>
      </c>
      <c r="G70" s="200">
        <v>70</v>
      </c>
      <c r="H70" s="200">
        <v>70</v>
      </c>
      <c r="I70" s="200">
        <v>70</v>
      </c>
      <c r="J70" s="46">
        <f>34198.17+1484.79</f>
        <v>35682.959999999999</v>
      </c>
      <c r="K70" s="46">
        <f>(12142.68*1.802017)+7142.5</f>
        <v>29023.81578556</v>
      </c>
      <c r="L70" s="46">
        <f t="shared" ref="L70:L71" si="30">61115.04283+222.8915676+391.5662651+1520.538012</f>
        <v>63250.038674700001</v>
      </c>
      <c r="M70" s="46">
        <f t="shared" si="26"/>
        <v>127956.81446026001</v>
      </c>
      <c r="N70" s="46">
        <f>G70*J70+0.1</f>
        <v>2497807.2999999998</v>
      </c>
      <c r="O70" s="46">
        <f>G70*K70-0.1</f>
        <v>2031667.0049891998</v>
      </c>
      <c r="P70" s="206"/>
      <c r="Q70" s="46">
        <f t="shared" ref="Q70" si="31">G70*L70</f>
        <v>4427502.7072290005</v>
      </c>
      <c r="R70" s="46"/>
      <c r="S70" s="46"/>
      <c r="T70" s="46">
        <f t="shared" si="5"/>
        <v>8956977.0122181997</v>
      </c>
      <c r="U70" s="46">
        <v>8750866.8800000008</v>
      </c>
      <c r="V70" s="46">
        <f>U70</f>
        <v>8750866.8800000008</v>
      </c>
    </row>
    <row r="71" spans="1:29" ht="110.4">
      <c r="A71" s="88"/>
      <c r="B71" s="97" t="s">
        <v>270</v>
      </c>
      <c r="C71" s="93" t="s">
        <v>281</v>
      </c>
      <c r="D71" s="265" t="s">
        <v>20</v>
      </c>
      <c r="E71" s="200">
        <v>72</v>
      </c>
      <c r="F71" s="200">
        <v>72</v>
      </c>
      <c r="G71" s="200">
        <v>67</v>
      </c>
      <c r="H71" s="200">
        <v>67</v>
      </c>
      <c r="I71" s="200">
        <v>67</v>
      </c>
      <c r="J71" s="220">
        <f>65511.03+1484.79</f>
        <v>66995.819999999992</v>
      </c>
      <c r="K71" s="46">
        <f>(12142.68*1.802017)+7142.5</f>
        <v>29023.81578556</v>
      </c>
      <c r="L71" s="46">
        <f t="shared" si="30"/>
        <v>63250.038674700001</v>
      </c>
      <c r="M71" s="46">
        <f t="shared" si="26"/>
        <v>159269.67446025999</v>
      </c>
      <c r="N71" s="46">
        <f>G71*J71-0.01-0.14</f>
        <v>4488719.79</v>
      </c>
      <c r="O71" s="46">
        <f t="shared" ref="O71" si="32">G71*K71-0.16</f>
        <v>1944595.49763252</v>
      </c>
      <c r="P71" s="206"/>
      <c r="Q71" s="46">
        <f>G71*L71</f>
        <v>4237752.5912049003</v>
      </c>
      <c r="R71" s="46"/>
      <c r="S71" s="46"/>
      <c r="T71" s="46">
        <f t="shared" si="5"/>
        <v>10671067.878837422</v>
      </c>
      <c r="U71" s="46">
        <f>9959919.18-554341.2</f>
        <v>9405577.9800000004</v>
      </c>
      <c r="V71" s="46">
        <f>U71</f>
        <v>9405577.9800000004</v>
      </c>
      <c r="W71" s="85">
        <f>T71-U71</f>
        <v>1265489.8988374211</v>
      </c>
    </row>
    <row r="72" spans="1:29" s="192" customFormat="1" ht="13.5" hidden="1" customHeight="1">
      <c r="A72" s="245"/>
      <c r="B72" s="203"/>
      <c r="C72" s="199" t="s">
        <v>226</v>
      </c>
      <c r="D72" s="45"/>
      <c r="E72" s="200"/>
      <c r="F72" s="200"/>
      <c r="G72" s="200"/>
      <c r="H72" s="200"/>
      <c r="I72" s="200"/>
      <c r="J72" s="46"/>
      <c r="K72" s="46"/>
      <c r="L72" s="46"/>
      <c r="M72" s="46">
        <f t="shared" si="26"/>
        <v>0</v>
      </c>
      <c r="N72" s="206"/>
      <c r="O72" s="46"/>
      <c r="P72" s="206"/>
      <c r="Q72" s="46"/>
      <c r="R72" s="46"/>
      <c r="S72" s="46"/>
      <c r="T72" s="46">
        <f>O72</f>
        <v>0</v>
      </c>
      <c r="U72" s="46">
        <f t="shared" ref="U72:V76" si="33">T72</f>
        <v>0</v>
      </c>
      <c r="V72" s="46">
        <f t="shared" si="33"/>
        <v>0</v>
      </c>
    </row>
    <row r="73" spans="1:29" s="192" customFormat="1" hidden="1">
      <c r="A73" s="245"/>
      <c r="B73" s="203"/>
      <c r="C73" s="199" t="s">
        <v>226</v>
      </c>
      <c r="D73" s="45"/>
      <c r="E73" s="200"/>
      <c r="F73" s="200"/>
      <c r="G73" s="200"/>
      <c r="H73" s="200"/>
      <c r="I73" s="200"/>
      <c r="J73" s="46"/>
      <c r="K73" s="46"/>
      <c r="L73" s="46"/>
      <c r="M73" s="46">
        <f t="shared" si="26"/>
        <v>0</v>
      </c>
      <c r="N73" s="206"/>
      <c r="O73" s="46"/>
      <c r="P73" s="206"/>
      <c r="Q73" s="46"/>
      <c r="R73" s="46"/>
      <c r="S73" s="46"/>
      <c r="T73" s="46">
        <f>N73</f>
        <v>0</v>
      </c>
      <c r="U73" s="46">
        <f t="shared" si="33"/>
        <v>0</v>
      </c>
      <c r="V73" s="46">
        <f t="shared" si="33"/>
        <v>0</v>
      </c>
    </row>
    <row r="74" spans="1:29" ht="45.75" hidden="1" customHeight="1">
      <c r="A74" s="88"/>
      <c r="B74" s="128"/>
      <c r="C74" s="127" t="s">
        <v>226</v>
      </c>
      <c r="D74" s="265"/>
      <c r="E74" s="200"/>
      <c r="F74" s="200"/>
      <c r="G74" s="200"/>
      <c r="H74" s="200"/>
      <c r="I74" s="200"/>
      <c r="J74" s="46"/>
      <c r="K74" s="46"/>
      <c r="L74" s="46"/>
      <c r="M74" s="46">
        <f t="shared" si="26"/>
        <v>0</v>
      </c>
      <c r="N74" s="206"/>
      <c r="O74" s="46"/>
      <c r="P74" s="206"/>
      <c r="Q74" s="46"/>
      <c r="R74" s="46"/>
      <c r="S74" s="46"/>
      <c r="T74" s="46">
        <f>N74</f>
        <v>0</v>
      </c>
      <c r="U74" s="46">
        <f t="shared" si="33"/>
        <v>0</v>
      </c>
      <c r="V74" s="46">
        <f t="shared" si="33"/>
        <v>0</v>
      </c>
    </row>
    <row r="75" spans="1:29" hidden="1">
      <c r="A75" s="88"/>
      <c r="B75" s="128"/>
      <c r="C75" s="127"/>
      <c r="D75" s="265"/>
      <c r="E75" s="200"/>
      <c r="F75" s="200"/>
      <c r="G75" s="200"/>
      <c r="H75" s="200"/>
      <c r="I75" s="200"/>
      <c r="J75" s="46"/>
      <c r="K75" s="46"/>
      <c r="L75" s="46"/>
      <c r="M75" s="46">
        <f t="shared" si="26"/>
        <v>0</v>
      </c>
      <c r="N75" s="206"/>
      <c r="O75" s="46"/>
      <c r="P75" s="206"/>
      <c r="Q75" s="46"/>
      <c r="R75" s="46"/>
      <c r="S75" s="46"/>
      <c r="T75" s="46">
        <f>O75</f>
        <v>0</v>
      </c>
      <c r="U75" s="46">
        <f t="shared" si="33"/>
        <v>0</v>
      </c>
      <c r="V75" s="46">
        <f t="shared" si="33"/>
        <v>0</v>
      </c>
    </row>
    <row r="76" spans="1:29" ht="60" customHeight="1">
      <c r="A76" s="241" t="s">
        <v>248</v>
      </c>
      <c r="B76" s="242" t="s">
        <v>332</v>
      </c>
      <c r="C76" s="127" t="s">
        <v>219</v>
      </c>
      <c r="D76" s="44" t="s">
        <v>20</v>
      </c>
      <c r="E76" s="200">
        <f>E71+E70+E69</f>
        <v>167</v>
      </c>
      <c r="F76" s="200">
        <f t="shared" ref="F76:I76" si="34">F71+F70+F69</f>
        <v>167</v>
      </c>
      <c r="G76" s="200">
        <f t="shared" si="34"/>
        <v>166</v>
      </c>
      <c r="H76" s="200">
        <f t="shared" si="34"/>
        <v>166</v>
      </c>
      <c r="I76" s="200">
        <f t="shared" si="34"/>
        <v>166</v>
      </c>
      <c r="J76" s="46" t="s">
        <v>23</v>
      </c>
      <c r="K76" s="46"/>
      <c r="L76" s="46">
        <f>Q76/G76</f>
        <v>6212.3456024096386</v>
      </c>
      <c r="M76" s="46">
        <f t="shared" si="26"/>
        <v>6212.3456024096386</v>
      </c>
      <c r="N76" s="206">
        <f t="shared" si="13"/>
        <v>0</v>
      </c>
      <c r="O76" s="46">
        <f t="shared" ref="O76" si="35">G76*K76</f>
        <v>0</v>
      </c>
      <c r="P76" s="206"/>
      <c r="Q76" s="46">
        <v>1031249.37</v>
      </c>
      <c r="R76" s="46"/>
      <c r="S76" s="46"/>
      <c r="T76" s="46">
        <f t="shared" si="5"/>
        <v>1031249.37</v>
      </c>
      <c r="U76" s="46">
        <f t="shared" si="33"/>
        <v>1031249.37</v>
      </c>
      <c r="V76" s="46">
        <f t="shared" si="33"/>
        <v>1031249.37</v>
      </c>
    </row>
    <row r="77" spans="1:29">
      <c r="A77" s="86"/>
      <c r="B77" s="242" t="s">
        <v>332</v>
      </c>
      <c r="C77" s="127" t="s">
        <v>220</v>
      </c>
      <c r="D77" s="44"/>
      <c r="E77" s="200"/>
      <c r="F77" s="200"/>
      <c r="G77" s="200">
        <v>163</v>
      </c>
      <c r="H77" s="200">
        <v>163</v>
      </c>
      <c r="I77" s="200">
        <v>163</v>
      </c>
      <c r="J77" s="46"/>
      <c r="K77" s="46"/>
      <c r="L77" s="46">
        <f>S77/G77</f>
        <v>9122.4811656441707</v>
      </c>
      <c r="M77" s="46">
        <f t="shared" si="26"/>
        <v>9122.4811656441707</v>
      </c>
      <c r="N77" s="206"/>
      <c r="O77" s="46"/>
      <c r="P77" s="206"/>
      <c r="Q77" s="46"/>
      <c r="R77" s="46"/>
      <c r="S77" s="46">
        <v>1486964.43</v>
      </c>
      <c r="T77" s="46">
        <f>S77:S78</f>
        <v>1486964.43</v>
      </c>
      <c r="U77" s="46">
        <f>S77</f>
        <v>1486964.43</v>
      </c>
      <c r="V77" s="46">
        <f>S77</f>
        <v>1486964.43</v>
      </c>
    </row>
    <row r="78" spans="1:29">
      <c r="A78" s="243" t="s">
        <v>57</v>
      </c>
      <c r="B78" s="94"/>
      <c r="C78" s="94"/>
      <c r="D78" s="257"/>
      <c r="E78" s="222"/>
      <c r="F78" s="222"/>
      <c r="G78" s="222"/>
      <c r="H78" s="222"/>
      <c r="I78" s="222"/>
      <c r="J78" s="201"/>
      <c r="K78" s="201"/>
      <c r="L78" s="201"/>
      <c r="M78" s="46">
        <f t="shared" si="26"/>
        <v>0</v>
      </c>
      <c r="N78" s="201">
        <f>N79+N85</f>
        <v>6783488.9999999991</v>
      </c>
      <c r="O78" s="201">
        <f>O79+O85</f>
        <v>3352897.0026960801</v>
      </c>
      <c r="P78" s="207"/>
      <c r="Q78" s="201">
        <f>Q79+Q85</f>
        <v>5964695.5300006</v>
      </c>
      <c r="R78" s="201"/>
      <c r="S78" s="201">
        <f>S86</f>
        <v>1061963.51</v>
      </c>
      <c r="T78" s="201">
        <f>T79+T85+T86</f>
        <v>17163045.042696681</v>
      </c>
      <c r="U78" s="201">
        <f>U79+U85+U86</f>
        <v>16936191.539999999</v>
      </c>
      <c r="V78" s="201">
        <f>V79+V85+V86</f>
        <v>16936191.539999999</v>
      </c>
      <c r="W78" s="80">
        <v>3536630.03</v>
      </c>
      <c r="X78" s="85">
        <f>W78-Q78</f>
        <v>-2428065.5000006002</v>
      </c>
      <c r="Y78" s="80">
        <f>X78/I85</f>
        <v>-20576.826271191527</v>
      </c>
      <c r="AA78" s="80">
        <v>5964695.5300000003</v>
      </c>
      <c r="AB78" s="85">
        <f>AA78-Q78</f>
        <v>-5.9977173805236816E-7</v>
      </c>
      <c r="AC78" s="80">
        <f>AB78/I85</f>
        <v>-5.0828113394268485E-9</v>
      </c>
    </row>
    <row r="79" spans="1:29" ht="87" customHeight="1">
      <c r="A79" s="241" t="s">
        <v>247</v>
      </c>
      <c r="B79" s="84" t="s">
        <v>76</v>
      </c>
      <c r="C79" s="128"/>
      <c r="D79" s="52"/>
      <c r="E79" s="221"/>
      <c r="F79" s="221"/>
      <c r="G79" s="221"/>
      <c r="H79" s="221"/>
      <c r="I79" s="221"/>
      <c r="J79" s="46"/>
      <c r="K79" s="46"/>
      <c r="L79" s="46"/>
      <c r="M79" s="46">
        <f t="shared" si="26"/>
        <v>0</v>
      </c>
      <c r="N79" s="46">
        <f>SUM(N80:N84)</f>
        <v>6783488.9999999991</v>
      </c>
      <c r="O79" s="46">
        <f>SUM(O80:O86)</f>
        <v>3352897.0026960801</v>
      </c>
      <c r="P79" s="206"/>
      <c r="Q79" s="46">
        <f>SUM(Q80:Q83)</f>
        <v>5183015.6100006001</v>
      </c>
      <c r="R79" s="46"/>
      <c r="S79" s="46"/>
      <c r="T79" s="46">
        <f>SUM(T80:T84)</f>
        <v>15319401.612696679</v>
      </c>
      <c r="U79" s="46">
        <f>SUM(U80:U84)-0.9</f>
        <v>15092548.109999999</v>
      </c>
      <c r="V79" s="46">
        <f>SUM(V80:V84)-0.9</f>
        <v>15092548.109999999</v>
      </c>
      <c r="W79" s="85">
        <f>T78-U78</f>
        <v>226853.50269668177</v>
      </c>
      <c r="AA79" s="85">
        <f>15874228.03+U86</f>
        <v>16936191.539999999</v>
      </c>
      <c r="AB79" s="85">
        <f>U78-AA79</f>
        <v>0</v>
      </c>
    </row>
    <row r="80" spans="1:29" ht="43.5" customHeight="1">
      <c r="A80" s="241"/>
      <c r="B80" s="97" t="s">
        <v>272</v>
      </c>
      <c r="C80" s="335" t="s">
        <v>279</v>
      </c>
      <c r="D80" s="265" t="s">
        <v>20</v>
      </c>
      <c r="E80" s="221"/>
      <c r="F80" s="221"/>
      <c r="G80" s="200">
        <v>1</v>
      </c>
      <c r="H80" s="200">
        <v>1</v>
      </c>
      <c r="I80" s="200">
        <v>1</v>
      </c>
      <c r="J80" s="46">
        <f>43138.04+983.17</f>
        <v>44121.21</v>
      </c>
      <c r="K80" s="46">
        <f>(12142.68*1.802017)+6533.07</f>
        <v>28414.38578556</v>
      </c>
      <c r="L80" s="46">
        <f>42890.0772+693.2118678+340.5720339</f>
        <v>43923.8611017</v>
      </c>
      <c r="M80" s="46">
        <f t="shared" si="26"/>
        <v>116459.45688725999</v>
      </c>
      <c r="N80" s="46">
        <f>G80*J80-0.04</f>
        <v>44121.17</v>
      </c>
      <c r="O80" s="46">
        <f>G80*K80-0.32</f>
        <v>28414.06578556</v>
      </c>
      <c r="P80" s="206"/>
      <c r="Q80" s="46">
        <f>H80*L80</f>
        <v>43923.8611017</v>
      </c>
      <c r="R80" s="46"/>
      <c r="S80" s="46"/>
      <c r="T80" s="46">
        <f>N80+O80+P80+Q80+R80</f>
        <v>116459.09688726001</v>
      </c>
      <c r="U80" s="46">
        <v>114956.64</v>
      </c>
      <c r="V80" s="46">
        <f t="shared" ref="V80:V82" si="36">U80</f>
        <v>114956.64</v>
      </c>
    </row>
    <row r="81" spans="1:29" ht="63" customHeight="1">
      <c r="A81" s="83"/>
      <c r="B81" s="97" t="s">
        <v>270</v>
      </c>
      <c r="C81" s="336"/>
      <c r="D81" s="265" t="s">
        <v>20</v>
      </c>
      <c r="E81" s="200">
        <v>45</v>
      </c>
      <c r="F81" s="200">
        <v>45</v>
      </c>
      <c r="G81" s="200">
        <v>44</v>
      </c>
      <c r="H81" s="200">
        <v>44</v>
      </c>
      <c r="I81" s="200">
        <v>44</v>
      </c>
      <c r="J81" s="46">
        <f>34198.17+983.17</f>
        <v>35181.339999999997</v>
      </c>
      <c r="K81" s="46">
        <f>(12142.68*1.802017)+6533.07</f>
        <v>28414.38578556</v>
      </c>
      <c r="L81" s="46">
        <f>42890.0772+693.2118678+340.5720339</f>
        <v>43923.8611017</v>
      </c>
      <c r="M81" s="46">
        <f t="shared" si="26"/>
        <v>107519.58688726</v>
      </c>
      <c r="N81" s="46">
        <f>G81*J81+0.52</f>
        <v>1547979.48</v>
      </c>
      <c r="O81" s="46">
        <f>G81*K81+0.11</f>
        <v>1250233.0845646402</v>
      </c>
      <c r="P81" s="206"/>
      <c r="Q81" s="46">
        <f>G81*L81</f>
        <v>1932649.8884747999</v>
      </c>
      <c r="R81" s="46"/>
      <c r="S81" s="46"/>
      <c r="T81" s="46">
        <f t="shared" si="5"/>
        <v>4730862.4530394403</v>
      </c>
      <c r="U81" s="46">
        <v>4664754.38</v>
      </c>
      <c r="V81" s="46">
        <f t="shared" si="36"/>
        <v>4664754.38</v>
      </c>
    </row>
    <row r="82" spans="1:29" ht="110.4">
      <c r="A82" s="83"/>
      <c r="B82" s="97" t="s">
        <v>270</v>
      </c>
      <c r="C82" s="93" t="s">
        <v>274</v>
      </c>
      <c r="D82" s="265" t="s">
        <v>20</v>
      </c>
      <c r="E82" s="269">
        <v>73</v>
      </c>
      <c r="F82" s="200">
        <v>73</v>
      </c>
      <c r="G82" s="200">
        <v>73</v>
      </c>
      <c r="H82" s="200">
        <v>73</v>
      </c>
      <c r="I82" s="200">
        <v>73</v>
      </c>
      <c r="J82" s="220">
        <f>65511.03+983.17</f>
        <v>66494.2</v>
      </c>
      <c r="K82" s="46">
        <f>(12142.68*1.802017)+6533.07</f>
        <v>28414.38578556</v>
      </c>
      <c r="L82" s="46">
        <f>42890.0772+693.2118678+340.5720339</f>
        <v>43923.8611017</v>
      </c>
      <c r="M82" s="46">
        <f t="shared" si="26"/>
        <v>138832.44688725998</v>
      </c>
      <c r="N82" s="46">
        <f>G82*J82-0.19</f>
        <v>4854076.4099999992</v>
      </c>
      <c r="O82" s="46">
        <f>G82*K82-0.05-0.26</f>
        <v>2074249.8523458799</v>
      </c>
      <c r="P82" s="206"/>
      <c r="Q82" s="46">
        <f>G82*L82</f>
        <v>3206441.8604241</v>
      </c>
      <c r="R82" s="46"/>
      <c r="S82" s="46"/>
      <c r="T82" s="46">
        <f>SUM(N82:Q82)</f>
        <v>10134768.12276998</v>
      </c>
      <c r="U82" s="46">
        <f>9949028.99+81799</f>
        <v>10030827.99</v>
      </c>
      <c r="V82" s="46">
        <f t="shared" si="36"/>
        <v>10030827.99</v>
      </c>
    </row>
    <row r="83" spans="1:29" ht="79.5" customHeight="1">
      <c r="A83" s="244"/>
      <c r="B83" s="97" t="s">
        <v>181</v>
      </c>
      <c r="C83" s="244" t="s">
        <v>287</v>
      </c>
      <c r="D83" s="254"/>
      <c r="E83" s="200">
        <v>45</v>
      </c>
      <c r="F83" s="200">
        <v>45</v>
      </c>
      <c r="G83" s="200">
        <v>45</v>
      </c>
      <c r="H83" s="200">
        <v>45</v>
      </c>
      <c r="I83" s="200">
        <v>45</v>
      </c>
      <c r="J83" s="220">
        <f>1554.8+983.17</f>
        <v>2537.9699999999998</v>
      </c>
      <c r="K83" s="46">
        <f>21881.32+6533.07</f>
        <v>28414.39</v>
      </c>
      <c r="L83" s="46">
        <f t="shared" ref="L83:L84" si="37">42890.0772+693.2118678+340.5720339</f>
        <v>43923.8611017</v>
      </c>
      <c r="M83" s="46">
        <f t="shared" si="26"/>
        <v>74876.221101700008</v>
      </c>
      <c r="N83" s="46">
        <f>G83*J83</f>
        <v>114208.65</v>
      </c>
      <c r="O83" s="46"/>
      <c r="P83" s="206"/>
      <c r="Q83" s="46"/>
      <c r="R83" s="46"/>
      <c r="S83" s="46"/>
      <c r="T83" s="46">
        <f>SUM(N83:Q83)</f>
        <v>114208.65</v>
      </c>
      <c r="U83" s="46">
        <v>93118.5</v>
      </c>
      <c r="V83" s="46">
        <f t="shared" ref="U83:V85" si="38">U83</f>
        <v>93118.5</v>
      </c>
    </row>
    <row r="84" spans="1:29" ht="81" customHeight="1">
      <c r="A84" s="244"/>
      <c r="B84" s="97" t="s">
        <v>181</v>
      </c>
      <c r="C84" s="244" t="s">
        <v>288</v>
      </c>
      <c r="D84" s="254"/>
      <c r="E84" s="200">
        <v>73</v>
      </c>
      <c r="F84" s="200">
        <v>73</v>
      </c>
      <c r="G84" s="200">
        <v>73</v>
      </c>
      <c r="H84" s="200">
        <v>73</v>
      </c>
      <c r="I84" s="200">
        <v>73</v>
      </c>
      <c r="J84" s="220">
        <f>2073.06+983.17</f>
        <v>3056.23</v>
      </c>
      <c r="K84" s="46">
        <f>(12142.68*1.802017)+6533.07</f>
        <v>28414.38578556</v>
      </c>
      <c r="L84" s="46">
        <f t="shared" si="37"/>
        <v>43923.8611017</v>
      </c>
      <c r="M84" s="46">
        <f t="shared" si="26"/>
        <v>75394.476887259996</v>
      </c>
      <c r="N84" s="46">
        <f>G84*J84-0.38-1.12</f>
        <v>223103.29</v>
      </c>
      <c r="O84" s="46"/>
      <c r="P84" s="206"/>
      <c r="Q84" s="46"/>
      <c r="R84" s="46"/>
      <c r="S84" s="46"/>
      <c r="T84" s="46">
        <f>SUM(N84:Q84)</f>
        <v>223103.29</v>
      </c>
      <c r="U84" s="46">
        <v>188891.5</v>
      </c>
      <c r="V84" s="46">
        <f t="shared" si="38"/>
        <v>188891.5</v>
      </c>
    </row>
    <row r="85" spans="1:29" ht="55.2">
      <c r="A85" s="241" t="s">
        <v>248</v>
      </c>
      <c r="B85" s="242" t="s">
        <v>28</v>
      </c>
      <c r="C85" s="127" t="s">
        <v>219</v>
      </c>
      <c r="D85" s="44" t="s">
        <v>20</v>
      </c>
      <c r="E85" s="200">
        <v>118</v>
      </c>
      <c r="F85" s="200">
        <v>118</v>
      </c>
      <c r="G85" s="200">
        <v>118</v>
      </c>
      <c r="H85" s="200">
        <v>118</v>
      </c>
      <c r="I85" s="200">
        <v>118</v>
      </c>
      <c r="J85" s="46"/>
      <c r="K85" s="46"/>
      <c r="L85" s="46">
        <f>Q85/G85</f>
        <v>6624.4061016949154</v>
      </c>
      <c r="M85" s="46">
        <f t="shared" si="26"/>
        <v>6624.4061016949154</v>
      </c>
      <c r="N85" s="206">
        <f t="shared" ref="N85" si="39">G85*J85</f>
        <v>0</v>
      </c>
      <c r="O85" s="46">
        <f t="shared" ref="O85" si="40">G85*K85</f>
        <v>0</v>
      </c>
      <c r="P85" s="206"/>
      <c r="Q85" s="46">
        <v>781679.92</v>
      </c>
      <c r="R85" s="46"/>
      <c r="S85" s="46"/>
      <c r="T85" s="46">
        <f t="shared" si="5"/>
        <v>781679.92</v>
      </c>
      <c r="U85" s="46">
        <f t="shared" si="38"/>
        <v>781679.92</v>
      </c>
      <c r="V85" s="46">
        <f t="shared" si="38"/>
        <v>781679.92</v>
      </c>
    </row>
    <row r="86" spans="1:29" ht="18" customHeight="1">
      <c r="A86" s="86"/>
      <c r="B86" s="242" t="s">
        <v>28</v>
      </c>
      <c r="C86" s="127" t="s">
        <v>220</v>
      </c>
      <c r="D86" s="44"/>
      <c r="E86" s="200"/>
      <c r="F86" s="200"/>
      <c r="G86" s="200">
        <v>118</v>
      </c>
      <c r="H86" s="200">
        <v>118</v>
      </c>
      <c r="I86" s="200">
        <v>118</v>
      </c>
      <c r="J86" s="46"/>
      <c r="K86" s="46"/>
      <c r="L86" s="46">
        <f>S86/G86</f>
        <v>8999.6907627118653</v>
      </c>
      <c r="M86" s="46">
        <f t="shared" si="26"/>
        <v>8999.6907627118653</v>
      </c>
      <c r="N86" s="206"/>
      <c r="O86" s="46"/>
      <c r="P86" s="206"/>
      <c r="Q86" s="46"/>
      <c r="R86" s="46"/>
      <c r="S86" s="46">
        <v>1061963.51</v>
      </c>
      <c r="T86" s="46">
        <f>S86</f>
        <v>1061963.51</v>
      </c>
      <c r="U86" s="46">
        <f>S86</f>
        <v>1061963.51</v>
      </c>
      <c r="V86" s="46">
        <f>S86</f>
        <v>1061963.51</v>
      </c>
    </row>
    <row r="87" spans="1:29" ht="17.25" customHeight="1">
      <c r="A87" s="243" t="s">
        <v>61</v>
      </c>
      <c r="B87" s="94"/>
      <c r="C87" s="94"/>
      <c r="D87" s="257"/>
      <c r="E87" s="222"/>
      <c r="F87" s="222"/>
      <c r="G87" s="222"/>
      <c r="H87" s="222"/>
      <c r="I87" s="222"/>
      <c r="J87" s="201"/>
      <c r="K87" s="201"/>
      <c r="L87" s="201"/>
      <c r="M87" s="46">
        <f t="shared" si="26"/>
        <v>0</v>
      </c>
      <c r="N87" s="201">
        <f>N88+N93</f>
        <v>17619746</v>
      </c>
      <c r="O87" s="201">
        <f>O88+O93</f>
        <v>7166457.9985344</v>
      </c>
      <c r="P87" s="201"/>
      <c r="Q87" s="201">
        <f>Q88+Q93</f>
        <v>11727438.529928001</v>
      </c>
      <c r="R87" s="201"/>
      <c r="S87" s="201">
        <f>S94</f>
        <v>1863094.52</v>
      </c>
      <c r="T87" s="201">
        <f>T88+T93+T94</f>
        <v>38376737.048462406</v>
      </c>
      <c r="U87" s="201">
        <f>U88+U93+U94</f>
        <v>37196244.050000004</v>
      </c>
      <c r="V87" s="201">
        <f>V88+V93+V94</f>
        <v>37196244.050000004</v>
      </c>
      <c r="W87" s="80">
        <v>7193229.5300000003</v>
      </c>
      <c r="X87" s="85">
        <f>W87-Q87</f>
        <v>-4534208.9999280004</v>
      </c>
      <c r="Y87" s="80">
        <f>X87/I93</f>
        <v>-18892.5374997</v>
      </c>
      <c r="AA87" s="80">
        <v>11727438.529999999</v>
      </c>
      <c r="AB87" s="85">
        <f>AA87-Q87</f>
        <v>7.1998685598373413E-5</v>
      </c>
      <c r="AC87" s="124">
        <f>AB87/I93</f>
        <v>2.9999452332655589E-7</v>
      </c>
    </row>
    <row r="88" spans="1:29" ht="83.25" customHeight="1">
      <c r="A88" s="241" t="s">
        <v>247</v>
      </c>
      <c r="B88" s="84" t="s">
        <v>76</v>
      </c>
      <c r="C88" s="128"/>
      <c r="D88" s="52"/>
      <c r="E88" s="221"/>
      <c r="F88" s="221"/>
      <c r="G88" s="221"/>
      <c r="H88" s="221"/>
      <c r="I88" s="221"/>
      <c r="J88" s="46"/>
      <c r="K88" s="46"/>
      <c r="L88" s="46"/>
      <c r="M88" s="46">
        <f t="shared" si="26"/>
        <v>0</v>
      </c>
      <c r="N88" s="46">
        <f>N89+N91+N92+N90</f>
        <v>17619746</v>
      </c>
      <c r="O88" s="46">
        <f>SUM(O89:O94)</f>
        <v>7166457.9985344</v>
      </c>
      <c r="P88" s="46"/>
      <c r="Q88" s="46">
        <f>SUM(Q89:Q92)</f>
        <v>9880752.7499280013</v>
      </c>
      <c r="R88" s="46"/>
      <c r="S88" s="46"/>
      <c r="T88" s="46">
        <f>SUM(T89:T92)</f>
        <v>34666956.748462401</v>
      </c>
      <c r="U88" s="46">
        <f>SUM(U89:U92)-0.02</f>
        <v>33486463.750000004</v>
      </c>
      <c r="V88" s="46">
        <f>SUM(V89:V92)-0.02</f>
        <v>33486463.750000004</v>
      </c>
      <c r="W88" s="85">
        <f>T87-U87</f>
        <v>1180492.9984624013</v>
      </c>
      <c r="AA88" s="85">
        <f>35333149.53+U94</f>
        <v>37196244.050000004</v>
      </c>
      <c r="AB88" s="85">
        <f>U87-AA88</f>
        <v>0</v>
      </c>
    </row>
    <row r="89" spans="1:29" ht="96.6">
      <c r="A89" s="83"/>
      <c r="B89" s="97" t="s">
        <v>272</v>
      </c>
      <c r="C89" s="93" t="s">
        <v>279</v>
      </c>
      <c r="D89" s="265" t="s">
        <v>20</v>
      </c>
      <c r="E89" s="200">
        <v>35</v>
      </c>
      <c r="F89" s="200">
        <v>35</v>
      </c>
      <c r="G89" s="200">
        <v>32</v>
      </c>
      <c r="H89" s="200">
        <v>32</v>
      </c>
      <c r="I89" s="200">
        <v>32</v>
      </c>
      <c r="J89" s="46">
        <f>43138.04+1277.05</f>
        <v>44415.090000000004</v>
      </c>
      <c r="K89" s="46">
        <f>(12142.68*1.802017)+7978.93</f>
        <v>29860.245785560001</v>
      </c>
      <c r="L89" s="46">
        <f>40511.42813-458.3333383+697.125+419.583333</f>
        <v>41169.803124700004</v>
      </c>
      <c r="M89" s="46">
        <f t="shared" si="26"/>
        <v>115445.13891026001</v>
      </c>
      <c r="N89" s="46">
        <f>G89*J89-0.28</f>
        <v>1421282.6</v>
      </c>
      <c r="O89" s="46">
        <f>G89*K89-0.11</f>
        <v>955527.75513792003</v>
      </c>
      <c r="P89" s="46"/>
      <c r="Q89" s="46">
        <f>G89*L89</f>
        <v>1317433.6999904001</v>
      </c>
      <c r="R89" s="46"/>
      <c r="S89" s="46"/>
      <c r="T89" s="46">
        <f>SUM(N89:Q89)</f>
        <v>3694244.0551283201</v>
      </c>
      <c r="U89" s="46">
        <v>4758136.87</v>
      </c>
      <c r="V89" s="46">
        <f>U89</f>
        <v>4758136.87</v>
      </c>
      <c r="AA89" s="85"/>
    </row>
    <row r="90" spans="1:29" ht="138">
      <c r="A90" s="88"/>
      <c r="B90" s="97" t="s">
        <v>270</v>
      </c>
      <c r="C90" s="93" t="s">
        <v>284</v>
      </c>
      <c r="D90" s="44" t="s">
        <v>20</v>
      </c>
      <c r="E90" s="200">
        <v>10</v>
      </c>
      <c r="F90" s="200">
        <v>10</v>
      </c>
      <c r="G90" s="200">
        <v>10</v>
      </c>
      <c r="H90" s="200">
        <v>10</v>
      </c>
      <c r="I90" s="200">
        <v>10</v>
      </c>
      <c r="J90" s="46">
        <f>229832.84+1277.05</f>
        <v>231109.88999999998</v>
      </c>
      <c r="K90" s="46">
        <f>(12142.68*1.802017)+7978.93</f>
        <v>29860.245785560001</v>
      </c>
      <c r="L90" s="46">
        <f>40511.42813-458.3333383+697.125+419.583333</f>
        <v>41169.803124700004</v>
      </c>
      <c r="M90" s="46">
        <f t="shared" si="26"/>
        <v>302139.93891025998</v>
      </c>
      <c r="N90" s="46">
        <f>G90*J90+0.6</f>
        <v>2311099.5</v>
      </c>
      <c r="O90" s="46">
        <f>G90*K90-0.15</f>
        <v>298602.30785559997</v>
      </c>
      <c r="P90" s="46"/>
      <c r="Q90" s="46">
        <f t="shared" ref="Q90:Q91" si="41">G90*L90</f>
        <v>411698.03124700004</v>
      </c>
      <c r="R90" s="46"/>
      <c r="S90" s="46"/>
      <c r="T90" s="46">
        <f t="shared" si="5"/>
        <v>3021399.8391026002</v>
      </c>
      <c r="U90" s="46">
        <v>4747584.2300000004</v>
      </c>
      <c r="V90" s="46">
        <f>U90</f>
        <v>4747584.2300000004</v>
      </c>
    </row>
    <row r="91" spans="1:29" ht="110.4">
      <c r="A91" s="88"/>
      <c r="B91" s="97" t="s">
        <v>270</v>
      </c>
      <c r="C91" s="240" t="s">
        <v>281</v>
      </c>
      <c r="D91" s="265" t="s">
        <v>20</v>
      </c>
      <c r="E91" s="200">
        <v>195</v>
      </c>
      <c r="F91" s="200">
        <v>195</v>
      </c>
      <c r="G91" s="200">
        <v>198</v>
      </c>
      <c r="H91" s="200">
        <v>198</v>
      </c>
      <c r="I91" s="200">
        <v>198</v>
      </c>
      <c r="J91" s="220">
        <f>65511.03+1277.05</f>
        <v>66788.08</v>
      </c>
      <c r="K91" s="46">
        <f>(12142.68*1.802017)+7978.93</f>
        <v>29860.245785560001</v>
      </c>
      <c r="L91" s="46">
        <f>40511.42813-458.3333383+697.125+419.583333</f>
        <v>41169.803124700004</v>
      </c>
      <c r="M91" s="46">
        <f t="shared" si="26"/>
        <v>137818.12891026001</v>
      </c>
      <c r="N91" s="46">
        <f>G91*J91+0.06+2.1</f>
        <v>13224042</v>
      </c>
      <c r="O91" s="46">
        <f>G91*K91+0.47-1.2</f>
        <v>5912327.9355408801</v>
      </c>
      <c r="P91" s="46"/>
      <c r="Q91" s="46">
        <f t="shared" si="41"/>
        <v>8151621.018690601</v>
      </c>
      <c r="R91" s="46"/>
      <c r="S91" s="46"/>
      <c r="T91" s="46">
        <f t="shared" si="5"/>
        <v>27287990.954231482</v>
      </c>
      <c r="U91" s="46">
        <f>23302266.67+268010</f>
        <v>23570276.670000002</v>
      </c>
      <c r="V91" s="46">
        <f>U91</f>
        <v>23570276.670000002</v>
      </c>
    </row>
    <row r="92" spans="1:29" ht="69">
      <c r="A92" s="83"/>
      <c r="B92" s="97" t="s">
        <v>286</v>
      </c>
      <c r="C92" s="93" t="s">
        <v>285</v>
      </c>
      <c r="D92" s="265" t="s">
        <v>20</v>
      </c>
      <c r="E92" s="200">
        <v>195</v>
      </c>
      <c r="F92" s="200">
        <v>195</v>
      </c>
      <c r="G92" s="200">
        <v>198</v>
      </c>
      <c r="H92" s="200">
        <v>198</v>
      </c>
      <c r="I92" s="200">
        <v>198</v>
      </c>
      <c r="J92" s="46">
        <f>2073.06+1277.05</f>
        <v>3350.1099999999997</v>
      </c>
      <c r="K92" s="46">
        <f>(12142.68*1.802017)+7978.93</f>
        <v>29860.245785560001</v>
      </c>
      <c r="L92" s="46">
        <f>40511.42813-458.3333383+697.125+419.583333</f>
        <v>41169.803124700004</v>
      </c>
      <c r="M92" s="46">
        <f t="shared" si="26"/>
        <v>74380.158910260012</v>
      </c>
      <c r="N92" s="46">
        <f>G92*J92+0.12</f>
        <v>663321.89999999991</v>
      </c>
      <c r="O92" s="46"/>
      <c r="P92" s="46"/>
      <c r="Q92" s="46"/>
      <c r="R92" s="46"/>
      <c r="S92" s="46"/>
      <c r="T92" s="46">
        <f t="shared" si="5"/>
        <v>663321.89999999991</v>
      </c>
      <c r="U92" s="46">
        <v>410466</v>
      </c>
      <c r="V92" s="46">
        <f>U92</f>
        <v>410466</v>
      </c>
    </row>
    <row r="93" spans="1:29" ht="61.5" customHeight="1">
      <c r="A93" s="241" t="s">
        <v>248</v>
      </c>
      <c r="B93" s="242" t="s">
        <v>28</v>
      </c>
      <c r="C93" s="127" t="s">
        <v>219</v>
      </c>
      <c r="D93" s="44" t="s">
        <v>20</v>
      </c>
      <c r="E93" s="200">
        <f>E91+E90+E89</f>
        <v>240</v>
      </c>
      <c r="F93" s="200">
        <f>F91+F90+F89</f>
        <v>240</v>
      </c>
      <c r="G93" s="200">
        <f>(E93*8+F93*4)/12</f>
        <v>240</v>
      </c>
      <c r="H93" s="200">
        <f>H91+H90+H89</f>
        <v>240</v>
      </c>
      <c r="I93" s="200">
        <f>I91+I90+I89</f>
        <v>240</v>
      </c>
      <c r="J93" s="46" t="s">
        <v>23</v>
      </c>
      <c r="K93" s="46"/>
      <c r="L93" s="46">
        <f>Q93/G93</f>
        <v>7694.5240833333337</v>
      </c>
      <c r="M93" s="46">
        <f t="shared" si="26"/>
        <v>7694.5240833333337</v>
      </c>
      <c r="N93" s="206"/>
      <c r="O93" s="46">
        <f t="shared" ref="O93" si="42">G93*K93</f>
        <v>0</v>
      </c>
      <c r="P93" s="206"/>
      <c r="Q93" s="46">
        <v>1846685.78</v>
      </c>
      <c r="R93" s="46"/>
      <c r="S93" s="46"/>
      <c r="T93" s="46">
        <f>Q93</f>
        <v>1846685.78</v>
      </c>
      <c r="U93" s="46">
        <f t="shared" ref="U93:V93" si="43">T93</f>
        <v>1846685.78</v>
      </c>
      <c r="V93" s="46">
        <f t="shared" si="43"/>
        <v>1846685.78</v>
      </c>
    </row>
    <row r="94" spans="1:29">
      <c r="A94" s="86"/>
      <c r="B94" s="242" t="s">
        <v>28</v>
      </c>
      <c r="C94" s="127" t="s">
        <v>220</v>
      </c>
      <c r="D94" s="44"/>
      <c r="E94" s="200"/>
      <c r="F94" s="200"/>
      <c r="G94" s="200">
        <v>237</v>
      </c>
      <c r="H94" s="200">
        <v>237</v>
      </c>
      <c r="I94" s="200">
        <v>237</v>
      </c>
      <c r="J94" s="46"/>
      <c r="K94" s="46"/>
      <c r="L94" s="46">
        <f>S94/G94</f>
        <v>7861.1583122362872</v>
      </c>
      <c r="M94" s="46">
        <f t="shared" si="26"/>
        <v>7861.1583122362872</v>
      </c>
      <c r="N94" s="206"/>
      <c r="O94" s="46"/>
      <c r="P94" s="206"/>
      <c r="Q94" s="46"/>
      <c r="R94" s="46"/>
      <c r="S94" s="46">
        <v>1863094.52</v>
      </c>
      <c r="T94" s="46">
        <f>S94</f>
        <v>1863094.52</v>
      </c>
      <c r="U94" s="46">
        <f>S94</f>
        <v>1863094.52</v>
      </c>
      <c r="V94" s="46">
        <f>S94</f>
        <v>1863094.52</v>
      </c>
    </row>
    <row r="95" spans="1:29">
      <c r="A95" s="243" t="s">
        <v>65</v>
      </c>
      <c r="B95" s="94"/>
      <c r="C95" s="94"/>
      <c r="D95" s="257"/>
      <c r="E95" s="222"/>
      <c r="F95" s="222"/>
      <c r="G95" s="222"/>
      <c r="H95" s="222"/>
      <c r="I95" s="222"/>
      <c r="J95" s="201"/>
      <c r="K95" s="201"/>
      <c r="L95" s="201"/>
      <c r="M95" s="46">
        <f t="shared" si="26"/>
        <v>0</v>
      </c>
      <c r="N95" s="201">
        <f>N96+N99</f>
        <v>8084148</v>
      </c>
      <c r="O95" s="201">
        <f>O96+O99</f>
        <v>3580199.0036939201</v>
      </c>
      <c r="P95" s="201"/>
      <c r="Q95" s="201">
        <f>Q96+Q99-0.01</f>
        <v>6466219.5300008003</v>
      </c>
      <c r="R95" s="201"/>
      <c r="S95" s="201">
        <f>S100</f>
        <v>1044657.5</v>
      </c>
      <c r="T95" s="201">
        <f>T96+T99+T100-0.01</f>
        <v>19175224.033694718</v>
      </c>
      <c r="U95" s="201">
        <f>U96+U99+U100</f>
        <v>19034192.030000001</v>
      </c>
      <c r="V95" s="201">
        <f>V96+V99+V100</f>
        <v>19034192.030000001</v>
      </c>
      <c r="W95" s="80">
        <v>4076199.53</v>
      </c>
      <c r="X95" s="85">
        <f>W95-Q95</f>
        <v>-2390020.0000008005</v>
      </c>
      <c r="Y95" s="80">
        <f>X95/I99</f>
        <v>-18106.212121218185</v>
      </c>
      <c r="AA95" s="80">
        <v>6466219.5300000003</v>
      </c>
      <c r="AB95" s="85">
        <f>AA95-Q95</f>
        <v>-8.0000609159469604E-7</v>
      </c>
      <c r="AC95" s="80">
        <f>AB95/I99</f>
        <v>-6.0606522090507278E-9</v>
      </c>
    </row>
    <row r="96" spans="1:29" ht="85.5" customHeight="1">
      <c r="A96" s="241" t="s">
        <v>247</v>
      </c>
      <c r="B96" s="84" t="s">
        <v>76</v>
      </c>
      <c r="C96" s="128"/>
      <c r="D96" s="52"/>
      <c r="E96" s="221"/>
      <c r="F96" s="221"/>
      <c r="G96" s="221"/>
      <c r="H96" s="221"/>
      <c r="I96" s="221"/>
      <c r="J96" s="46"/>
      <c r="K96" s="46"/>
      <c r="L96" s="46"/>
      <c r="M96" s="46">
        <f t="shared" si="26"/>
        <v>0</v>
      </c>
      <c r="N96" s="46">
        <f>SUM(N97:N100)</f>
        <v>8084148</v>
      </c>
      <c r="O96" s="46">
        <f>SUM(O97:O100)</f>
        <v>3580199.0036939201</v>
      </c>
      <c r="P96" s="46"/>
      <c r="Q96" s="46">
        <f>SUM(Q97:Q98)</f>
        <v>5424259.7000008002</v>
      </c>
      <c r="R96" s="46"/>
      <c r="S96" s="46"/>
      <c r="T96" s="46">
        <f>SUM(T97:T98)</f>
        <v>17088606.70369472</v>
      </c>
      <c r="U96" s="46">
        <f>SUM(U97:U98)-0.02</f>
        <v>16947574.690000001</v>
      </c>
      <c r="V96" s="46">
        <f>SUM(V97:V98)-0.02</f>
        <v>16947574.690000001</v>
      </c>
      <c r="AA96" s="85">
        <f>17989534.53+U100</f>
        <v>19034192.030000001</v>
      </c>
      <c r="AB96" s="85">
        <f>U95-AA96</f>
        <v>0</v>
      </c>
    </row>
    <row r="97" spans="1:29" ht="96.6">
      <c r="A97" s="83"/>
      <c r="B97" s="97" t="s">
        <v>272</v>
      </c>
      <c r="C97" s="93" t="s">
        <v>275</v>
      </c>
      <c r="D97" s="44" t="s">
        <v>20</v>
      </c>
      <c r="E97" s="200">
        <v>35</v>
      </c>
      <c r="F97" s="200">
        <v>35</v>
      </c>
      <c r="G97" s="200">
        <v>36</v>
      </c>
      <c r="H97" s="200">
        <v>36</v>
      </c>
      <c r="I97" s="200">
        <v>36</v>
      </c>
      <c r="J97" s="46">
        <f>43138.04+1834.24</f>
        <v>44972.28</v>
      </c>
      <c r="K97" s="46">
        <f>(12142.68*1.802017)+5241.39</f>
        <v>27122.70578556</v>
      </c>
      <c r="L97" s="46">
        <f>40434.69462+227.2727285+430.9090909</f>
        <v>41092.876439400003</v>
      </c>
      <c r="M97" s="46">
        <f t="shared" si="26"/>
        <v>113187.86222496</v>
      </c>
      <c r="N97" s="46">
        <f>G97*J97-0.44</f>
        <v>1619001.6400000001</v>
      </c>
      <c r="O97" s="46">
        <f>G97*K97+0.63</f>
        <v>976418.03828016005</v>
      </c>
      <c r="P97" s="225"/>
      <c r="Q97" s="46">
        <f>G97*L97</f>
        <v>1479343.5518184002</v>
      </c>
      <c r="R97" s="46"/>
      <c r="S97" s="46"/>
      <c r="T97" s="46">
        <f>N97+O97+P97+Q97+R97</f>
        <v>4074763.2300985605</v>
      </c>
      <c r="U97" s="46">
        <v>4015071.1</v>
      </c>
      <c r="V97" s="46">
        <f>U97</f>
        <v>4015071.1</v>
      </c>
      <c r="W97" s="85">
        <f>T95-U95</f>
        <v>141032.00369471684</v>
      </c>
    </row>
    <row r="98" spans="1:29" ht="108" customHeight="1">
      <c r="A98" s="88"/>
      <c r="B98" s="97" t="s">
        <v>270</v>
      </c>
      <c r="C98" s="93" t="s">
        <v>289</v>
      </c>
      <c r="D98" s="44" t="s">
        <v>20</v>
      </c>
      <c r="E98" s="200">
        <v>101</v>
      </c>
      <c r="F98" s="200">
        <v>101</v>
      </c>
      <c r="G98" s="200">
        <v>96</v>
      </c>
      <c r="H98" s="200">
        <v>96</v>
      </c>
      <c r="I98" s="200">
        <v>96</v>
      </c>
      <c r="J98" s="46">
        <f>65511.03+1834.24</f>
        <v>67345.27</v>
      </c>
      <c r="K98" s="46">
        <f>(12142.68*1.802017)+5241.39</f>
        <v>27122.70578556</v>
      </c>
      <c r="L98" s="46">
        <f>40434.69462+227.2727285+430.9090909</f>
        <v>41092.876439400003</v>
      </c>
      <c r="M98" s="46">
        <f t="shared" si="26"/>
        <v>135560.85222495999</v>
      </c>
      <c r="N98" s="46">
        <f>G98*J98+0.12+0.32</f>
        <v>6465146.3600000003</v>
      </c>
      <c r="O98" s="46">
        <f>G98*K98+0.69+0.52</f>
        <v>2603780.9654137599</v>
      </c>
      <c r="P98" s="225"/>
      <c r="Q98" s="46">
        <f>G98*L98+0.01</f>
        <v>3944916.1481824</v>
      </c>
      <c r="R98" s="46"/>
      <c r="S98" s="46"/>
      <c r="T98" s="46">
        <f>N98+O98+P98+Q98+R98</f>
        <v>13013843.473596159</v>
      </c>
      <c r="U98" s="46">
        <f>12845623.61+86880</f>
        <v>12932503.609999999</v>
      </c>
      <c r="V98" s="46">
        <f>U98</f>
        <v>12932503.609999999</v>
      </c>
    </row>
    <row r="99" spans="1:29" ht="55.2">
      <c r="A99" s="241" t="s">
        <v>248</v>
      </c>
      <c r="B99" s="242" t="s">
        <v>28</v>
      </c>
      <c r="C99" s="127" t="s">
        <v>219</v>
      </c>
      <c r="D99" s="44" t="s">
        <v>20</v>
      </c>
      <c r="E99" s="200">
        <v>136</v>
      </c>
      <c r="F99" s="200">
        <v>136</v>
      </c>
      <c r="G99" s="200">
        <v>132</v>
      </c>
      <c r="H99" s="200">
        <v>132</v>
      </c>
      <c r="I99" s="200">
        <v>132</v>
      </c>
      <c r="J99" s="46" t="s">
        <v>23</v>
      </c>
      <c r="K99" s="46"/>
      <c r="L99" s="46">
        <f>Q99/G99</f>
        <v>7893.6351515151509</v>
      </c>
      <c r="M99" s="46">
        <f t="shared" ref="M99:M118" si="44">J99+K99+L99</f>
        <v>7893.6351515151509</v>
      </c>
      <c r="N99" s="206">
        <f t="shared" ref="N99" si="45">G99*J99</f>
        <v>0</v>
      </c>
      <c r="O99" s="46">
        <f t="shared" ref="O99" si="46">G99*K99</f>
        <v>0</v>
      </c>
      <c r="P99" s="206"/>
      <c r="Q99" s="46">
        <v>1041959.84</v>
      </c>
      <c r="R99" s="46"/>
      <c r="S99" s="46"/>
      <c r="T99" s="46">
        <f t="shared" si="5"/>
        <v>1041959.84</v>
      </c>
      <c r="U99" s="46">
        <f>T99</f>
        <v>1041959.84</v>
      </c>
      <c r="V99" s="46">
        <f>U99</f>
        <v>1041959.84</v>
      </c>
    </row>
    <row r="100" spans="1:29">
      <c r="A100" s="86"/>
      <c r="B100" s="242" t="s">
        <v>28</v>
      </c>
      <c r="C100" s="127" t="s">
        <v>220</v>
      </c>
      <c r="D100" s="44"/>
      <c r="E100" s="200"/>
      <c r="F100" s="200"/>
      <c r="G100" s="200">
        <v>132</v>
      </c>
      <c r="H100" s="200">
        <v>132</v>
      </c>
      <c r="I100" s="200">
        <v>132</v>
      </c>
      <c r="J100" s="46"/>
      <c r="K100" s="46"/>
      <c r="L100" s="46">
        <f>S100/G100</f>
        <v>7914.07196969697</v>
      </c>
      <c r="M100" s="46">
        <f t="shared" si="44"/>
        <v>7914.07196969697</v>
      </c>
      <c r="N100" s="206"/>
      <c r="O100" s="46"/>
      <c r="P100" s="206"/>
      <c r="Q100" s="46"/>
      <c r="R100" s="46"/>
      <c r="S100" s="46">
        <v>1044657.5</v>
      </c>
      <c r="T100" s="46">
        <f>S100</f>
        <v>1044657.5</v>
      </c>
      <c r="U100" s="46">
        <f>S100</f>
        <v>1044657.5</v>
      </c>
      <c r="V100" s="46">
        <f>S100</f>
        <v>1044657.5</v>
      </c>
    </row>
    <row r="101" spans="1:29">
      <c r="A101" s="243" t="s">
        <v>68</v>
      </c>
      <c r="B101" s="94"/>
      <c r="C101" s="94"/>
      <c r="D101" s="257"/>
      <c r="E101" s="222"/>
      <c r="F101" s="222"/>
      <c r="G101" s="222"/>
      <c r="H101" s="222"/>
      <c r="I101" s="222"/>
      <c r="J101" s="201"/>
      <c r="K101" s="201"/>
      <c r="L101" s="201"/>
      <c r="M101" s="46">
        <f t="shared" si="44"/>
        <v>0</v>
      </c>
      <c r="N101" s="201">
        <f>N102+N108</f>
        <v>7691274.9999999991</v>
      </c>
      <c r="O101" s="201">
        <f>O102+O108</f>
        <v>4159099.0041928398</v>
      </c>
      <c r="P101" s="207"/>
      <c r="Q101" s="201">
        <f>Q102+Q108</f>
        <v>7421318.2800057009</v>
      </c>
      <c r="R101" s="201"/>
      <c r="S101" s="201">
        <f>S109</f>
        <v>1054365.1000000001</v>
      </c>
      <c r="T101" s="201">
        <f>T102+T108+T109</f>
        <v>20326057.384198543</v>
      </c>
      <c r="U101" s="201">
        <f>U102+U108+U109</f>
        <v>19803468.380000003</v>
      </c>
      <c r="V101" s="201">
        <f>V102+V108+V109</f>
        <v>19803468.380000003</v>
      </c>
      <c r="W101" s="80">
        <v>4166030.28</v>
      </c>
      <c r="X101" s="85">
        <f>W101-Q101</f>
        <v>-3255288.0000057011</v>
      </c>
      <c r="Y101" s="80">
        <f>X101/I108</f>
        <v>-23419.338129537417</v>
      </c>
      <c r="AA101" s="80">
        <v>7421318.2800000003</v>
      </c>
      <c r="AB101" s="85">
        <f>AA101-Q101</f>
        <v>-5.700625479221344E-6</v>
      </c>
      <c r="AC101" s="80">
        <f>AB101/I108</f>
        <v>-4.1011694095117583E-8</v>
      </c>
    </row>
    <row r="102" spans="1:29" ht="94.95" customHeight="1">
      <c r="A102" s="241" t="s">
        <v>247</v>
      </c>
      <c r="B102" s="84" t="s">
        <v>76</v>
      </c>
      <c r="C102" s="128"/>
      <c r="D102" s="52"/>
      <c r="E102" s="221"/>
      <c r="F102" s="221"/>
      <c r="G102" s="221"/>
      <c r="H102" s="221"/>
      <c r="I102" s="221"/>
      <c r="J102" s="46"/>
      <c r="K102" s="46"/>
      <c r="L102" s="46"/>
      <c r="M102" s="46">
        <f t="shared" si="44"/>
        <v>0</v>
      </c>
      <c r="N102" s="46">
        <f>SUM(N103:N109)</f>
        <v>7691274.9999999991</v>
      </c>
      <c r="O102" s="46">
        <f>SUM(O103:O109)</f>
        <v>4159099.0041928398</v>
      </c>
      <c r="P102" s="206"/>
      <c r="Q102" s="46">
        <f>SUM(Q103:Q105)</f>
        <v>6394779.0500057004</v>
      </c>
      <c r="R102" s="46"/>
      <c r="S102" s="46"/>
      <c r="T102" s="46">
        <f>SUM(T103:T107)</f>
        <v>18245153.054198541</v>
      </c>
      <c r="U102" s="46">
        <f>SUM(U103:U107)-0.02</f>
        <v>17722564.050000001</v>
      </c>
      <c r="V102" s="46">
        <f>SUM(V103:V107)-0.02</f>
        <v>17722564.050000001</v>
      </c>
      <c r="W102" s="85">
        <f>T101-U101</f>
        <v>522589.00419854</v>
      </c>
      <c r="Y102" s="85"/>
      <c r="AA102" s="85">
        <f>18749103.28+U109</f>
        <v>19803468.380000003</v>
      </c>
      <c r="AB102" s="85">
        <f>U101-AA102</f>
        <v>0</v>
      </c>
    </row>
    <row r="103" spans="1:29" ht="49.5" customHeight="1">
      <c r="A103" s="83"/>
      <c r="B103" s="97" t="s">
        <v>272</v>
      </c>
      <c r="C103" s="335" t="s">
        <v>275</v>
      </c>
      <c r="D103" s="265" t="s">
        <v>20</v>
      </c>
      <c r="E103" s="200">
        <v>38</v>
      </c>
      <c r="F103" s="200">
        <v>38</v>
      </c>
      <c r="G103" s="200">
        <v>31</v>
      </c>
      <c r="H103" s="200">
        <v>31</v>
      </c>
      <c r="I103" s="200">
        <v>31</v>
      </c>
      <c r="J103" s="46">
        <f>43138.04+2020.26</f>
        <v>45158.3</v>
      </c>
      <c r="K103" s="46">
        <f>(12142.68*1.802017)+8040.24</f>
        <v>29921.555785559998</v>
      </c>
      <c r="L103" s="46">
        <f>45231.36007+111.5107933+504.4604317+158.2733813</f>
        <v>46005.604676300005</v>
      </c>
      <c r="M103" s="46">
        <f t="shared" si="44"/>
        <v>121085.46046186001</v>
      </c>
      <c r="N103" s="46">
        <f>G103*J103-0.24</f>
        <v>1399907.06</v>
      </c>
      <c r="O103" s="46">
        <f>G103*K103</f>
        <v>927568.22935235989</v>
      </c>
      <c r="P103" s="206"/>
      <c r="Q103" s="46">
        <f>G103*L103</f>
        <v>1426173.7449653002</v>
      </c>
      <c r="R103" s="46"/>
      <c r="S103" s="46"/>
      <c r="T103" s="46">
        <f t="shared" si="5"/>
        <v>3753649.0343176601</v>
      </c>
      <c r="U103" s="46">
        <v>4027037.3</v>
      </c>
      <c r="V103" s="46">
        <f>U103</f>
        <v>4027037.3</v>
      </c>
    </row>
    <row r="104" spans="1:29" ht="54.75" customHeight="1">
      <c r="A104" s="88"/>
      <c r="B104" s="97" t="s">
        <v>270</v>
      </c>
      <c r="C104" s="337"/>
      <c r="D104" s="44" t="s">
        <v>20</v>
      </c>
      <c r="E104" s="200">
        <v>25</v>
      </c>
      <c r="F104" s="200">
        <v>25</v>
      </c>
      <c r="G104" s="200">
        <v>32</v>
      </c>
      <c r="H104" s="200">
        <v>32</v>
      </c>
      <c r="I104" s="200">
        <v>32</v>
      </c>
      <c r="J104" s="46">
        <f>34198.17+2020.26</f>
        <v>36218.43</v>
      </c>
      <c r="K104" s="46">
        <f>(12142.68*1.802017)+8040.24</f>
        <v>29921.555785559998</v>
      </c>
      <c r="L104" s="46">
        <f t="shared" ref="L104:L105" si="47">45231.36007+111.5107933+504.4604317+158.2733813</f>
        <v>46005.604676300005</v>
      </c>
      <c r="M104" s="46">
        <f t="shared" si="44"/>
        <v>112145.59046186</v>
      </c>
      <c r="N104" s="46">
        <f>G104*J104+0.56</f>
        <v>1158990.32</v>
      </c>
      <c r="O104" s="46">
        <f>G104*K104</f>
        <v>957489.78513791994</v>
      </c>
      <c r="P104" s="206"/>
      <c r="Q104" s="46">
        <f t="shared" ref="Q104" si="48">G104*L104</f>
        <v>1472179.3496416002</v>
      </c>
      <c r="R104" s="46"/>
      <c r="S104" s="46"/>
      <c r="T104" s="46">
        <f t="shared" si="5"/>
        <v>3588659.4547795202</v>
      </c>
      <c r="U104" s="46">
        <v>3826302.42</v>
      </c>
      <c r="V104" s="46">
        <f>U104</f>
        <v>3826302.42</v>
      </c>
    </row>
    <row r="105" spans="1:29" ht="133.5" customHeight="1">
      <c r="A105" s="88"/>
      <c r="B105" s="97" t="s">
        <v>270</v>
      </c>
      <c r="C105" s="93" t="s">
        <v>274</v>
      </c>
      <c r="D105" s="265" t="s">
        <v>20</v>
      </c>
      <c r="E105" s="200">
        <v>76</v>
      </c>
      <c r="F105" s="200">
        <v>76</v>
      </c>
      <c r="G105" s="200">
        <v>76</v>
      </c>
      <c r="H105" s="200">
        <v>76</v>
      </c>
      <c r="I105" s="200">
        <v>76</v>
      </c>
      <c r="J105" s="46">
        <f>65511.03+2020.26</f>
        <v>67531.289999999994</v>
      </c>
      <c r="K105" s="46">
        <f>(12142.68*1.802017)+8040.24</f>
        <v>29921.555785559998</v>
      </c>
      <c r="L105" s="46">
        <f t="shared" si="47"/>
        <v>46005.604676300005</v>
      </c>
      <c r="M105" s="46">
        <f t="shared" si="44"/>
        <v>143458.45046185999</v>
      </c>
      <c r="N105" s="46">
        <f>G105*J105-0.28-0.14</f>
        <v>5132377.6199999992</v>
      </c>
      <c r="O105" s="46">
        <f>G105*K105+2.11+0.64</f>
        <v>2274040.98970256</v>
      </c>
      <c r="P105" s="206"/>
      <c r="Q105" s="46">
        <f>G105*L105</f>
        <v>3496425.9553988003</v>
      </c>
      <c r="R105" s="46"/>
      <c r="S105" s="46"/>
      <c r="T105" s="46">
        <f t="shared" si="5"/>
        <v>10902844.565101359</v>
      </c>
      <c r="U105" s="46">
        <f>9899104.35-29880</f>
        <v>9869224.3499999996</v>
      </c>
      <c r="V105" s="46">
        <f>U105</f>
        <v>9869224.3499999996</v>
      </c>
    </row>
    <row r="106" spans="1:29" ht="45.75" hidden="1" customHeight="1">
      <c r="A106" s="88"/>
      <c r="B106" s="128" t="s">
        <v>255</v>
      </c>
      <c r="C106" s="127" t="s">
        <v>226</v>
      </c>
      <c r="D106" s="265"/>
      <c r="E106" s="200"/>
      <c r="F106" s="200"/>
      <c r="G106" s="200"/>
      <c r="H106" s="200"/>
      <c r="I106" s="200"/>
      <c r="J106" s="46"/>
      <c r="K106" s="46"/>
      <c r="L106" s="46"/>
      <c r="M106" s="46">
        <f t="shared" si="44"/>
        <v>0</v>
      </c>
      <c r="N106" s="206"/>
      <c r="O106" s="46"/>
      <c r="P106" s="206"/>
      <c r="Q106" s="46"/>
      <c r="R106" s="46"/>
      <c r="S106" s="46"/>
      <c r="T106" s="46">
        <f>N106</f>
        <v>0</v>
      </c>
      <c r="U106" s="46">
        <f t="shared" ref="U106:V108" si="49">T106</f>
        <v>0</v>
      </c>
      <c r="V106" s="46">
        <f t="shared" si="49"/>
        <v>0</v>
      </c>
    </row>
    <row r="107" spans="1:29" hidden="1">
      <c r="A107" s="88"/>
      <c r="B107" s="128" t="s">
        <v>258</v>
      </c>
      <c r="C107" s="127"/>
      <c r="D107" s="265"/>
      <c r="E107" s="200"/>
      <c r="F107" s="200"/>
      <c r="G107" s="200"/>
      <c r="H107" s="200"/>
      <c r="I107" s="200"/>
      <c r="J107" s="46"/>
      <c r="K107" s="46"/>
      <c r="L107" s="46"/>
      <c r="M107" s="46">
        <f t="shared" si="44"/>
        <v>0</v>
      </c>
      <c r="N107" s="206"/>
      <c r="O107" s="46"/>
      <c r="P107" s="206"/>
      <c r="Q107" s="46"/>
      <c r="R107" s="46"/>
      <c r="S107" s="46"/>
      <c r="T107" s="46">
        <f>O107</f>
        <v>0</v>
      </c>
      <c r="U107" s="46">
        <f>T107</f>
        <v>0</v>
      </c>
      <c r="V107" s="46">
        <f>U107</f>
        <v>0</v>
      </c>
    </row>
    <row r="108" spans="1:29" ht="64.5" customHeight="1">
      <c r="A108" s="241" t="s">
        <v>248</v>
      </c>
      <c r="B108" s="242" t="s">
        <v>28</v>
      </c>
      <c r="C108" s="127" t="s">
        <v>219</v>
      </c>
      <c r="D108" s="44" t="s">
        <v>20</v>
      </c>
      <c r="E108" s="200">
        <f>E105+E104+E103</f>
        <v>139</v>
      </c>
      <c r="F108" s="200">
        <f>F105+F104+F103</f>
        <v>139</v>
      </c>
      <c r="G108" s="200">
        <v>139</v>
      </c>
      <c r="H108" s="200">
        <v>139</v>
      </c>
      <c r="I108" s="200">
        <v>139</v>
      </c>
      <c r="J108" s="46" t="s">
        <v>23</v>
      </c>
      <c r="K108" s="46"/>
      <c r="L108" s="46">
        <f>Q108/G108</f>
        <v>7385.1743165467624</v>
      </c>
      <c r="M108" s="46">
        <f t="shared" si="44"/>
        <v>7385.1743165467624</v>
      </c>
      <c r="N108" s="206">
        <f t="shared" ref="N108" si="50">G108*J108</f>
        <v>0</v>
      </c>
      <c r="O108" s="46">
        <f t="shared" ref="O108" si="51">G108*K108</f>
        <v>0</v>
      </c>
      <c r="P108" s="206"/>
      <c r="Q108" s="46">
        <v>1026539.23</v>
      </c>
      <c r="R108" s="46"/>
      <c r="S108" s="46"/>
      <c r="T108" s="46">
        <f t="shared" si="5"/>
        <v>1026539.23</v>
      </c>
      <c r="U108" s="46">
        <f t="shared" si="49"/>
        <v>1026539.23</v>
      </c>
      <c r="V108" s="46">
        <f t="shared" si="49"/>
        <v>1026539.23</v>
      </c>
    </row>
    <row r="109" spans="1:29" ht="14.25" customHeight="1">
      <c r="A109" s="86"/>
      <c r="B109" s="242" t="s">
        <v>28</v>
      </c>
      <c r="C109" s="127" t="s">
        <v>220</v>
      </c>
      <c r="D109" s="44"/>
      <c r="E109" s="200"/>
      <c r="F109" s="200"/>
      <c r="G109" s="200">
        <v>137</v>
      </c>
      <c r="H109" s="200">
        <v>137</v>
      </c>
      <c r="I109" s="200">
        <v>137</v>
      </c>
      <c r="J109" s="46"/>
      <c r="K109" s="46"/>
      <c r="L109" s="46">
        <f>S109/G109</f>
        <v>7696.0956204379572</v>
      </c>
      <c r="M109" s="46">
        <f t="shared" si="44"/>
        <v>7696.0956204379572</v>
      </c>
      <c r="N109" s="206"/>
      <c r="O109" s="46"/>
      <c r="P109" s="206"/>
      <c r="Q109" s="46"/>
      <c r="R109" s="46"/>
      <c r="S109" s="46">
        <v>1054365.1000000001</v>
      </c>
      <c r="T109" s="46">
        <f>S109</f>
        <v>1054365.1000000001</v>
      </c>
      <c r="U109" s="46">
        <f>S109</f>
        <v>1054365.1000000001</v>
      </c>
      <c r="V109" s="46">
        <f>S109</f>
        <v>1054365.1000000001</v>
      </c>
    </row>
    <row r="110" spans="1:29" s="96" customFormat="1">
      <c r="A110" s="243" t="s">
        <v>71</v>
      </c>
      <c r="B110" s="94"/>
      <c r="C110" s="94"/>
      <c r="D110" s="257"/>
      <c r="E110" s="222"/>
      <c r="F110" s="222"/>
      <c r="G110" s="222"/>
      <c r="H110" s="222"/>
      <c r="I110" s="222"/>
      <c r="J110" s="201"/>
      <c r="K110" s="201"/>
      <c r="L110" s="201"/>
      <c r="M110" s="46">
        <f t="shared" si="44"/>
        <v>0</v>
      </c>
      <c r="N110" s="201">
        <f>N111+N117</f>
        <v>15775461.000000002</v>
      </c>
      <c r="O110" s="201">
        <f>O111+O117</f>
        <v>6889938.0016766395</v>
      </c>
      <c r="P110" s="201"/>
      <c r="Q110" s="201">
        <f>Q111+Q117+Q114</f>
        <v>12524345.000080002</v>
      </c>
      <c r="R110" s="201"/>
      <c r="S110" s="201">
        <f>S118</f>
        <v>2045003.86</v>
      </c>
      <c r="T110" s="201">
        <f>T111+T117+T118</f>
        <v>37234747.861756645</v>
      </c>
      <c r="U110" s="201">
        <f>U111+U117+U118</f>
        <v>35956276.859999999</v>
      </c>
      <c r="V110" s="201">
        <f>V111+V117+V118</f>
        <v>35956276.859999999</v>
      </c>
      <c r="W110" s="96">
        <v>7356775</v>
      </c>
      <c r="X110" s="190">
        <f>W110-Q110</f>
        <v>-5167570.0000800025</v>
      </c>
      <c r="Y110" s="96">
        <f>X110/I117</f>
        <v>-21178.565574098371</v>
      </c>
      <c r="AA110" s="96">
        <v>12524345</v>
      </c>
      <c r="AB110" s="190">
        <f>AA110-Q110</f>
        <v>-8.0002471804618835E-5</v>
      </c>
      <c r="AC110" s="96">
        <f>AB110/I117</f>
        <v>-3.278789828058149E-7</v>
      </c>
    </row>
    <row r="111" spans="1:29" ht="85.5" customHeight="1">
      <c r="A111" s="241" t="s">
        <v>247</v>
      </c>
      <c r="B111" s="84" t="s">
        <v>76</v>
      </c>
      <c r="C111" s="128"/>
      <c r="D111" s="52"/>
      <c r="E111" s="221"/>
      <c r="F111" s="221"/>
      <c r="G111" s="221"/>
      <c r="H111" s="221"/>
      <c r="I111" s="221"/>
      <c r="J111" s="46"/>
      <c r="K111" s="46"/>
      <c r="L111" s="46"/>
      <c r="M111" s="46">
        <f t="shared" si="44"/>
        <v>0</v>
      </c>
      <c r="N111" s="46">
        <f>SUM(N112:N118)</f>
        <v>15775461.000000002</v>
      </c>
      <c r="O111" s="46">
        <f>SUM(O112:O118)+0.01</f>
        <v>6889938.0016766395</v>
      </c>
      <c r="P111" s="46"/>
      <c r="Q111" s="46">
        <f>SUM(Q112:Q113)</f>
        <v>10675947.530080002</v>
      </c>
      <c r="R111" s="46"/>
      <c r="S111" s="46"/>
      <c r="T111" s="46">
        <f>SUM(T112:T116)+0.01</f>
        <v>33341346.531756647</v>
      </c>
      <c r="U111" s="46">
        <f t="shared" ref="U111:V111" si="52">SUM(U112:U116)</f>
        <v>32062875.629999999</v>
      </c>
      <c r="V111" s="46">
        <f t="shared" si="52"/>
        <v>32062875.629999999</v>
      </c>
      <c r="W111" s="85">
        <f>T110-U110</f>
        <v>1278471.0017566457</v>
      </c>
      <c r="AA111" s="85">
        <f>33911273+U118</f>
        <v>35956276.859999999</v>
      </c>
      <c r="AB111" s="85">
        <f>U110-AA111</f>
        <v>0</v>
      </c>
    </row>
    <row r="112" spans="1:29" ht="96.6">
      <c r="A112" s="83"/>
      <c r="B112" s="97" t="s">
        <v>272</v>
      </c>
      <c r="C112" s="93" t="s">
        <v>279</v>
      </c>
      <c r="D112" s="265" t="s">
        <v>20</v>
      </c>
      <c r="E112" s="200">
        <v>42</v>
      </c>
      <c r="F112" s="200">
        <v>42</v>
      </c>
      <c r="G112" s="200">
        <v>32</v>
      </c>
      <c r="H112" s="200">
        <v>32</v>
      </c>
      <c r="I112" s="200">
        <v>32</v>
      </c>
      <c r="J112" s="46">
        <f>43138.04+2076.66</f>
        <v>45214.7</v>
      </c>
      <c r="K112" s="46">
        <f>(12142.68*1.802017)+6356.14</f>
        <v>28237.45578556</v>
      </c>
      <c r="L112" s="46">
        <v>43753.883320000001</v>
      </c>
      <c r="M112" s="46">
        <f t="shared" si="44"/>
        <v>117206.03910555999</v>
      </c>
      <c r="N112" s="46">
        <f>G112*J112-0.28</f>
        <v>1446870.1199999999</v>
      </c>
      <c r="O112" s="46">
        <f>G112*K112-0.11</f>
        <v>903598.47513792</v>
      </c>
      <c r="P112" s="206"/>
      <c r="Q112" s="46">
        <f>G112*L112</f>
        <v>1400124.26624</v>
      </c>
      <c r="R112" s="46"/>
      <c r="S112" s="46"/>
      <c r="T112" s="46">
        <f t="shared" ref="T112:T117" si="53">SUM(N112:Q112)</f>
        <v>3750592.86137792</v>
      </c>
      <c r="U112" s="46">
        <v>2696405.65</v>
      </c>
      <c r="V112" s="46">
        <f>U112</f>
        <v>2696405.65</v>
      </c>
    </row>
    <row r="113" spans="1:25" ht="138.75" customHeight="1">
      <c r="A113" s="88"/>
      <c r="B113" s="97" t="s">
        <v>270</v>
      </c>
      <c r="C113" s="93" t="s">
        <v>281</v>
      </c>
      <c r="D113" s="265" t="s">
        <v>20</v>
      </c>
      <c r="E113" s="200">
        <v>203</v>
      </c>
      <c r="F113" s="200">
        <v>203</v>
      </c>
      <c r="G113" s="200">
        <v>212</v>
      </c>
      <c r="H113" s="200">
        <v>212</v>
      </c>
      <c r="I113" s="200">
        <v>212</v>
      </c>
      <c r="J113" s="220">
        <f>65511.03+2076.66</f>
        <v>67587.69</v>
      </c>
      <c r="K113" s="46">
        <f>(12142.68*1.802017)+6356.14</f>
        <v>28237.45578556</v>
      </c>
      <c r="L113" s="46">
        <v>43753.883320000001</v>
      </c>
      <c r="M113" s="46">
        <f t="shared" si="44"/>
        <v>139579.02910556001</v>
      </c>
      <c r="N113" s="46">
        <f>G113*J113+0.64-0.04-6+6</f>
        <v>14328590.880000003</v>
      </c>
      <c r="O113" s="46">
        <f>G113*K113+0.05-1.16</f>
        <v>5986339.5165387196</v>
      </c>
      <c r="P113" s="206"/>
      <c r="Q113" s="46">
        <f>G113*L113</f>
        <v>9275823.2638400011</v>
      </c>
      <c r="R113" s="46"/>
      <c r="S113" s="46"/>
      <c r="T113" s="46">
        <f t="shared" si="53"/>
        <v>29590753.660378724</v>
      </c>
      <c r="U113" s="46">
        <f>29366469.98</f>
        <v>29366469.98</v>
      </c>
      <c r="V113" s="46">
        <f>U113</f>
        <v>29366469.98</v>
      </c>
    </row>
    <row r="114" spans="1:25" s="192" customFormat="1" hidden="1">
      <c r="A114" s="49"/>
      <c r="B114" s="203" t="s">
        <v>260</v>
      </c>
      <c r="C114" s="199" t="s">
        <v>219</v>
      </c>
      <c r="D114" s="265"/>
      <c r="E114" s="200"/>
      <c r="F114" s="200"/>
      <c r="G114" s="200"/>
      <c r="H114" s="200"/>
      <c r="I114" s="200"/>
      <c r="J114" s="46"/>
      <c r="K114" s="46"/>
      <c r="L114" s="46"/>
      <c r="M114" s="46">
        <f t="shared" si="44"/>
        <v>0</v>
      </c>
      <c r="N114" s="206"/>
      <c r="O114" s="46"/>
      <c r="P114" s="206"/>
      <c r="Q114" s="46"/>
      <c r="R114" s="46"/>
      <c r="S114" s="46"/>
      <c r="T114" s="46">
        <f>Q114</f>
        <v>0</v>
      </c>
      <c r="U114" s="46">
        <f t="shared" ref="U114:V114" si="54">T114</f>
        <v>0</v>
      </c>
      <c r="V114" s="46">
        <f t="shared" si="54"/>
        <v>0</v>
      </c>
    </row>
    <row r="115" spans="1:25" ht="43.5" hidden="1" customHeight="1">
      <c r="A115" s="88"/>
      <c r="B115" s="128" t="s">
        <v>255</v>
      </c>
      <c r="C115" s="127" t="s">
        <v>226</v>
      </c>
      <c r="D115" s="265"/>
      <c r="E115" s="200"/>
      <c r="F115" s="200"/>
      <c r="G115" s="200"/>
      <c r="H115" s="200"/>
      <c r="I115" s="200"/>
      <c r="J115" s="46"/>
      <c r="K115" s="46"/>
      <c r="L115" s="46"/>
      <c r="M115" s="46">
        <f t="shared" si="44"/>
        <v>0</v>
      </c>
      <c r="N115" s="206"/>
      <c r="O115" s="46"/>
      <c r="P115" s="206"/>
      <c r="Q115" s="46"/>
      <c r="R115" s="46"/>
      <c r="S115" s="46"/>
      <c r="T115" s="46">
        <f>N115</f>
        <v>0</v>
      </c>
      <c r="U115" s="46">
        <f>T115</f>
        <v>0</v>
      </c>
      <c r="V115" s="46">
        <f>U115</f>
        <v>0</v>
      </c>
    </row>
    <row r="116" spans="1:25" ht="18.75" hidden="1" customHeight="1">
      <c r="A116" s="88"/>
      <c r="B116" s="128" t="s">
        <v>258</v>
      </c>
      <c r="C116" s="127"/>
      <c r="D116" s="265"/>
      <c r="E116" s="200"/>
      <c r="F116" s="200"/>
      <c r="G116" s="200"/>
      <c r="H116" s="200"/>
      <c r="I116" s="200"/>
      <c r="J116" s="46"/>
      <c r="K116" s="46"/>
      <c r="L116" s="46"/>
      <c r="M116" s="46">
        <f t="shared" si="44"/>
        <v>0</v>
      </c>
      <c r="N116" s="206"/>
      <c r="O116" s="46"/>
      <c r="P116" s="206"/>
      <c r="Q116" s="46"/>
      <c r="R116" s="46"/>
      <c r="S116" s="46"/>
      <c r="T116" s="46">
        <f>O116</f>
        <v>0</v>
      </c>
      <c r="U116" s="46">
        <f>T116</f>
        <v>0</v>
      </c>
      <c r="V116" s="46">
        <f>U116</f>
        <v>0</v>
      </c>
    </row>
    <row r="117" spans="1:25" ht="62.25" customHeight="1">
      <c r="A117" s="241" t="s">
        <v>248</v>
      </c>
      <c r="B117" s="242" t="s">
        <v>28</v>
      </c>
      <c r="C117" s="127" t="s">
        <v>219</v>
      </c>
      <c r="D117" s="44" t="s">
        <v>20</v>
      </c>
      <c r="E117" s="200">
        <v>245</v>
      </c>
      <c r="F117" s="200">
        <v>245</v>
      </c>
      <c r="G117" s="200">
        <v>244</v>
      </c>
      <c r="H117" s="200">
        <v>244</v>
      </c>
      <c r="I117" s="200">
        <v>244</v>
      </c>
      <c r="J117" s="46" t="s">
        <v>23</v>
      </c>
      <c r="K117" s="46"/>
      <c r="L117" s="46">
        <f>Q117/G117</f>
        <v>7575.3994672131148</v>
      </c>
      <c r="M117" s="46">
        <f t="shared" si="44"/>
        <v>7575.3994672131148</v>
      </c>
      <c r="N117" s="206"/>
      <c r="O117" s="46">
        <f t="shared" ref="O117" si="55">G117*K117</f>
        <v>0</v>
      </c>
      <c r="P117" s="206"/>
      <c r="Q117" s="46">
        <v>1848397.47</v>
      </c>
      <c r="R117" s="46"/>
      <c r="S117" s="46"/>
      <c r="T117" s="46">
        <f t="shared" si="53"/>
        <v>1848397.47</v>
      </c>
      <c r="U117" s="46">
        <f>H117*M117-0.1</f>
        <v>1848397.3699999999</v>
      </c>
      <c r="V117" s="46">
        <f>U117</f>
        <v>1848397.3699999999</v>
      </c>
    </row>
    <row r="118" spans="1:25">
      <c r="A118" s="86"/>
      <c r="B118" s="242" t="s">
        <v>28</v>
      </c>
      <c r="C118" s="127" t="s">
        <v>220</v>
      </c>
      <c r="D118" s="44"/>
      <c r="E118" s="200"/>
      <c r="F118" s="200"/>
      <c r="G118" s="200">
        <v>237</v>
      </c>
      <c r="H118" s="200">
        <v>237</v>
      </c>
      <c r="I118" s="200">
        <v>237</v>
      </c>
      <c r="J118" s="46"/>
      <c r="K118" s="46"/>
      <c r="L118" s="46">
        <f>S118/G118</f>
        <v>8628.7082700421943</v>
      </c>
      <c r="M118" s="46">
        <f t="shared" si="44"/>
        <v>8628.7082700421943</v>
      </c>
      <c r="N118" s="206"/>
      <c r="O118" s="46"/>
      <c r="P118" s="206"/>
      <c r="Q118" s="46"/>
      <c r="R118" s="46"/>
      <c r="S118" s="46">
        <v>2045003.86</v>
      </c>
      <c r="T118" s="46">
        <f>S118</f>
        <v>2045003.86</v>
      </c>
      <c r="U118" s="46">
        <f>S118</f>
        <v>2045003.86</v>
      </c>
      <c r="V118" s="46">
        <f>S118</f>
        <v>2045003.86</v>
      </c>
    </row>
    <row r="119" spans="1:25">
      <c r="A119" s="328" t="s">
        <v>232</v>
      </c>
      <c r="B119" s="329"/>
      <c r="C119" s="329"/>
      <c r="D119" s="329"/>
      <c r="E119" s="329"/>
      <c r="F119" s="329"/>
      <c r="G119" s="329"/>
      <c r="H119" s="329"/>
      <c r="I119" s="329"/>
      <c r="J119" s="329"/>
      <c r="K119" s="329"/>
      <c r="L119" s="329"/>
      <c r="M119" s="330"/>
      <c r="N119" s="223">
        <f>N14+N25+N36+N47+N58+N67+N78+N87+N95+N101+N110</f>
        <v>108137544</v>
      </c>
      <c r="O119" s="223">
        <f>O14+O25+O36+O47+O58+O67+O78+O87+O95+O101+O110</f>
        <v>51088420.002659962</v>
      </c>
      <c r="P119" s="223">
        <f t="shared" ref="P119:R119" si="56">P14+P25+P36+P47+P58+P67+P78+P87+P95+P101+P110+1</f>
        <v>1</v>
      </c>
      <c r="Q119" s="223">
        <f>Q14+Q25+Q36+Q47+Q58+Q67+Q78+Q87+Q95+Q101+Q110</f>
        <v>92019473.280067489</v>
      </c>
      <c r="R119" s="223">
        <f t="shared" si="56"/>
        <v>1</v>
      </c>
      <c r="S119" s="223">
        <f>S14+S25+S36+S47+S58+S67+S78+S87+S95+S101+S110</f>
        <v>14510556.84</v>
      </c>
      <c r="T119" s="223">
        <f>T14+T25+T36+T47+T58+T67+T78+T87+T95+T101+T110</f>
        <v>265755994.12272745</v>
      </c>
      <c r="U119" s="223">
        <f>U14+U25+U36+U47+U58+U67+U78+U87+U95+U101+U110</f>
        <v>258911256.91699392</v>
      </c>
      <c r="V119" s="223">
        <f>V14+V25+V36+V47+V58+V67+V78+V87+V95+V101+V110</f>
        <v>258911256.91699392</v>
      </c>
      <c r="W119" s="85">
        <f>T119-U119</f>
        <v>6844737.2057335377</v>
      </c>
    </row>
    <row r="120" spans="1:25">
      <c r="A120" s="80" t="s">
        <v>290</v>
      </c>
      <c r="C120" s="184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198"/>
      <c r="O120" s="198"/>
      <c r="P120" s="198"/>
      <c r="Q120" s="198"/>
      <c r="R120" s="198"/>
      <c r="S120" s="198"/>
      <c r="T120" s="198"/>
      <c r="U120" s="202"/>
      <c r="V120" s="198"/>
    </row>
    <row r="121" spans="1:25">
      <c r="A121" s="80" t="s">
        <v>178</v>
      </c>
      <c r="N121" s="228"/>
      <c r="P121" s="196"/>
      <c r="Q121" s="196"/>
      <c r="U121" s="196"/>
      <c r="V121" s="198"/>
    </row>
    <row r="122" spans="1:25">
      <c r="N122" s="202"/>
      <c r="Q122" s="196"/>
      <c r="S122" s="196"/>
      <c r="T122" s="196"/>
      <c r="U122" s="196"/>
    </row>
    <row r="123" spans="1:25">
      <c r="N123" s="196"/>
      <c r="S123" s="196"/>
      <c r="T123" s="196"/>
      <c r="U123" s="196"/>
      <c r="V123" s="196"/>
    </row>
    <row r="124" spans="1:25">
      <c r="N124" s="196"/>
      <c r="O124" s="196"/>
      <c r="Q124" s="196"/>
      <c r="R124" s="196"/>
      <c r="S124" s="196"/>
      <c r="U124" s="196"/>
      <c r="V124" s="196"/>
    </row>
    <row r="125" spans="1:25">
      <c r="O125" s="196"/>
      <c r="Q125" s="196"/>
      <c r="T125" s="196"/>
    </row>
    <row r="126" spans="1:25">
      <c r="Q126" s="196"/>
      <c r="U126" s="196"/>
    </row>
    <row r="127" spans="1:25" s="192" customFormat="1" hidden="1">
      <c r="A127" s="80"/>
      <c r="B127" s="80"/>
      <c r="C127" s="80"/>
      <c r="Q127" s="196"/>
      <c r="W127" s="80"/>
      <c r="X127" s="80"/>
      <c r="Y127" s="80"/>
    </row>
    <row r="128" spans="1:25" hidden="1"/>
    <row r="129" spans="1:26" hidden="1"/>
    <row r="130" spans="1:26" ht="179.4" hidden="1">
      <c r="B130" s="180"/>
      <c r="C130" s="242" t="s">
        <v>272</v>
      </c>
      <c r="D130" s="264" t="s">
        <v>270</v>
      </c>
      <c r="E130" s="270" t="s">
        <v>269</v>
      </c>
      <c r="F130" s="271"/>
      <c r="G130" s="270" t="s">
        <v>269</v>
      </c>
      <c r="H130" s="264" t="s">
        <v>270</v>
      </c>
      <c r="I130" s="264" t="s">
        <v>271</v>
      </c>
      <c r="J130" s="265" t="s">
        <v>338</v>
      </c>
      <c r="K130" s="265" t="s">
        <v>303</v>
      </c>
      <c r="L130" s="264" t="s">
        <v>181</v>
      </c>
      <c r="M130" s="286" t="s">
        <v>181</v>
      </c>
      <c r="N130" s="287"/>
      <c r="O130" s="247"/>
      <c r="P130" s="247"/>
      <c r="Q130" s="44"/>
      <c r="R130" s="247"/>
      <c r="S130" s="247"/>
      <c r="T130" s="247"/>
      <c r="U130" s="202"/>
      <c r="V130" s="202"/>
      <c r="W130" s="184"/>
      <c r="X130" s="184"/>
      <c r="Y130" s="184"/>
      <c r="Z130" s="184"/>
    </row>
    <row r="131" spans="1:26" hidden="1">
      <c r="A131" s="246">
        <v>4</v>
      </c>
      <c r="B131" s="250" t="s">
        <v>339</v>
      </c>
      <c r="C131" s="317" t="s">
        <v>333</v>
      </c>
      <c r="D131" s="318"/>
      <c r="E131" s="318"/>
      <c r="F131" s="318"/>
      <c r="G131" s="319"/>
      <c r="H131" s="265" t="s">
        <v>335</v>
      </c>
      <c r="I131" s="265" t="s">
        <v>336</v>
      </c>
      <c r="J131" s="331" t="s">
        <v>337</v>
      </c>
      <c r="K131" s="332"/>
      <c r="L131" s="265" t="s">
        <v>340</v>
      </c>
      <c r="M131" s="287" t="s">
        <v>341</v>
      </c>
      <c r="N131" s="256"/>
      <c r="O131" s="254"/>
      <c r="P131" s="254"/>
      <c r="Q131" s="254"/>
      <c r="R131" s="254"/>
      <c r="S131" s="255"/>
      <c r="T131" s="287"/>
      <c r="U131" s="252"/>
      <c r="V131" s="252"/>
      <c r="W131" s="184"/>
      <c r="X131" s="184"/>
      <c r="Y131" s="184"/>
      <c r="Z131" s="184"/>
    </row>
    <row r="132" spans="1:26" hidden="1">
      <c r="A132" s="246"/>
      <c r="B132" s="181" t="s">
        <v>334</v>
      </c>
      <c r="C132" s="86">
        <v>19</v>
      </c>
      <c r="D132" s="42">
        <v>60</v>
      </c>
      <c r="E132" s="42"/>
      <c r="F132" s="44"/>
      <c r="G132" s="42">
        <v>22</v>
      </c>
      <c r="H132" s="262">
        <v>17</v>
      </c>
      <c r="I132" s="262"/>
      <c r="J132" s="265"/>
      <c r="K132" s="261"/>
      <c r="L132" s="247"/>
      <c r="M132" s="247"/>
      <c r="N132" s="247"/>
      <c r="O132" s="247"/>
      <c r="P132" s="247"/>
      <c r="Q132" s="247"/>
      <c r="R132" s="251"/>
      <c r="S132" s="247"/>
      <c r="T132" s="247"/>
      <c r="U132" s="202"/>
      <c r="V132" s="202"/>
      <c r="W132" s="184"/>
      <c r="X132" s="184"/>
      <c r="Y132" s="184"/>
      <c r="Z132" s="184"/>
    </row>
    <row r="133" spans="1:26" hidden="1">
      <c r="A133" s="246"/>
      <c r="B133" s="199" t="s">
        <v>225</v>
      </c>
      <c r="C133" s="180"/>
      <c r="D133" s="247"/>
      <c r="E133" s="247"/>
      <c r="F133" s="247"/>
      <c r="G133" s="247"/>
      <c r="H133" s="248"/>
      <c r="I133" s="248"/>
      <c r="J133" s="248"/>
      <c r="K133" s="247"/>
      <c r="L133" s="247"/>
      <c r="M133" s="247"/>
      <c r="N133" s="251"/>
      <c r="O133" s="251"/>
      <c r="P133" s="247"/>
      <c r="Q133" s="251"/>
      <c r="R133" s="247"/>
      <c r="S133" s="251"/>
      <c r="T133" s="251"/>
      <c r="U133" s="202"/>
      <c r="V133" s="272"/>
      <c r="W133" s="184"/>
      <c r="X133" s="184"/>
      <c r="Y133" s="184"/>
      <c r="Z133" s="184"/>
    </row>
    <row r="134" spans="1:26" hidden="1">
      <c r="B134" s="199" t="s">
        <v>225</v>
      </c>
      <c r="C134" s="180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51"/>
      <c r="O134" s="251"/>
      <c r="P134" s="247"/>
      <c r="Q134" s="247"/>
      <c r="R134" s="247"/>
      <c r="S134" s="251"/>
      <c r="T134" s="251"/>
      <c r="U134" s="202"/>
      <c r="V134" s="202"/>
      <c r="W134" s="184"/>
      <c r="X134" s="184"/>
      <c r="Y134" s="184"/>
      <c r="Z134" s="184"/>
    </row>
    <row r="135" spans="1:26" ht="27.6" hidden="1">
      <c r="B135" s="241" t="s">
        <v>291</v>
      </c>
      <c r="C135" s="180"/>
      <c r="D135" s="247"/>
      <c r="E135" s="247"/>
      <c r="F135" s="247"/>
      <c r="G135" s="247"/>
      <c r="H135" s="247"/>
      <c r="I135" s="247"/>
      <c r="J135" s="247"/>
      <c r="K135" s="247"/>
      <c r="L135" s="247"/>
      <c r="M135" s="247"/>
      <c r="N135" s="251"/>
      <c r="O135" s="247"/>
      <c r="P135" s="247"/>
      <c r="Q135" s="247"/>
      <c r="R135" s="247"/>
      <c r="S135" s="247"/>
      <c r="T135" s="247"/>
      <c r="U135" s="202"/>
      <c r="V135" s="202"/>
      <c r="W135" s="184"/>
      <c r="X135" s="184"/>
      <c r="Y135" s="184"/>
      <c r="Z135" s="184"/>
    </row>
    <row r="136" spans="1:26" ht="55.2" hidden="1">
      <c r="B136" s="240" t="s">
        <v>305</v>
      </c>
      <c r="C136" s="180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73"/>
      <c r="O136" s="247"/>
      <c r="P136" s="273"/>
      <c r="Q136" s="247"/>
      <c r="R136" s="247"/>
      <c r="S136" s="247"/>
      <c r="T136" s="247"/>
      <c r="U136" s="202"/>
      <c r="V136" s="202"/>
      <c r="W136" s="184"/>
      <c r="X136" s="184"/>
      <c r="Y136" s="184"/>
      <c r="Z136" s="184"/>
    </row>
    <row r="137" spans="1:26" ht="41.4" hidden="1">
      <c r="B137" s="240" t="s">
        <v>306</v>
      </c>
      <c r="C137" s="180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51"/>
      <c r="O137" s="247"/>
      <c r="P137" s="247"/>
      <c r="Q137" s="247"/>
      <c r="R137" s="247"/>
      <c r="S137" s="251"/>
      <c r="T137" s="251"/>
      <c r="U137" s="202"/>
      <c r="V137" s="202"/>
      <c r="W137" s="184"/>
      <c r="X137" s="184"/>
      <c r="Y137" s="184"/>
      <c r="Z137" s="184"/>
    </row>
    <row r="138" spans="1:26" hidden="1">
      <c r="B138" s="253" t="s">
        <v>343</v>
      </c>
      <c r="C138" s="180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51"/>
      <c r="O138" s="251"/>
      <c r="P138" s="251"/>
      <c r="Q138" s="251"/>
      <c r="R138" s="251"/>
      <c r="S138" s="251"/>
      <c r="T138" s="247"/>
      <c r="U138" s="202"/>
      <c r="V138" s="202"/>
      <c r="W138" s="184"/>
      <c r="X138" s="184"/>
      <c r="Y138" s="184"/>
      <c r="Z138" s="184"/>
    </row>
    <row r="139" spans="1:26" hidden="1">
      <c r="B139" s="249"/>
      <c r="C139" s="184"/>
      <c r="D139" s="202"/>
      <c r="E139" s="202"/>
      <c r="F139" s="202"/>
      <c r="G139" s="202"/>
      <c r="H139" s="202"/>
      <c r="I139" s="202"/>
      <c r="J139" s="202"/>
      <c r="K139" s="202"/>
      <c r="L139" s="202"/>
      <c r="M139" s="202"/>
      <c r="N139" s="198"/>
      <c r="O139" s="202"/>
      <c r="P139" s="202"/>
      <c r="Q139" s="202"/>
      <c r="R139" s="202"/>
    </row>
    <row r="140" spans="1:26" hidden="1">
      <c r="B140" s="249"/>
      <c r="C140" s="184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  <c r="N140" s="198"/>
      <c r="O140" s="202"/>
      <c r="P140" s="202"/>
      <c r="Q140" s="202"/>
      <c r="R140" s="202"/>
    </row>
    <row r="141" spans="1:26" hidden="1">
      <c r="B141" s="250" t="s">
        <v>339</v>
      </c>
      <c r="C141" s="317" t="s">
        <v>333</v>
      </c>
      <c r="D141" s="318"/>
      <c r="E141" s="318"/>
      <c r="F141" s="318"/>
      <c r="G141" s="319"/>
      <c r="H141" s="265" t="s">
        <v>335</v>
      </c>
      <c r="I141" s="265" t="s">
        <v>336</v>
      </c>
      <c r="J141" s="331" t="s">
        <v>337</v>
      </c>
      <c r="K141" s="332"/>
      <c r="L141" s="265" t="s">
        <v>340</v>
      </c>
      <c r="M141" s="287" t="s">
        <v>341</v>
      </c>
      <c r="N141" s="287"/>
      <c r="O141" s="287"/>
      <c r="P141" s="287"/>
      <c r="Q141" s="287"/>
      <c r="R141" s="287"/>
      <c r="S141" s="255"/>
      <c r="T141" s="287"/>
    </row>
    <row r="142" spans="1:26" hidden="1">
      <c r="A142" s="246">
        <v>5</v>
      </c>
      <c r="B142" s="181" t="s">
        <v>334</v>
      </c>
      <c r="C142" s="86"/>
      <c r="D142" s="42"/>
      <c r="E142" s="42"/>
      <c r="F142" s="44"/>
      <c r="G142" s="42"/>
      <c r="H142" s="44"/>
      <c r="I142" s="44">
        <v>32</v>
      </c>
      <c r="J142" s="265"/>
      <c r="K142" s="261"/>
      <c r="L142" s="247"/>
      <c r="M142" s="247"/>
      <c r="N142" s="247"/>
      <c r="O142" s="247"/>
      <c r="P142" s="247"/>
      <c r="Q142" s="247"/>
      <c r="R142" s="251"/>
      <c r="S142" s="247"/>
      <c r="T142" s="247"/>
    </row>
    <row r="143" spans="1:26" hidden="1">
      <c r="B143" s="199" t="s">
        <v>225</v>
      </c>
      <c r="C143" s="180"/>
      <c r="D143" s="247"/>
      <c r="E143" s="247"/>
      <c r="F143" s="247"/>
      <c r="G143" s="247"/>
      <c r="H143" s="248"/>
      <c r="I143" s="248"/>
      <c r="J143" s="248"/>
      <c r="K143" s="247"/>
      <c r="L143" s="247"/>
      <c r="M143" s="247"/>
      <c r="N143" s="251"/>
      <c r="O143" s="251"/>
      <c r="P143" s="247"/>
      <c r="Q143" s="251"/>
      <c r="R143" s="251"/>
      <c r="S143" s="251"/>
      <c r="T143" s="251"/>
    </row>
    <row r="144" spans="1:26" hidden="1">
      <c r="B144" s="199" t="s">
        <v>225</v>
      </c>
      <c r="C144" s="180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51"/>
      <c r="O144" s="251"/>
      <c r="P144" s="247"/>
      <c r="Q144" s="247"/>
      <c r="R144" s="247"/>
      <c r="S144" s="251"/>
      <c r="T144" s="251"/>
    </row>
    <row r="145" spans="1:20" ht="27.6" hidden="1">
      <c r="B145" s="241" t="s">
        <v>291</v>
      </c>
      <c r="C145" s="180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51"/>
      <c r="O145" s="247"/>
      <c r="P145" s="247"/>
      <c r="Q145" s="247"/>
      <c r="R145" s="247"/>
      <c r="S145" s="247"/>
      <c r="T145" s="247"/>
    </row>
    <row r="146" spans="1:20" hidden="1">
      <c r="B146" s="253" t="s">
        <v>343</v>
      </c>
      <c r="C146" s="180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51"/>
      <c r="O146" s="251"/>
      <c r="P146" s="251"/>
      <c r="Q146" s="251"/>
      <c r="R146" s="251"/>
      <c r="S146" s="251"/>
      <c r="T146" s="247"/>
    </row>
    <row r="147" spans="1:20" hidden="1">
      <c r="A147" s="184"/>
      <c r="B147" s="184"/>
      <c r="C147" s="184"/>
      <c r="D147" s="202"/>
      <c r="E147" s="202"/>
      <c r="F147" s="202"/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198"/>
      <c r="T147" s="198"/>
    </row>
    <row r="148" spans="1:20" hidden="1">
      <c r="A148" s="184"/>
      <c r="B148" s="184"/>
      <c r="C148" s="184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198"/>
      <c r="T148" s="202"/>
    </row>
    <row r="149" spans="1:20" hidden="1">
      <c r="A149" s="246">
        <v>7</v>
      </c>
      <c r="B149" s="250" t="s">
        <v>339</v>
      </c>
      <c r="C149" s="317" t="s">
        <v>333</v>
      </c>
      <c r="D149" s="318"/>
      <c r="E149" s="318"/>
      <c r="F149" s="318"/>
      <c r="G149" s="319"/>
      <c r="H149" s="265" t="s">
        <v>335</v>
      </c>
      <c r="I149" s="265" t="s">
        <v>336</v>
      </c>
      <c r="J149" s="331" t="s">
        <v>337</v>
      </c>
      <c r="K149" s="332"/>
      <c r="L149" s="265" t="s">
        <v>340</v>
      </c>
      <c r="M149" s="287" t="s">
        <v>341</v>
      </c>
      <c r="N149" s="287"/>
      <c r="O149" s="287"/>
      <c r="P149" s="287"/>
      <c r="Q149" s="287"/>
      <c r="R149" s="287"/>
      <c r="S149" s="255"/>
      <c r="T149" s="287"/>
    </row>
    <row r="150" spans="1:20" hidden="1">
      <c r="A150" s="246"/>
      <c r="B150" s="181" t="s">
        <v>334</v>
      </c>
      <c r="C150" s="180">
        <v>13</v>
      </c>
      <c r="D150" s="247">
        <v>24</v>
      </c>
      <c r="E150" s="247"/>
      <c r="F150" s="247"/>
      <c r="G150" s="247"/>
      <c r="H150" s="247">
        <v>43</v>
      </c>
      <c r="I150" s="247"/>
      <c r="J150" s="247">
        <v>18</v>
      </c>
      <c r="K150" s="247">
        <v>13</v>
      </c>
      <c r="L150" s="247"/>
      <c r="M150" s="247"/>
      <c r="N150" s="247"/>
      <c r="O150" s="247"/>
      <c r="P150" s="247"/>
      <c r="Q150" s="247"/>
      <c r="R150" s="251"/>
      <c r="S150" s="247"/>
      <c r="T150" s="247"/>
    </row>
    <row r="151" spans="1:20" hidden="1">
      <c r="B151" s="199" t="s">
        <v>225</v>
      </c>
      <c r="C151" s="180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51"/>
      <c r="O151" s="247"/>
      <c r="P151" s="247"/>
      <c r="Q151" s="251"/>
      <c r="R151" s="247"/>
      <c r="S151" s="251"/>
      <c r="T151" s="251"/>
    </row>
    <row r="152" spans="1:20" hidden="1">
      <c r="B152" s="199" t="s">
        <v>225</v>
      </c>
      <c r="C152" s="180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51"/>
      <c r="O152" s="251"/>
      <c r="P152" s="247"/>
      <c r="Q152" s="247"/>
      <c r="R152" s="247"/>
      <c r="S152" s="251"/>
      <c r="T152" s="251"/>
    </row>
    <row r="153" spans="1:20" ht="27.6" hidden="1">
      <c r="B153" s="241" t="s">
        <v>291</v>
      </c>
      <c r="C153" s="180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51"/>
      <c r="O153" s="247"/>
      <c r="P153" s="247"/>
      <c r="Q153" s="247"/>
      <c r="R153" s="247"/>
      <c r="S153" s="251"/>
      <c r="T153" s="247"/>
    </row>
    <row r="154" spans="1:20" hidden="1">
      <c r="B154" s="240" t="s">
        <v>342</v>
      </c>
      <c r="C154" s="180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51"/>
      <c r="O154" s="247"/>
      <c r="P154" s="251"/>
      <c r="Q154" s="247"/>
      <c r="R154" s="247"/>
      <c r="S154" s="251"/>
      <c r="T154" s="247"/>
    </row>
    <row r="155" spans="1:20" ht="55.2" hidden="1">
      <c r="B155" s="240" t="s">
        <v>305</v>
      </c>
      <c r="C155" s="180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73"/>
      <c r="O155" s="247"/>
      <c r="P155" s="247"/>
      <c r="Q155" s="247"/>
      <c r="R155" s="247"/>
      <c r="S155" s="251"/>
      <c r="T155" s="251"/>
    </row>
    <row r="156" spans="1:20" ht="41.4" hidden="1">
      <c r="B156" s="240" t="s">
        <v>306</v>
      </c>
      <c r="C156" s="180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51"/>
      <c r="O156" s="247"/>
      <c r="P156" s="247"/>
      <c r="Q156" s="247"/>
      <c r="R156" s="247"/>
      <c r="S156" s="251"/>
      <c r="T156" s="247"/>
    </row>
    <row r="157" spans="1:20" hidden="1">
      <c r="B157" s="253" t="s">
        <v>343</v>
      </c>
      <c r="C157" s="180"/>
      <c r="D157" s="247"/>
      <c r="E157" s="247"/>
      <c r="F157" s="247"/>
      <c r="G157" s="247"/>
      <c r="H157" s="247"/>
      <c r="I157" s="247"/>
      <c r="J157" s="247"/>
      <c r="K157" s="247"/>
      <c r="L157" s="247"/>
      <c r="M157" s="247"/>
      <c r="N157" s="251"/>
      <c r="O157" s="247"/>
      <c r="P157" s="247"/>
      <c r="Q157" s="247"/>
      <c r="R157" s="247"/>
      <c r="S157" s="251"/>
      <c r="T157" s="247"/>
    </row>
    <row r="158" spans="1:20" hidden="1"/>
    <row r="159" spans="1:20" hidden="1"/>
    <row r="160" spans="1:20" hidden="1">
      <c r="A160" s="246">
        <v>8</v>
      </c>
      <c r="B160" s="250" t="s">
        <v>339</v>
      </c>
      <c r="C160" s="317" t="s">
        <v>333</v>
      </c>
      <c r="D160" s="318"/>
      <c r="E160" s="318"/>
      <c r="F160" s="318"/>
      <c r="G160" s="319"/>
      <c r="H160" s="265" t="s">
        <v>335</v>
      </c>
      <c r="I160" s="265" t="s">
        <v>336</v>
      </c>
      <c r="J160" s="331" t="s">
        <v>337</v>
      </c>
      <c r="K160" s="332"/>
      <c r="L160" s="265" t="s">
        <v>340</v>
      </c>
      <c r="M160" s="287" t="s">
        <v>341</v>
      </c>
      <c r="N160" s="287"/>
      <c r="O160" s="287"/>
      <c r="P160" s="287"/>
      <c r="Q160" s="287"/>
      <c r="R160" s="287"/>
      <c r="S160" s="255"/>
      <c r="T160" s="287"/>
    </row>
    <row r="161" spans="1:20" hidden="1">
      <c r="A161" s="246"/>
      <c r="B161" s="180" t="s">
        <v>334</v>
      </c>
      <c r="C161" s="180">
        <v>19</v>
      </c>
      <c r="D161" s="247">
        <v>19</v>
      </c>
      <c r="E161" s="247"/>
      <c r="F161" s="247"/>
      <c r="G161" s="247"/>
      <c r="H161" s="247">
        <v>76</v>
      </c>
      <c r="I161" s="247"/>
      <c r="J161" s="247"/>
      <c r="K161" s="247"/>
      <c r="L161" s="247"/>
      <c r="M161" s="247"/>
      <c r="N161" s="247"/>
      <c r="O161" s="247"/>
      <c r="P161" s="247"/>
      <c r="Q161" s="247"/>
      <c r="R161" s="251"/>
      <c r="S161" s="247"/>
      <c r="T161" s="247"/>
    </row>
    <row r="162" spans="1:20" hidden="1">
      <c r="B162" s="199" t="s">
        <v>225</v>
      </c>
      <c r="C162" s="180"/>
      <c r="D162" s="247"/>
      <c r="E162" s="247"/>
      <c r="F162" s="247"/>
      <c r="G162" s="247"/>
      <c r="H162" s="247"/>
      <c r="I162" s="247"/>
      <c r="J162" s="247"/>
      <c r="K162" s="247"/>
      <c r="L162" s="247"/>
      <c r="M162" s="247"/>
      <c r="N162" s="251"/>
      <c r="O162" s="251"/>
      <c r="P162" s="247"/>
      <c r="Q162" s="251"/>
      <c r="R162" s="247"/>
      <c r="S162" s="251"/>
      <c r="T162" s="251"/>
    </row>
    <row r="163" spans="1:20" hidden="1">
      <c r="B163" s="199" t="s">
        <v>225</v>
      </c>
      <c r="C163" s="180"/>
      <c r="D163" s="247"/>
      <c r="E163" s="247"/>
      <c r="F163" s="247"/>
      <c r="G163" s="247"/>
      <c r="H163" s="247"/>
      <c r="I163" s="247"/>
      <c r="J163" s="247"/>
      <c r="K163" s="247"/>
      <c r="L163" s="247"/>
      <c r="M163" s="247"/>
      <c r="N163" s="251"/>
      <c r="O163" s="251"/>
      <c r="P163" s="247"/>
      <c r="Q163" s="247"/>
      <c r="R163" s="247"/>
      <c r="S163" s="251"/>
      <c r="T163" s="251"/>
    </row>
    <row r="164" spans="1:20" ht="27.6" hidden="1">
      <c r="B164" s="241" t="s">
        <v>291</v>
      </c>
      <c r="C164" s="180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51"/>
      <c r="O164" s="247"/>
      <c r="P164" s="247"/>
      <c r="Q164" s="247"/>
      <c r="R164" s="247"/>
      <c r="S164" s="251"/>
      <c r="T164" s="247"/>
    </row>
    <row r="165" spans="1:20" ht="55.2" hidden="1">
      <c r="B165" s="240" t="s">
        <v>305</v>
      </c>
      <c r="C165" s="180"/>
      <c r="D165" s="247"/>
      <c r="E165" s="247"/>
      <c r="F165" s="247"/>
      <c r="G165" s="247"/>
      <c r="H165" s="247"/>
      <c r="I165" s="247"/>
      <c r="J165" s="247"/>
      <c r="K165" s="247"/>
      <c r="L165" s="247"/>
      <c r="M165" s="247"/>
      <c r="N165" s="273"/>
      <c r="O165" s="247"/>
      <c r="P165" s="273"/>
      <c r="Q165" s="247"/>
      <c r="R165" s="247"/>
      <c r="S165" s="251"/>
      <c r="T165" s="247"/>
    </row>
    <row r="166" spans="1:20" ht="41.4" hidden="1">
      <c r="B166" s="240" t="s">
        <v>306</v>
      </c>
      <c r="C166" s="180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51"/>
      <c r="O166" s="247"/>
      <c r="P166" s="247"/>
      <c r="Q166" s="247"/>
      <c r="R166" s="247"/>
      <c r="S166" s="251"/>
      <c r="T166" s="251"/>
    </row>
    <row r="167" spans="1:20" hidden="1">
      <c r="B167" s="253" t="s">
        <v>343</v>
      </c>
      <c r="C167" s="180"/>
      <c r="D167" s="247"/>
      <c r="E167" s="247"/>
      <c r="F167" s="247"/>
      <c r="G167" s="247"/>
      <c r="H167" s="247"/>
      <c r="I167" s="247"/>
      <c r="J167" s="247"/>
      <c r="K167" s="247"/>
      <c r="L167" s="247"/>
      <c r="M167" s="247"/>
      <c r="N167" s="251"/>
      <c r="O167" s="247"/>
      <c r="P167" s="247"/>
      <c r="Q167" s="247"/>
      <c r="R167" s="247"/>
      <c r="S167" s="251"/>
      <c r="T167" s="247"/>
    </row>
    <row r="168" spans="1:20" hidden="1">
      <c r="S168" s="198"/>
      <c r="T168" s="202"/>
    </row>
    <row r="169" spans="1:20" hidden="1"/>
    <row r="170" spans="1:20" hidden="1">
      <c r="B170" s="250" t="s">
        <v>339</v>
      </c>
      <c r="C170" s="317" t="s">
        <v>333</v>
      </c>
      <c r="D170" s="318"/>
      <c r="E170" s="318"/>
      <c r="F170" s="318"/>
      <c r="G170" s="319"/>
      <c r="H170" s="265" t="s">
        <v>335</v>
      </c>
      <c r="I170" s="265" t="s">
        <v>336</v>
      </c>
      <c r="J170" s="331" t="s">
        <v>337</v>
      </c>
      <c r="K170" s="332"/>
      <c r="L170" s="265" t="s">
        <v>340</v>
      </c>
      <c r="M170" s="287" t="s">
        <v>341</v>
      </c>
      <c r="N170" s="287"/>
      <c r="O170" s="287"/>
      <c r="P170" s="287"/>
      <c r="Q170" s="287"/>
      <c r="R170" s="287"/>
      <c r="S170" s="255"/>
      <c r="T170" s="287"/>
    </row>
    <row r="171" spans="1:20" hidden="1">
      <c r="A171" s="246">
        <v>9</v>
      </c>
      <c r="B171" s="181" t="s">
        <v>334</v>
      </c>
      <c r="C171" s="180">
        <v>29</v>
      </c>
      <c r="D171" s="247">
        <v>89</v>
      </c>
      <c r="E171" s="247"/>
      <c r="F171" s="247"/>
      <c r="G171" s="247"/>
      <c r="H171" s="247">
        <v>75</v>
      </c>
      <c r="I171" s="247"/>
      <c r="J171" s="247"/>
      <c r="K171" s="247">
        <v>24</v>
      </c>
      <c r="L171" s="247"/>
      <c r="M171" s="247"/>
      <c r="N171" s="247"/>
      <c r="O171" s="247"/>
      <c r="P171" s="247"/>
      <c r="Q171" s="247"/>
      <c r="R171" s="251"/>
      <c r="S171" s="247"/>
      <c r="T171" s="247"/>
    </row>
    <row r="172" spans="1:20" hidden="1">
      <c r="B172" s="199" t="s">
        <v>225</v>
      </c>
      <c r="C172" s="180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51"/>
      <c r="O172" s="251"/>
      <c r="P172" s="247"/>
      <c r="Q172" s="251"/>
      <c r="R172" s="247"/>
      <c r="S172" s="251"/>
      <c r="T172" s="251"/>
    </row>
    <row r="173" spans="1:20" hidden="1">
      <c r="B173" s="199" t="s">
        <v>225</v>
      </c>
      <c r="C173" s="180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51"/>
      <c r="O173" s="251"/>
      <c r="P173" s="247"/>
      <c r="Q173" s="247"/>
      <c r="R173" s="247"/>
      <c r="S173" s="251"/>
      <c r="T173" s="251"/>
    </row>
    <row r="174" spans="1:20" ht="27.6" hidden="1">
      <c r="B174" s="241" t="s">
        <v>291</v>
      </c>
      <c r="C174" s="180"/>
      <c r="D174" s="247"/>
      <c r="E174" s="247"/>
      <c r="F174" s="247"/>
      <c r="G174" s="247"/>
      <c r="H174" s="247"/>
      <c r="I174" s="247"/>
      <c r="J174" s="247"/>
      <c r="K174" s="247"/>
      <c r="L174" s="247"/>
      <c r="M174" s="247"/>
      <c r="N174" s="251"/>
      <c r="O174" s="247"/>
      <c r="P174" s="247"/>
      <c r="Q174" s="247"/>
      <c r="R174" s="247"/>
      <c r="S174" s="251"/>
      <c r="T174" s="247"/>
    </row>
    <row r="175" spans="1:20" ht="55.2" hidden="1">
      <c r="B175" s="240" t="s">
        <v>305</v>
      </c>
      <c r="C175" s="180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73"/>
      <c r="O175" s="247"/>
      <c r="P175" s="273"/>
      <c r="Q175" s="247"/>
      <c r="R175" s="247"/>
      <c r="S175" s="251"/>
      <c r="T175" s="247"/>
    </row>
    <row r="176" spans="1:20" ht="41.4" hidden="1">
      <c r="B176" s="240" t="s">
        <v>306</v>
      </c>
      <c r="C176" s="180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51"/>
      <c r="O176" s="247"/>
      <c r="P176" s="247"/>
      <c r="Q176" s="247"/>
      <c r="R176" s="247"/>
      <c r="S176" s="251"/>
      <c r="T176" s="251"/>
    </row>
    <row r="177" spans="1:20" hidden="1">
      <c r="B177" s="253" t="s">
        <v>343</v>
      </c>
      <c r="C177" s="180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51"/>
      <c r="O177" s="247"/>
      <c r="P177" s="247"/>
      <c r="Q177" s="247"/>
      <c r="R177" s="247"/>
      <c r="S177" s="251"/>
      <c r="T177" s="247"/>
    </row>
    <row r="178" spans="1:20" hidden="1"/>
    <row r="179" spans="1:20" hidden="1"/>
    <row r="180" spans="1:20" hidden="1">
      <c r="B180" s="250" t="s">
        <v>339</v>
      </c>
      <c r="C180" s="317" t="s">
        <v>333</v>
      </c>
      <c r="D180" s="318"/>
      <c r="E180" s="318"/>
      <c r="F180" s="318"/>
      <c r="G180" s="319"/>
      <c r="H180" s="265" t="s">
        <v>335</v>
      </c>
      <c r="I180" s="265" t="s">
        <v>336</v>
      </c>
      <c r="J180" s="331" t="s">
        <v>337</v>
      </c>
      <c r="K180" s="332"/>
      <c r="L180" s="265" t="s">
        <v>340</v>
      </c>
      <c r="M180" s="287" t="s">
        <v>341</v>
      </c>
      <c r="N180" s="287"/>
      <c r="O180" s="287"/>
      <c r="P180" s="287"/>
      <c r="Q180" s="287"/>
      <c r="R180" s="287"/>
      <c r="S180" s="255"/>
      <c r="T180" s="287"/>
    </row>
    <row r="181" spans="1:20" hidden="1">
      <c r="A181" s="246">
        <v>10</v>
      </c>
      <c r="B181" s="180" t="s">
        <v>334</v>
      </c>
      <c r="C181" s="180">
        <v>18</v>
      </c>
      <c r="D181" s="247">
        <v>17</v>
      </c>
      <c r="E181" s="247"/>
      <c r="F181" s="247"/>
      <c r="G181" s="247"/>
      <c r="H181" s="247">
        <v>75</v>
      </c>
      <c r="I181" s="247"/>
      <c r="J181" s="247"/>
      <c r="K181" s="247"/>
      <c r="L181" s="247"/>
      <c r="M181" s="247"/>
      <c r="N181" s="247"/>
      <c r="O181" s="247"/>
      <c r="P181" s="247"/>
      <c r="Q181" s="247"/>
      <c r="R181" s="251"/>
      <c r="S181" s="247"/>
      <c r="T181" s="247"/>
    </row>
    <row r="182" spans="1:20" hidden="1">
      <c r="B182" s="199" t="s">
        <v>225</v>
      </c>
      <c r="C182" s="180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51"/>
      <c r="O182" s="247"/>
      <c r="P182" s="247"/>
      <c r="Q182" s="251"/>
      <c r="R182" s="247"/>
      <c r="S182" s="251"/>
      <c r="T182" s="251"/>
    </row>
    <row r="183" spans="1:20" hidden="1">
      <c r="B183" s="199" t="s">
        <v>225</v>
      </c>
      <c r="C183" s="180"/>
      <c r="D183" s="247"/>
      <c r="E183" s="247"/>
      <c r="F183" s="247"/>
      <c r="G183" s="247"/>
      <c r="H183" s="247"/>
      <c r="I183" s="247"/>
      <c r="J183" s="247"/>
      <c r="K183" s="247"/>
      <c r="L183" s="247"/>
      <c r="M183" s="247"/>
      <c r="N183" s="251"/>
      <c r="O183" s="251"/>
      <c r="P183" s="247"/>
      <c r="Q183" s="247"/>
      <c r="R183" s="247"/>
      <c r="S183" s="251"/>
      <c r="T183" s="251"/>
    </row>
    <row r="184" spans="1:20" ht="27.6" hidden="1">
      <c r="B184" s="241" t="s">
        <v>291</v>
      </c>
      <c r="C184" s="180"/>
      <c r="D184" s="247"/>
      <c r="E184" s="247"/>
      <c r="F184" s="247"/>
      <c r="G184" s="247"/>
      <c r="H184" s="265"/>
      <c r="I184" s="247"/>
      <c r="J184" s="247"/>
      <c r="K184" s="247"/>
      <c r="L184" s="247"/>
      <c r="M184" s="247"/>
      <c r="N184" s="251"/>
      <c r="O184" s="247"/>
      <c r="P184" s="247"/>
      <c r="Q184" s="247"/>
      <c r="R184" s="247"/>
      <c r="S184" s="251"/>
      <c r="T184" s="247"/>
    </row>
    <row r="185" spans="1:20" hidden="1">
      <c r="B185" s="127" t="s">
        <v>344</v>
      </c>
      <c r="C185" s="180"/>
      <c r="D185" s="247"/>
      <c r="E185" s="247"/>
      <c r="F185" s="247"/>
      <c r="G185" s="247"/>
      <c r="H185" s="247"/>
      <c r="I185" s="247"/>
      <c r="J185" s="247"/>
      <c r="K185" s="247"/>
      <c r="L185" s="247"/>
      <c r="M185" s="247"/>
      <c r="N185" s="273"/>
      <c r="O185" s="247"/>
      <c r="P185" s="251"/>
      <c r="Q185" s="247"/>
      <c r="R185" s="247"/>
      <c r="S185" s="251"/>
      <c r="T185" s="247"/>
    </row>
    <row r="186" spans="1:20" ht="55.2" hidden="1">
      <c r="B186" s="240" t="s">
        <v>305</v>
      </c>
      <c r="C186" s="180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73"/>
      <c r="O186" s="247"/>
      <c r="P186" s="247"/>
      <c r="Q186" s="247"/>
      <c r="R186" s="247"/>
      <c r="S186" s="251"/>
      <c r="T186" s="251"/>
    </row>
    <row r="187" spans="1:20" ht="41.4" hidden="1">
      <c r="B187" s="240" t="s">
        <v>306</v>
      </c>
      <c r="C187" s="180"/>
      <c r="D187" s="247"/>
      <c r="E187" s="247"/>
      <c r="F187" s="247"/>
      <c r="G187" s="247"/>
      <c r="H187" s="247"/>
      <c r="I187" s="247"/>
      <c r="J187" s="247"/>
      <c r="K187" s="247"/>
      <c r="L187" s="247"/>
      <c r="M187" s="247"/>
      <c r="N187" s="251"/>
      <c r="O187" s="247"/>
      <c r="P187" s="247"/>
      <c r="Q187" s="247"/>
      <c r="R187" s="247"/>
      <c r="S187" s="251"/>
      <c r="T187" s="247"/>
    </row>
    <row r="188" spans="1:20" hidden="1">
      <c r="B188" s="253" t="s">
        <v>343</v>
      </c>
      <c r="C188" s="180"/>
      <c r="D188" s="247"/>
      <c r="E188" s="247"/>
      <c r="F188" s="247"/>
      <c r="G188" s="247"/>
      <c r="H188" s="247"/>
      <c r="I188" s="247"/>
      <c r="J188" s="247"/>
      <c r="K188" s="247"/>
      <c r="L188" s="247"/>
      <c r="M188" s="247"/>
      <c r="N188" s="251"/>
      <c r="O188" s="247"/>
      <c r="P188" s="247"/>
      <c r="Q188" s="247"/>
      <c r="R188" s="247"/>
      <c r="S188" s="251"/>
      <c r="T188" s="247"/>
    </row>
    <row r="189" spans="1:20" hidden="1"/>
    <row r="190" spans="1:20" hidden="1"/>
    <row r="191" spans="1:20" hidden="1">
      <c r="B191" s="250" t="s">
        <v>339</v>
      </c>
      <c r="C191" s="317" t="s">
        <v>333</v>
      </c>
      <c r="D191" s="318"/>
      <c r="E191" s="318"/>
      <c r="F191" s="318"/>
      <c r="G191" s="319"/>
      <c r="H191" s="265" t="s">
        <v>335</v>
      </c>
      <c r="I191" s="265" t="s">
        <v>336</v>
      </c>
      <c r="J191" s="331" t="s">
        <v>337</v>
      </c>
      <c r="K191" s="332"/>
      <c r="L191" s="265" t="s">
        <v>340</v>
      </c>
      <c r="M191" s="287" t="s">
        <v>341</v>
      </c>
      <c r="N191" s="287"/>
      <c r="O191" s="287"/>
      <c r="P191" s="287"/>
      <c r="Q191" s="287"/>
      <c r="R191" s="287"/>
      <c r="S191" s="255"/>
      <c r="T191" s="287"/>
    </row>
    <row r="192" spans="1:20" hidden="1">
      <c r="A192" s="246">
        <v>12</v>
      </c>
      <c r="B192" s="181" t="s">
        <v>334</v>
      </c>
      <c r="C192" s="180">
        <v>29</v>
      </c>
      <c r="D192" s="247">
        <v>70</v>
      </c>
      <c r="E192" s="247"/>
      <c r="F192" s="247"/>
      <c r="G192" s="247"/>
      <c r="H192" s="247">
        <v>67</v>
      </c>
      <c r="I192" s="247"/>
      <c r="J192" s="247"/>
      <c r="K192" s="247"/>
      <c r="L192" s="247"/>
      <c r="M192" s="247"/>
      <c r="N192" s="247"/>
      <c r="O192" s="247"/>
      <c r="P192" s="247"/>
      <c r="Q192" s="247"/>
      <c r="R192" s="251"/>
      <c r="S192" s="247"/>
      <c r="T192" s="247"/>
    </row>
    <row r="193" spans="1:20" hidden="1">
      <c r="B193" s="199" t="s">
        <v>225</v>
      </c>
      <c r="C193" s="180"/>
      <c r="D193" s="247"/>
      <c r="E193" s="247"/>
      <c r="F193" s="247"/>
      <c r="G193" s="247"/>
      <c r="H193" s="247"/>
      <c r="I193" s="247"/>
      <c r="J193" s="247"/>
      <c r="K193" s="247"/>
      <c r="L193" s="247"/>
      <c r="M193" s="247"/>
      <c r="N193" s="251"/>
      <c r="O193" s="251"/>
      <c r="P193" s="247"/>
      <c r="Q193" s="251"/>
      <c r="R193" s="247"/>
      <c r="S193" s="251"/>
      <c r="T193" s="251"/>
    </row>
    <row r="194" spans="1:20" hidden="1">
      <c r="B194" s="199" t="s">
        <v>225</v>
      </c>
      <c r="C194" s="180"/>
      <c r="D194" s="247"/>
      <c r="E194" s="247"/>
      <c r="F194" s="247"/>
      <c r="G194" s="247"/>
      <c r="H194" s="247"/>
      <c r="I194" s="247"/>
      <c r="J194" s="247"/>
      <c r="K194" s="247"/>
      <c r="L194" s="247"/>
      <c r="M194" s="247"/>
      <c r="N194" s="251"/>
      <c r="O194" s="251"/>
      <c r="P194" s="247"/>
      <c r="Q194" s="247"/>
      <c r="R194" s="247"/>
      <c r="S194" s="251"/>
      <c r="T194" s="251"/>
    </row>
    <row r="195" spans="1:20" ht="27.6" hidden="1">
      <c r="B195" s="241" t="s">
        <v>291</v>
      </c>
      <c r="C195" s="180"/>
      <c r="D195" s="247"/>
      <c r="E195" s="247"/>
      <c r="F195" s="247"/>
      <c r="G195" s="247"/>
      <c r="H195" s="265"/>
      <c r="I195" s="247"/>
      <c r="J195" s="247"/>
      <c r="K195" s="247"/>
      <c r="L195" s="247"/>
      <c r="M195" s="247"/>
      <c r="N195" s="251"/>
      <c r="O195" s="247"/>
      <c r="P195" s="247"/>
      <c r="Q195" s="247"/>
      <c r="R195" s="247"/>
      <c r="S195" s="251"/>
      <c r="T195" s="247"/>
    </row>
    <row r="196" spans="1:20" ht="55.2" hidden="1">
      <c r="B196" s="240" t="s">
        <v>305</v>
      </c>
      <c r="C196" s="180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73"/>
      <c r="O196" s="247"/>
      <c r="P196" s="273"/>
      <c r="Q196" s="247"/>
      <c r="R196" s="247"/>
      <c r="S196" s="251"/>
      <c r="T196" s="247"/>
    </row>
    <row r="197" spans="1:20" ht="41.4" hidden="1">
      <c r="B197" s="240" t="s">
        <v>306</v>
      </c>
      <c r="C197" s="180"/>
      <c r="D197" s="247"/>
      <c r="E197" s="247"/>
      <c r="F197" s="247"/>
      <c r="G197" s="247"/>
      <c r="H197" s="247"/>
      <c r="I197" s="247"/>
      <c r="J197" s="247"/>
      <c r="K197" s="247"/>
      <c r="L197" s="247"/>
      <c r="M197" s="247"/>
      <c r="N197" s="251"/>
      <c r="O197" s="247"/>
      <c r="P197" s="247"/>
      <c r="Q197" s="247"/>
      <c r="R197" s="247"/>
      <c r="S197" s="251"/>
      <c r="T197" s="251"/>
    </row>
    <row r="198" spans="1:20" hidden="1">
      <c r="B198" s="253" t="s">
        <v>343</v>
      </c>
      <c r="C198" s="180"/>
      <c r="D198" s="247"/>
      <c r="E198" s="247"/>
      <c r="F198" s="247"/>
      <c r="G198" s="247"/>
      <c r="H198" s="247"/>
      <c r="I198" s="247"/>
      <c r="J198" s="247"/>
      <c r="K198" s="247"/>
      <c r="L198" s="247"/>
      <c r="M198" s="247"/>
      <c r="N198" s="251"/>
      <c r="O198" s="247"/>
      <c r="P198" s="247"/>
      <c r="Q198" s="247"/>
      <c r="R198" s="247"/>
      <c r="S198" s="251"/>
      <c r="T198" s="247"/>
    </row>
    <row r="199" spans="1:20" hidden="1"/>
    <row r="200" spans="1:20" hidden="1"/>
    <row r="201" spans="1:20" hidden="1">
      <c r="A201" s="246">
        <v>13</v>
      </c>
      <c r="B201" s="250" t="s">
        <v>339</v>
      </c>
      <c r="C201" s="317" t="s">
        <v>333</v>
      </c>
      <c r="D201" s="318"/>
      <c r="E201" s="318"/>
      <c r="F201" s="318"/>
      <c r="G201" s="319"/>
      <c r="H201" s="265" t="s">
        <v>335</v>
      </c>
      <c r="I201" s="265" t="s">
        <v>336</v>
      </c>
      <c r="J201" s="331" t="s">
        <v>337</v>
      </c>
      <c r="K201" s="332"/>
      <c r="L201" s="265" t="s">
        <v>340</v>
      </c>
      <c r="M201" s="287" t="s">
        <v>341</v>
      </c>
      <c r="N201" s="287"/>
      <c r="O201" s="287"/>
      <c r="P201" s="287"/>
      <c r="Q201" s="287"/>
      <c r="R201" s="287"/>
      <c r="S201" s="255"/>
      <c r="T201" s="287"/>
    </row>
    <row r="202" spans="1:20" hidden="1">
      <c r="B202" s="181" t="s">
        <v>334</v>
      </c>
      <c r="C202" s="180">
        <v>1</v>
      </c>
      <c r="D202" s="247">
        <v>44</v>
      </c>
      <c r="E202" s="247"/>
      <c r="F202" s="247"/>
      <c r="G202" s="247"/>
      <c r="H202" s="247">
        <v>73</v>
      </c>
      <c r="I202" s="247"/>
      <c r="J202" s="247"/>
      <c r="K202" s="247"/>
      <c r="L202" s="247">
        <v>45</v>
      </c>
      <c r="M202" s="247">
        <v>73</v>
      </c>
      <c r="N202" s="247"/>
      <c r="O202" s="247"/>
      <c r="P202" s="247"/>
      <c r="Q202" s="247"/>
      <c r="R202" s="251"/>
      <c r="S202" s="247"/>
      <c r="T202" s="247"/>
    </row>
    <row r="203" spans="1:20" hidden="1">
      <c r="B203" s="199" t="s">
        <v>225</v>
      </c>
      <c r="C203" s="180"/>
      <c r="D203" s="247"/>
      <c r="E203" s="247"/>
      <c r="F203" s="247"/>
      <c r="G203" s="247"/>
      <c r="H203" s="247"/>
      <c r="I203" s="247"/>
      <c r="J203" s="247"/>
      <c r="K203" s="247"/>
      <c r="L203" s="247"/>
      <c r="M203" s="247"/>
      <c r="N203" s="251"/>
      <c r="O203" s="251"/>
      <c r="P203" s="247"/>
      <c r="Q203" s="251"/>
      <c r="R203" s="247"/>
      <c r="S203" s="251"/>
      <c r="T203" s="251"/>
    </row>
    <row r="204" spans="1:20" hidden="1">
      <c r="B204" s="199" t="s">
        <v>225</v>
      </c>
      <c r="C204" s="180"/>
      <c r="D204" s="247"/>
      <c r="E204" s="247"/>
      <c r="F204" s="247"/>
      <c r="G204" s="247"/>
      <c r="H204" s="247"/>
      <c r="I204" s="247"/>
      <c r="J204" s="247"/>
      <c r="K204" s="247"/>
      <c r="L204" s="247"/>
      <c r="M204" s="247"/>
      <c r="N204" s="251"/>
      <c r="O204" s="251"/>
      <c r="P204" s="247"/>
      <c r="Q204" s="247"/>
      <c r="R204" s="247"/>
      <c r="S204" s="251"/>
      <c r="T204" s="251"/>
    </row>
    <row r="205" spans="1:20" ht="27.6" hidden="1">
      <c r="B205" s="241" t="s">
        <v>291</v>
      </c>
      <c r="C205" s="180"/>
      <c r="D205" s="247"/>
      <c r="E205" s="247"/>
      <c r="F205" s="247"/>
      <c r="G205" s="247"/>
      <c r="H205" s="265"/>
      <c r="I205" s="247"/>
      <c r="J205" s="247"/>
      <c r="K205" s="247"/>
      <c r="L205" s="247"/>
      <c r="M205" s="247"/>
      <c r="N205" s="251"/>
      <c r="O205" s="247"/>
      <c r="P205" s="247"/>
      <c r="Q205" s="247"/>
      <c r="R205" s="247"/>
      <c r="S205" s="251"/>
      <c r="T205" s="247"/>
    </row>
    <row r="206" spans="1:20" hidden="1">
      <c r="B206" s="127" t="s">
        <v>345</v>
      </c>
      <c r="C206" s="180"/>
      <c r="D206" s="247"/>
      <c r="E206" s="247"/>
      <c r="F206" s="247"/>
      <c r="G206" s="247"/>
      <c r="H206" s="247"/>
      <c r="I206" s="247"/>
      <c r="J206" s="247"/>
      <c r="K206" s="247"/>
      <c r="L206" s="247"/>
      <c r="M206" s="247"/>
      <c r="N206" s="251"/>
      <c r="O206" s="247"/>
      <c r="P206" s="247"/>
      <c r="Q206" s="247"/>
      <c r="R206" s="247"/>
      <c r="S206" s="251"/>
      <c r="T206" s="247"/>
    </row>
    <row r="207" spans="1:20" ht="55.2" hidden="1">
      <c r="B207" s="240" t="s">
        <v>305</v>
      </c>
      <c r="C207" s="180"/>
      <c r="D207" s="247"/>
      <c r="E207" s="247"/>
      <c r="F207" s="247"/>
      <c r="G207" s="247"/>
      <c r="H207" s="247"/>
      <c r="I207" s="247"/>
      <c r="J207" s="247"/>
      <c r="K207" s="247"/>
      <c r="L207" s="247"/>
      <c r="M207" s="247"/>
      <c r="N207" s="273"/>
      <c r="O207" s="247"/>
      <c r="P207" s="274"/>
      <c r="Q207" s="247"/>
      <c r="R207" s="247"/>
      <c r="S207" s="251"/>
      <c r="T207" s="251"/>
    </row>
    <row r="208" spans="1:20" ht="41.4" hidden="1">
      <c r="B208" s="240" t="s">
        <v>306</v>
      </c>
      <c r="C208" s="180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51"/>
      <c r="O208" s="247"/>
      <c r="P208" s="247"/>
      <c r="Q208" s="247"/>
      <c r="R208" s="247"/>
      <c r="S208" s="251"/>
      <c r="T208" s="247"/>
    </row>
    <row r="209" spans="1:20" hidden="1">
      <c r="B209" s="253" t="s">
        <v>343</v>
      </c>
      <c r="C209" s="180"/>
      <c r="D209" s="247"/>
      <c r="E209" s="247"/>
      <c r="F209" s="247"/>
      <c r="G209" s="247"/>
      <c r="H209" s="247"/>
      <c r="I209" s="247"/>
      <c r="J209" s="247"/>
      <c r="K209" s="247"/>
      <c r="L209" s="247"/>
      <c r="M209" s="247"/>
      <c r="N209" s="251"/>
      <c r="O209" s="247"/>
      <c r="P209" s="247"/>
      <c r="Q209" s="247"/>
      <c r="R209" s="247"/>
      <c r="S209" s="251"/>
      <c r="T209" s="247"/>
    </row>
    <row r="210" spans="1:20" hidden="1"/>
    <row r="211" spans="1:20" hidden="1"/>
    <row r="212" spans="1:20" hidden="1">
      <c r="A212" s="246">
        <v>14</v>
      </c>
      <c r="B212" s="250" t="s">
        <v>339</v>
      </c>
      <c r="C212" s="317" t="s">
        <v>333</v>
      </c>
      <c r="D212" s="318"/>
      <c r="E212" s="318"/>
      <c r="F212" s="318"/>
      <c r="G212" s="319"/>
      <c r="H212" s="265" t="s">
        <v>335</v>
      </c>
      <c r="I212" s="265" t="s">
        <v>336</v>
      </c>
      <c r="J212" s="331" t="s">
        <v>337</v>
      </c>
      <c r="K212" s="332"/>
      <c r="L212" s="265" t="s">
        <v>340</v>
      </c>
      <c r="M212" s="287" t="s">
        <v>341</v>
      </c>
      <c r="N212" s="287"/>
      <c r="O212" s="287"/>
      <c r="P212" s="287"/>
      <c r="Q212" s="287"/>
      <c r="R212" s="287"/>
      <c r="S212" s="255"/>
      <c r="T212" s="287"/>
    </row>
    <row r="213" spans="1:20" hidden="1">
      <c r="B213" s="181" t="s">
        <v>334</v>
      </c>
      <c r="C213" s="180">
        <v>32</v>
      </c>
      <c r="D213" s="247"/>
      <c r="E213" s="247"/>
      <c r="F213" s="247"/>
      <c r="G213" s="247"/>
      <c r="H213" s="247">
        <v>198</v>
      </c>
      <c r="I213" s="247"/>
      <c r="J213" s="247"/>
      <c r="K213" s="247">
        <v>10</v>
      </c>
      <c r="L213" s="247"/>
      <c r="M213" s="247">
        <v>198</v>
      </c>
      <c r="N213" s="247"/>
      <c r="O213" s="247"/>
      <c r="P213" s="247"/>
      <c r="Q213" s="247"/>
      <c r="R213" s="251"/>
      <c r="S213" s="247"/>
      <c r="T213" s="247"/>
    </row>
    <row r="214" spans="1:20" hidden="1">
      <c r="B214" s="199" t="s">
        <v>225</v>
      </c>
      <c r="C214" s="180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51"/>
      <c r="O214" s="251"/>
      <c r="P214" s="247"/>
      <c r="Q214" s="251"/>
      <c r="R214" s="247"/>
      <c r="S214" s="251"/>
      <c r="T214" s="251"/>
    </row>
    <row r="215" spans="1:20" hidden="1">
      <c r="B215" s="199" t="s">
        <v>225</v>
      </c>
      <c r="C215" s="180"/>
      <c r="D215" s="247"/>
      <c r="E215" s="247"/>
      <c r="F215" s="247"/>
      <c r="G215" s="247"/>
      <c r="H215" s="247"/>
      <c r="I215" s="247"/>
      <c r="J215" s="247"/>
      <c r="K215" s="247"/>
      <c r="L215" s="247"/>
      <c r="M215" s="247"/>
      <c r="N215" s="251"/>
      <c r="O215" s="251"/>
      <c r="P215" s="247"/>
      <c r="Q215" s="247"/>
      <c r="R215" s="247"/>
      <c r="S215" s="251"/>
      <c r="T215" s="251"/>
    </row>
    <row r="216" spans="1:20" ht="27.6" hidden="1">
      <c r="B216" s="241" t="s">
        <v>291</v>
      </c>
      <c r="C216" s="180"/>
      <c r="D216" s="247"/>
      <c r="E216" s="247"/>
      <c r="F216" s="247"/>
      <c r="G216" s="247"/>
      <c r="H216" s="265"/>
      <c r="I216" s="247"/>
      <c r="J216" s="247"/>
      <c r="K216" s="247"/>
      <c r="L216" s="247"/>
      <c r="M216" s="247"/>
      <c r="N216" s="251"/>
      <c r="O216" s="247"/>
      <c r="P216" s="247"/>
      <c r="Q216" s="247"/>
      <c r="R216" s="247"/>
      <c r="S216" s="251"/>
      <c r="T216" s="247"/>
    </row>
    <row r="217" spans="1:20" hidden="1">
      <c r="B217" s="127" t="s">
        <v>345</v>
      </c>
      <c r="C217" s="180"/>
      <c r="D217" s="247"/>
      <c r="E217" s="247"/>
      <c r="F217" s="247"/>
      <c r="G217" s="247"/>
      <c r="H217" s="247"/>
      <c r="I217" s="247"/>
      <c r="J217" s="247"/>
      <c r="K217" s="247"/>
      <c r="L217" s="247"/>
      <c r="M217" s="247"/>
      <c r="N217" s="251"/>
      <c r="O217" s="247"/>
      <c r="P217" s="247"/>
      <c r="Q217" s="247"/>
      <c r="R217" s="247"/>
      <c r="S217" s="251"/>
      <c r="T217" s="247"/>
    </row>
    <row r="218" spans="1:20" ht="55.2" hidden="1">
      <c r="B218" s="240" t="s">
        <v>305</v>
      </c>
      <c r="C218" s="180"/>
      <c r="D218" s="247"/>
      <c r="E218" s="247"/>
      <c r="F218" s="247"/>
      <c r="G218" s="247"/>
      <c r="H218" s="247"/>
      <c r="I218" s="247"/>
      <c r="J218" s="247"/>
      <c r="K218" s="247"/>
      <c r="L218" s="247"/>
      <c r="M218" s="247"/>
      <c r="N218" s="273"/>
      <c r="O218" s="247"/>
      <c r="P218" s="274"/>
      <c r="Q218" s="247"/>
      <c r="R218" s="247"/>
      <c r="S218" s="251"/>
      <c r="T218" s="251"/>
    </row>
    <row r="219" spans="1:20" ht="41.4" hidden="1">
      <c r="B219" s="240" t="s">
        <v>306</v>
      </c>
      <c r="C219" s="180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51"/>
      <c r="O219" s="247"/>
      <c r="P219" s="247"/>
      <c r="Q219" s="247"/>
      <c r="R219" s="247"/>
      <c r="S219" s="251"/>
      <c r="T219" s="247"/>
    </row>
    <row r="220" spans="1:20" hidden="1">
      <c r="B220" s="253" t="s">
        <v>343</v>
      </c>
      <c r="C220" s="180"/>
      <c r="D220" s="247"/>
      <c r="E220" s="247"/>
      <c r="F220" s="247"/>
      <c r="G220" s="247"/>
      <c r="H220" s="247"/>
      <c r="I220" s="247"/>
      <c r="J220" s="247"/>
      <c r="K220" s="247"/>
      <c r="L220" s="247"/>
      <c r="M220" s="247"/>
      <c r="N220" s="251"/>
      <c r="O220" s="247"/>
      <c r="P220" s="247"/>
      <c r="Q220" s="247"/>
      <c r="R220" s="247"/>
      <c r="S220" s="251"/>
      <c r="T220" s="247"/>
    </row>
    <row r="221" spans="1:20" hidden="1"/>
    <row r="222" spans="1:20" hidden="1"/>
    <row r="223" spans="1:20" hidden="1">
      <c r="A223" s="246">
        <v>15</v>
      </c>
      <c r="B223" s="250" t="s">
        <v>339</v>
      </c>
      <c r="C223" s="317" t="s">
        <v>333</v>
      </c>
      <c r="D223" s="318"/>
      <c r="E223" s="318"/>
      <c r="F223" s="318"/>
      <c r="G223" s="319"/>
      <c r="H223" s="265" t="s">
        <v>335</v>
      </c>
      <c r="I223" s="265" t="s">
        <v>336</v>
      </c>
      <c r="J223" s="331" t="s">
        <v>337</v>
      </c>
      <c r="K223" s="332"/>
      <c r="L223" s="265" t="s">
        <v>340</v>
      </c>
      <c r="M223" s="287" t="s">
        <v>341</v>
      </c>
      <c r="N223" s="287"/>
      <c r="O223" s="287"/>
      <c r="P223" s="287"/>
      <c r="Q223" s="287"/>
      <c r="R223" s="287"/>
      <c r="S223" s="255"/>
      <c r="T223" s="287"/>
    </row>
    <row r="224" spans="1:20" hidden="1">
      <c r="B224" s="181" t="s">
        <v>334</v>
      </c>
      <c r="C224" s="180">
        <v>36</v>
      </c>
      <c r="D224" s="247"/>
      <c r="E224" s="247"/>
      <c r="F224" s="247"/>
      <c r="G224" s="247"/>
      <c r="H224" s="247">
        <v>96</v>
      </c>
      <c r="I224" s="247"/>
      <c r="J224" s="247"/>
      <c r="K224" s="247"/>
      <c r="L224" s="247"/>
      <c r="M224" s="247"/>
      <c r="N224" s="247"/>
      <c r="O224" s="247"/>
      <c r="P224" s="247"/>
      <c r="Q224" s="247"/>
      <c r="R224" s="251"/>
      <c r="S224" s="247"/>
      <c r="T224" s="247"/>
    </row>
    <row r="225" spans="1:20" hidden="1">
      <c r="B225" s="199" t="s">
        <v>225</v>
      </c>
      <c r="C225" s="180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51"/>
      <c r="O225" s="251"/>
      <c r="P225" s="247"/>
      <c r="Q225" s="251"/>
      <c r="R225" s="247"/>
      <c r="S225" s="251"/>
      <c r="T225" s="251"/>
    </row>
    <row r="226" spans="1:20" hidden="1">
      <c r="B226" s="199" t="s">
        <v>225</v>
      </c>
      <c r="C226" s="180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51"/>
      <c r="O226" s="251"/>
      <c r="P226" s="247"/>
      <c r="Q226" s="247"/>
      <c r="R226" s="247"/>
      <c r="S226" s="251"/>
      <c r="T226" s="251"/>
    </row>
    <row r="227" spans="1:20" ht="27.6" hidden="1">
      <c r="B227" s="241" t="s">
        <v>291</v>
      </c>
      <c r="C227" s="180"/>
      <c r="D227" s="247"/>
      <c r="E227" s="247"/>
      <c r="F227" s="247"/>
      <c r="G227" s="247"/>
      <c r="H227" s="265"/>
      <c r="I227" s="247"/>
      <c r="J227" s="247"/>
      <c r="K227" s="247"/>
      <c r="L227" s="247"/>
      <c r="M227" s="247"/>
      <c r="N227" s="251"/>
      <c r="O227" s="247"/>
      <c r="P227" s="247"/>
      <c r="Q227" s="247"/>
      <c r="R227" s="247"/>
      <c r="S227" s="251"/>
      <c r="T227" s="247"/>
    </row>
    <row r="228" spans="1:20" hidden="1">
      <c r="B228" s="127" t="s">
        <v>345</v>
      </c>
      <c r="C228" s="180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51"/>
      <c r="O228" s="247"/>
      <c r="P228" s="247"/>
      <c r="Q228" s="247"/>
      <c r="R228" s="247"/>
      <c r="S228" s="251"/>
      <c r="T228" s="247"/>
    </row>
    <row r="229" spans="1:20" ht="55.2" hidden="1">
      <c r="B229" s="240" t="s">
        <v>305</v>
      </c>
      <c r="C229" s="180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73"/>
      <c r="O229" s="247"/>
      <c r="P229" s="273"/>
      <c r="Q229" s="247"/>
      <c r="R229" s="247"/>
      <c r="S229" s="251"/>
      <c r="T229" s="251"/>
    </row>
    <row r="230" spans="1:20" ht="41.4" hidden="1">
      <c r="B230" s="240" t="s">
        <v>306</v>
      </c>
      <c r="C230" s="180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51"/>
      <c r="O230" s="247"/>
      <c r="P230" s="247"/>
      <c r="Q230" s="247"/>
      <c r="R230" s="247"/>
      <c r="S230" s="251"/>
      <c r="T230" s="247"/>
    </row>
    <row r="231" spans="1:20" hidden="1">
      <c r="B231" s="253" t="s">
        <v>343</v>
      </c>
      <c r="C231" s="180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51"/>
      <c r="O231" s="247"/>
      <c r="P231" s="247"/>
      <c r="Q231" s="247"/>
      <c r="R231" s="247"/>
      <c r="S231" s="251"/>
      <c r="T231" s="247"/>
    </row>
    <row r="232" spans="1:20" hidden="1"/>
    <row r="233" spans="1:20" hidden="1"/>
    <row r="234" spans="1:20" hidden="1">
      <c r="A234" s="246">
        <v>17</v>
      </c>
      <c r="B234" s="250" t="s">
        <v>339</v>
      </c>
      <c r="C234" s="317" t="s">
        <v>333</v>
      </c>
      <c r="D234" s="318"/>
      <c r="E234" s="318"/>
      <c r="F234" s="318"/>
      <c r="G234" s="319"/>
      <c r="H234" s="265" t="s">
        <v>335</v>
      </c>
      <c r="I234" s="265" t="s">
        <v>336</v>
      </c>
      <c r="J234" s="331" t="s">
        <v>337</v>
      </c>
      <c r="K234" s="332"/>
      <c r="L234" s="265" t="s">
        <v>340</v>
      </c>
      <c r="M234" s="287" t="s">
        <v>341</v>
      </c>
      <c r="N234" s="287"/>
      <c r="O234" s="287"/>
      <c r="P234" s="287"/>
      <c r="Q234" s="287"/>
      <c r="R234" s="287"/>
      <c r="S234" s="255"/>
      <c r="T234" s="287"/>
    </row>
    <row r="235" spans="1:20" hidden="1">
      <c r="B235" s="181" t="s">
        <v>334</v>
      </c>
      <c r="C235" s="180">
        <v>32</v>
      </c>
      <c r="D235" s="247"/>
      <c r="E235" s="247"/>
      <c r="F235" s="247"/>
      <c r="G235" s="247"/>
      <c r="H235" s="247">
        <v>212</v>
      </c>
      <c r="I235" s="247"/>
      <c r="J235" s="247"/>
      <c r="K235" s="247"/>
      <c r="L235" s="247"/>
      <c r="M235" s="247"/>
      <c r="N235" s="247"/>
      <c r="O235" s="247"/>
      <c r="P235" s="247"/>
      <c r="Q235" s="247"/>
      <c r="R235" s="251"/>
      <c r="S235" s="247"/>
      <c r="T235" s="247"/>
    </row>
    <row r="236" spans="1:20" hidden="1">
      <c r="B236" s="199" t="s">
        <v>225</v>
      </c>
      <c r="C236" s="180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51"/>
      <c r="O236" s="251"/>
      <c r="P236" s="247"/>
      <c r="Q236" s="251"/>
      <c r="R236" s="247"/>
      <c r="S236" s="251"/>
      <c r="T236" s="251"/>
    </row>
    <row r="237" spans="1:20" hidden="1">
      <c r="B237" s="199" t="s">
        <v>225</v>
      </c>
      <c r="C237" s="180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51"/>
      <c r="O237" s="251"/>
      <c r="P237" s="247"/>
      <c r="Q237" s="247"/>
      <c r="R237" s="247"/>
      <c r="S237" s="251"/>
      <c r="T237" s="251"/>
    </row>
    <row r="238" spans="1:20" ht="27.6" hidden="1">
      <c r="B238" s="241" t="s">
        <v>291</v>
      </c>
      <c r="C238" s="180"/>
      <c r="D238" s="247"/>
      <c r="E238" s="247"/>
      <c r="F238" s="247"/>
      <c r="G238" s="247"/>
      <c r="H238" s="265"/>
      <c r="I238" s="247"/>
      <c r="J238" s="247"/>
      <c r="K238" s="247"/>
      <c r="L238" s="247"/>
      <c r="M238" s="247"/>
      <c r="N238" s="251"/>
      <c r="O238" s="247"/>
      <c r="P238" s="247"/>
      <c r="Q238" s="247"/>
      <c r="R238" s="247"/>
      <c r="S238" s="251"/>
      <c r="T238" s="247"/>
    </row>
    <row r="239" spans="1:20" hidden="1">
      <c r="B239" s="127" t="s">
        <v>345</v>
      </c>
      <c r="C239" s="180"/>
      <c r="D239" s="247"/>
      <c r="E239" s="247"/>
      <c r="F239" s="247"/>
      <c r="G239" s="247"/>
      <c r="H239" s="247"/>
      <c r="I239" s="247"/>
      <c r="J239" s="247"/>
      <c r="K239" s="247"/>
      <c r="L239" s="247"/>
      <c r="M239" s="247"/>
      <c r="N239" s="251"/>
      <c r="O239" s="247"/>
      <c r="P239" s="247"/>
      <c r="Q239" s="247"/>
      <c r="R239" s="247"/>
      <c r="S239" s="251"/>
      <c r="T239" s="247"/>
    </row>
    <row r="240" spans="1:20" ht="55.2" hidden="1">
      <c r="B240" s="240" t="s">
        <v>305</v>
      </c>
      <c r="C240" s="180"/>
      <c r="D240" s="247"/>
      <c r="E240" s="247"/>
      <c r="F240" s="247"/>
      <c r="G240" s="247"/>
      <c r="H240" s="247"/>
      <c r="I240" s="247"/>
      <c r="J240" s="247"/>
      <c r="K240" s="247"/>
      <c r="L240" s="247"/>
      <c r="M240" s="247"/>
      <c r="N240" s="273"/>
      <c r="O240" s="247"/>
      <c r="P240" s="273"/>
      <c r="Q240" s="247"/>
      <c r="R240" s="247"/>
      <c r="S240" s="251"/>
      <c r="T240" s="251"/>
    </row>
    <row r="241" spans="1:20" ht="41.4" hidden="1">
      <c r="B241" s="240" t="s">
        <v>306</v>
      </c>
      <c r="C241" s="180"/>
      <c r="D241" s="247"/>
      <c r="E241" s="247"/>
      <c r="F241" s="247"/>
      <c r="G241" s="247"/>
      <c r="H241" s="247"/>
      <c r="I241" s="247"/>
      <c r="J241" s="247"/>
      <c r="K241" s="247"/>
      <c r="L241" s="247"/>
      <c r="M241" s="247"/>
      <c r="N241" s="251"/>
      <c r="O241" s="247"/>
      <c r="P241" s="247"/>
      <c r="Q241" s="247"/>
      <c r="R241" s="247"/>
      <c r="S241" s="251"/>
      <c r="T241" s="247"/>
    </row>
    <row r="242" spans="1:20" hidden="1">
      <c r="B242" s="253" t="s">
        <v>343</v>
      </c>
      <c r="C242" s="180"/>
      <c r="D242" s="247"/>
      <c r="E242" s="247"/>
      <c r="F242" s="247"/>
      <c r="G242" s="247"/>
      <c r="H242" s="247"/>
      <c r="I242" s="247"/>
      <c r="J242" s="247"/>
      <c r="K242" s="247"/>
      <c r="L242" s="247"/>
      <c r="M242" s="247"/>
      <c r="N242" s="251"/>
      <c r="O242" s="247"/>
      <c r="P242" s="247"/>
      <c r="Q242" s="247"/>
      <c r="R242" s="247"/>
      <c r="S242" s="251"/>
      <c r="T242" s="247"/>
    </row>
    <row r="243" spans="1:20" hidden="1"/>
    <row r="244" spans="1:20" hidden="1"/>
    <row r="245" spans="1:20" hidden="1">
      <c r="A245" s="246">
        <v>18</v>
      </c>
      <c r="B245" s="250" t="s">
        <v>339</v>
      </c>
      <c r="C245" s="317" t="s">
        <v>333</v>
      </c>
      <c r="D245" s="318"/>
      <c r="E245" s="318"/>
      <c r="F245" s="318"/>
      <c r="G245" s="319"/>
      <c r="H245" s="265" t="s">
        <v>335</v>
      </c>
      <c r="I245" s="265" t="s">
        <v>336</v>
      </c>
      <c r="J245" s="331" t="s">
        <v>337</v>
      </c>
      <c r="K245" s="332"/>
      <c r="L245" s="265" t="s">
        <v>340</v>
      </c>
      <c r="M245" s="287" t="s">
        <v>341</v>
      </c>
      <c r="N245" s="287"/>
      <c r="O245" s="287"/>
      <c r="P245" s="287"/>
      <c r="Q245" s="287"/>
      <c r="R245" s="287"/>
      <c r="S245" s="255"/>
      <c r="T245" s="287"/>
    </row>
    <row r="246" spans="1:20" hidden="1">
      <c r="B246" s="181" t="s">
        <v>334</v>
      </c>
      <c r="C246" s="180">
        <v>31</v>
      </c>
      <c r="D246" s="247">
        <v>32</v>
      </c>
      <c r="E246" s="247"/>
      <c r="F246" s="247"/>
      <c r="G246" s="247"/>
      <c r="H246" s="247">
        <v>76</v>
      </c>
      <c r="I246" s="247"/>
      <c r="J246" s="247"/>
      <c r="K246" s="247"/>
      <c r="L246" s="247"/>
      <c r="M246" s="247"/>
      <c r="N246" s="247"/>
      <c r="O246" s="247"/>
      <c r="P246" s="247"/>
      <c r="Q246" s="247"/>
      <c r="R246" s="251"/>
      <c r="S246" s="247"/>
      <c r="T246" s="247"/>
    </row>
    <row r="247" spans="1:20" hidden="1">
      <c r="B247" s="199" t="s">
        <v>225</v>
      </c>
      <c r="C247" s="180"/>
      <c r="D247" s="247"/>
      <c r="E247" s="247"/>
      <c r="F247" s="247"/>
      <c r="G247" s="247"/>
      <c r="H247" s="247"/>
      <c r="I247" s="247"/>
      <c r="J247" s="247"/>
      <c r="K247" s="247"/>
      <c r="L247" s="247"/>
      <c r="M247" s="247"/>
      <c r="N247" s="251"/>
      <c r="O247" s="251"/>
      <c r="P247" s="247"/>
      <c r="Q247" s="251"/>
      <c r="R247" s="247"/>
      <c r="S247" s="251"/>
      <c r="T247" s="251"/>
    </row>
    <row r="248" spans="1:20" hidden="1">
      <c r="B248" s="199" t="s">
        <v>225</v>
      </c>
      <c r="C248" s="180"/>
      <c r="D248" s="247"/>
      <c r="E248" s="247"/>
      <c r="F248" s="247"/>
      <c r="G248" s="247"/>
      <c r="H248" s="247"/>
      <c r="I248" s="247"/>
      <c r="J248" s="247"/>
      <c r="K248" s="247"/>
      <c r="L248" s="247"/>
      <c r="M248" s="247"/>
      <c r="N248" s="251"/>
      <c r="O248" s="251"/>
      <c r="P248" s="247"/>
      <c r="Q248" s="247"/>
      <c r="R248" s="247"/>
      <c r="S248" s="251"/>
      <c r="T248" s="251"/>
    </row>
    <row r="249" spans="1:20" ht="27.6" hidden="1">
      <c r="B249" s="241" t="s">
        <v>291</v>
      </c>
      <c r="C249" s="180"/>
      <c r="D249" s="247"/>
      <c r="E249" s="247"/>
      <c r="F249" s="247"/>
      <c r="G249" s="247"/>
      <c r="H249" s="265"/>
      <c r="I249" s="247"/>
      <c r="J249" s="247"/>
      <c r="K249" s="247"/>
      <c r="L249" s="247"/>
      <c r="M249" s="247"/>
      <c r="N249" s="251"/>
      <c r="O249" s="247"/>
      <c r="P249" s="247"/>
      <c r="Q249" s="247"/>
      <c r="R249" s="247"/>
      <c r="S249" s="251"/>
      <c r="T249" s="247"/>
    </row>
    <row r="250" spans="1:20" hidden="1">
      <c r="B250" s="241" t="s">
        <v>345</v>
      </c>
      <c r="C250" s="180"/>
      <c r="D250" s="247"/>
      <c r="E250" s="247"/>
      <c r="F250" s="247"/>
      <c r="G250" s="247"/>
      <c r="H250" s="265"/>
      <c r="I250" s="247"/>
      <c r="J250" s="247"/>
      <c r="K250" s="247"/>
      <c r="L250" s="247"/>
      <c r="M250" s="247"/>
      <c r="N250" s="251"/>
      <c r="O250" s="247"/>
      <c r="P250" s="247"/>
      <c r="Q250" s="247"/>
      <c r="R250" s="247"/>
      <c r="S250" s="251"/>
      <c r="T250" s="247"/>
    </row>
    <row r="251" spans="1:20" ht="55.2" hidden="1">
      <c r="B251" s="240" t="s">
        <v>305</v>
      </c>
      <c r="C251" s="180"/>
      <c r="D251" s="247"/>
      <c r="E251" s="247"/>
      <c r="F251" s="247"/>
      <c r="G251" s="247"/>
      <c r="H251" s="247"/>
      <c r="I251" s="247"/>
      <c r="J251" s="247"/>
      <c r="K251" s="247"/>
      <c r="L251" s="247"/>
      <c r="M251" s="247"/>
      <c r="N251" s="273"/>
      <c r="O251" s="247"/>
      <c r="P251" s="273"/>
      <c r="Q251" s="247"/>
      <c r="R251" s="247"/>
      <c r="S251" s="251"/>
      <c r="T251" s="251"/>
    </row>
    <row r="252" spans="1:20" ht="41.4" hidden="1">
      <c r="B252" s="240" t="s">
        <v>306</v>
      </c>
      <c r="C252" s="180"/>
      <c r="D252" s="247"/>
      <c r="E252" s="247"/>
      <c r="F252" s="247"/>
      <c r="G252" s="247"/>
      <c r="H252" s="247"/>
      <c r="I252" s="247"/>
      <c r="J252" s="247"/>
      <c r="K252" s="247"/>
      <c r="L252" s="247"/>
      <c r="M252" s="247"/>
      <c r="N252" s="251"/>
      <c r="O252" s="247"/>
      <c r="P252" s="247"/>
      <c r="Q252" s="247"/>
      <c r="R252" s="247"/>
      <c r="S252" s="251"/>
      <c r="T252" s="247"/>
    </row>
    <row r="253" spans="1:20" hidden="1">
      <c r="B253" s="253" t="s">
        <v>343</v>
      </c>
      <c r="C253" s="180"/>
      <c r="D253" s="247"/>
      <c r="E253" s="247"/>
      <c r="F253" s="247"/>
      <c r="G253" s="247"/>
      <c r="H253" s="247"/>
      <c r="I253" s="247"/>
      <c r="J253" s="247"/>
      <c r="K253" s="247"/>
      <c r="L253" s="247"/>
      <c r="M253" s="247"/>
      <c r="N253" s="251"/>
      <c r="O253" s="247"/>
      <c r="P253" s="247"/>
      <c r="Q253" s="247"/>
      <c r="R253" s="247"/>
      <c r="S253" s="251"/>
      <c r="T253" s="247"/>
    </row>
    <row r="254" spans="1:20" hidden="1"/>
    <row r="255" spans="1:20" hidden="1"/>
  </sheetData>
  <mergeCells count="40">
    <mergeCell ref="N12:T12"/>
    <mergeCell ref="A7:V7"/>
    <mergeCell ref="J10:M10"/>
    <mergeCell ref="N10:V10"/>
    <mergeCell ref="E11:G11"/>
    <mergeCell ref="N11:T11"/>
    <mergeCell ref="C69:C70"/>
    <mergeCell ref="C80:C81"/>
    <mergeCell ref="C103:C104"/>
    <mergeCell ref="A119:M119"/>
    <mergeCell ref="C16:C18"/>
    <mergeCell ref="C27:C28"/>
    <mergeCell ref="C29:C30"/>
    <mergeCell ref="C38:C39"/>
    <mergeCell ref="C49:C50"/>
    <mergeCell ref="C60:C61"/>
    <mergeCell ref="C191:G191"/>
    <mergeCell ref="J191:K191"/>
    <mergeCell ref="C131:G131"/>
    <mergeCell ref="J131:K131"/>
    <mergeCell ref="C149:G149"/>
    <mergeCell ref="J149:K149"/>
    <mergeCell ref="C160:G160"/>
    <mergeCell ref="J160:K160"/>
    <mergeCell ref="C234:G234"/>
    <mergeCell ref="J234:K234"/>
    <mergeCell ref="C245:G245"/>
    <mergeCell ref="J245:K245"/>
    <mergeCell ref="C141:G141"/>
    <mergeCell ref="J141:K141"/>
    <mergeCell ref="C201:G201"/>
    <mergeCell ref="J201:K201"/>
    <mergeCell ref="C212:G212"/>
    <mergeCell ref="J212:K212"/>
    <mergeCell ref="C223:G223"/>
    <mergeCell ref="J223:K223"/>
    <mergeCell ref="C170:G170"/>
    <mergeCell ref="J170:K170"/>
    <mergeCell ref="C180:G180"/>
    <mergeCell ref="J180:K180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4"/>
  <sheetViews>
    <sheetView topLeftCell="A17" workbookViewId="0">
      <selection sqref="A1:L32"/>
    </sheetView>
  </sheetViews>
  <sheetFormatPr defaultColWidth="9.109375" defaultRowHeight="13.8"/>
  <cols>
    <col min="1" max="1" width="19.44140625" style="184" customWidth="1"/>
    <col min="2" max="2" width="26.33203125" style="184" customWidth="1"/>
    <col min="3" max="3" width="16.88671875" style="184" customWidth="1"/>
    <col min="4" max="4" width="12.33203125" style="184" customWidth="1"/>
    <col min="5" max="5" width="18.33203125" style="184" hidden="1" customWidth="1"/>
    <col min="6" max="6" width="13.33203125" style="184" hidden="1" customWidth="1"/>
    <col min="7" max="7" width="14" style="184" customWidth="1"/>
    <col min="8" max="9" width="12.6640625" style="184" customWidth="1"/>
    <col min="10" max="10" width="17.33203125" style="184" customWidth="1"/>
    <col min="11" max="11" width="16" style="184" customWidth="1"/>
    <col min="12" max="12" width="21.33203125" style="184" customWidth="1"/>
    <col min="13" max="13" width="13.5546875" style="184" hidden="1" customWidth="1"/>
    <col min="14" max="14" width="16.6640625" style="184" hidden="1" customWidth="1"/>
    <col min="15" max="16" width="15.44140625" style="184" hidden="1" customWidth="1"/>
    <col min="17" max="19" width="14.6640625" style="184" customWidth="1"/>
    <col min="20" max="20" width="14.33203125" style="184" customWidth="1"/>
    <col min="21" max="21" width="14.109375" style="184" customWidth="1"/>
    <col min="22" max="22" width="14.88671875" style="184" bestFit="1" customWidth="1"/>
    <col min="23" max="23" width="15.33203125" style="184" customWidth="1"/>
    <col min="24" max="24" width="13.5546875" style="184" bestFit="1" customWidth="1"/>
    <col min="25" max="25" width="9.44140625" style="184" bestFit="1" customWidth="1"/>
    <col min="26" max="16384" width="9.109375" style="184"/>
  </cols>
  <sheetData>
    <row r="1" spans="1:22">
      <c r="K1" s="195" t="s">
        <v>297</v>
      </c>
      <c r="L1" s="192"/>
      <c r="T1" s="117"/>
    </row>
    <row r="2" spans="1:22">
      <c r="K2" s="195" t="s">
        <v>349</v>
      </c>
      <c r="L2" s="192"/>
      <c r="T2" s="117"/>
    </row>
    <row r="3" spans="1:22">
      <c r="K3" s="195" t="s">
        <v>175</v>
      </c>
      <c r="L3" s="192"/>
      <c r="T3" s="117"/>
    </row>
    <row r="4" spans="1:22">
      <c r="K4" s="195" t="s">
        <v>301</v>
      </c>
      <c r="L4" s="192"/>
      <c r="T4" s="117"/>
    </row>
    <row r="5" spans="1:22">
      <c r="A5" s="311" t="s">
        <v>207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>
      <c r="A6" s="209" t="s">
        <v>156</v>
      </c>
    </row>
    <row r="7" spans="1:22" ht="27.6">
      <c r="A7" s="237" t="s">
        <v>3</v>
      </c>
      <c r="B7" s="237" t="s">
        <v>81</v>
      </c>
      <c r="C7" s="237" t="s">
        <v>4</v>
      </c>
      <c r="D7" s="302" t="s">
        <v>5</v>
      </c>
      <c r="E7" s="302"/>
      <c r="F7" s="302"/>
      <c r="G7" s="302"/>
      <c r="H7" s="302"/>
      <c r="I7" s="303" t="s">
        <v>6</v>
      </c>
      <c r="J7" s="303" t="s">
        <v>7</v>
      </c>
      <c r="K7" s="303"/>
      <c r="L7" s="303"/>
    </row>
    <row r="8" spans="1:22" ht="27.6">
      <c r="A8" s="82"/>
      <c r="B8" s="82"/>
      <c r="C8" s="82"/>
      <c r="D8" s="238" t="s">
        <v>183</v>
      </c>
      <c r="E8" s="239" t="s">
        <v>208</v>
      </c>
      <c r="F8" s="237" t="s">
        <v>206</v>
      </c>
      <c r="G8" s="238" t="s">
        <v>205</v>
      </c>
      <c r="H8" s="238" t="s">
        <v>299</v>
      </c>
      <c r="I8" s="303"/>
      <c r="J8" s="238" t="s">
        <v>183</v>
      </c>
      <c r="K8" s="238" t="s">
        <v>205</v>
      </c>
      <c r="L8" s="238" t="s">
        <v>263</v>
      </c>
    </row>
    <row r="9" spans="1:22" ht="41.4">
      <c r="A9" s="83" t="s">
        <v>13</v>
      </c>
      <c r="B9" s="83" t="s">
        <v>14</v>
      </c>
      <c r="C9" s="237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7" t="s">
        <v>17</v>
      </c>
      <c r="J9" s="237" t="s">
        <v>17</v>
      </c>
      <c r="K9" s="237" t="s">
        <v>17</v>
      </c>
      <c r="L9" s="237" t="s">
        <v>17</v>
      </c>
      <c r="N9" s="184" t="s">
        <v>304</v>
      </c>
    </row>
    <row r="10" spans="1:22">
      <c r="A10" s="230"/>
      <c r="B10" s="83"/>
      <c r="C10" s="237"/>
      <c r="D10" s="83"/>
      <c r="E10" s="83"/>
      <c r="F10" s="83"/>
      <c r="G10" s="83"/>
      <c r="H10" s="83"/>
      <c r="I10" s="237"/>
      <c r="J10" s="237"/>
      <c r="K10" s="237"/>
      <c r="L10" s="237"/>
    </row>
    <row r="11" spans="1:22" ht="82.95" customHeight="1">
      <c r="A11" s="106" t="s">
        <v>157</v>
      </c>
      <c r="B11" s="237" t="s">
        <v>242</v>
      </c>
      <c r="C11" s="82" t="s">
        <v>177</v>
      </c>
      <c r="D11" s="229">
        <v>34111</v>
      </c>
      <c r="E11" s="229">
        <v>42405</v>
      </c>
      <c r="F11" s="229">
        <v>42405</v>
      </c>
      <c r="G11" s="229">
        <v>34111</v>
      </c>
      <c r="H11" s="229">
        <f>G11</f>
        <v>34111</v>
      </c>
      <c r="I11" s="75">
        <f>J11/H11</f>
        <v>159.16611122511799</v>
      </c>
      <c r="J11" s="75">
        <f>5403463.3+12950+12901.92</f>
        <v>5429315.2199999997</v>
      </c>
      <c r="K11" s="75">
        <f>3985975.33+1245654.41-78017.16</f>
        <v>5153612.58</v>
      </c>
      <c r="L11" s="75">
        <f t="shared" ref="L11:L19" si="0">K11</f>
        <v>5153612.58</v>
      </c>
      <c r="M11" s="210">
        <f>I11+M21</f>
        <v>159.16611122511799</v>
      </c>
      <c r="N11" s="210">
        <f>M11*H11</f>
        <v>5429315.2199999997</v>
      </c>
      <c r="Q11" s="210"/>
      <c r="R11" s="210"/>
      <c r="S11" s="210"/>
    </row>
    <row r="12" spans="1:22" ht="89.4" customHeight="1">
      <c r="A12" s="106" t="s">
        <v>157</v>
      </c>
      <c r="B12" s="237" t="s">
        <v>243</v>
      </c>
      <c r="C12" s="82" t="s">
        <v>177</v>
      </c>
      <c r="D12" s="229">
        <v>14100</v>
      </c>
      <c r="E12" s="229">
        <v>13582</v>
      </c>
      <c r="F12" s="229">
        <v>13582</v>
      </c>
      <c r="G12" s="229">
        <f>D12</f>
        <v>14100</v>
      </c>
      <c r="H12" s="229">
        <f>G12</f>
        <v>14100</v>
      </c>
      <c r="I12" s="75">
        <f t="shared" ref="I12:I17" si="1">J12/H12</f>
        <v>201.89146950354609</v>
      </c>
      <c r="J12" s="75">
        <f>2820817.8+12950+12901.92</f>
        <v>2846669.7199999997</v>
      </c>
      <c r="K12" s="75">
        <f>2209804.11+514899.21-78017.16</f>
        <v>2646686.1599999997</v>
      </c>
      <c r="L12" s="75">
        <f t="shared" si="0"/>
        <v>2646686.1599999997</v>
      </c>
      <c r="M12" s="210">
        <f>I12+M21</f>
        <v>201.89146950354609</v>
      </c>
      <c r="N12" s="210">
        <f>M12*H12</f>
        <v>2846669.7199999997</v>
      </c>
      <c r="Q12" s="210"/>
      <c r="R12" s="210"/>
      <c r="S12" s="210"/>
      <c r="U12" s="231"/>
    </row>
    <row r="13" spans="1:22" ht="89.4" customHeight="1">
      <c r="A13" s="106" t="s">
        <v>157</v>
      </c>
      <c r="B13" s="237" t="s">
        <v>310</v>
      </c>
      <c r="C13" s="82" t="s">
        <v>177</v>
      </c>
      <c r="D13" s="229">
        <v>4666</v>
      </c>
      <c r="E13" s="229"/>
      <c r="F13" s="229"/>
      <c r="G13" s="229">
        <v>4873</v>
      </c>
      <c r="H13" s="229">
        <v>4873</v>
      </c>
      <c r="I13" s="75">
        <f t="shared" si="1"/>
        <v>191.50385799302279</v>
      </c>
      <c r="J13" s="75">
        <f>907346.38+12950+12901.92</f>
        <v>933198.3</v>
      </c>
      <c r="K13" s="75">
        <f>1034863.65+170391.47-78017.16</f>
        <v>1127237.9600000002</v>
      </c>
      <c r="L13" s="75">
        <f t="shared" si="0"/>
        <v>1127237.9600000002</v>
      </c>
      <c r="M13" s="210"/>
      <c r="N13" s="210"/>
      <c r="Q13" s="210"/>
      <c r="R13" s="210"/>
      <c r="S13" s="210"/>
    </row>
    <row r="14" spans="1:22" ht="89.4" customHeight="1">
      <c r="A14" s="106" t="s">
        <v>157</v>
      </c>
      <c r="B14" s="237" t="s">
        <v>244</v>
      </c>
      <c r="C14" s="82" t="s">
        <v>177</v>
      </c>
      <c r="D14" s="229">
        <v>14204</v>
      </c>
      <c r="E14" s="229">
        <v>13271</v>
      </c>
      <c r="F14" s="229">
        <v>13271</v>
      </c>
      <c r="G14" s="229">
        <f>D14</f>
        <v>14204</v>
      </c>
      <c r="H14" s="229">
        <f>G14</f>
        <v>14204</v>
      </c>
      <c r="I14" s="75">
        <f t="shared" si="1"/>
        <v>222.33967051534776</v>
      </c>
      <c r="J14" s="75">
        <f>3132260.76+12950+12901.92</f>
        <v>3158112.6799999997</v>
      </c>
      <c r="K14" s="75">
        <f>2921947.89+518697.05-78017.16</f>
        <v>3362627.78</v>
      </c>
      <c r="L14" s="75">
        <f t="shared" si="0"/>
        <v>3362627.78</v>
      </c>
      <c r="M14" s="210">
        <f>I14+M21</f>
        <v>222.33967051534776</v>
      </c>
      <c r="N14" s="210">
        <f t="shared" ref="N14" si="2">M14*H14</f>
        <v>3158112.6799999997</v>
      </c>
      <c r="Q14" s="210"/>
      <c r="R14" s="210"/>
      <c r="S14" s="210"/>
    </row>
    <row r="15" spans="1:22" ht="94.2" customHeight="1">
      <c r="A15" s="106"/>
      <c r="B15" s="237" t="s">
        <v>245</v>
      </c>
      <c r="C15" s="82" t="s">
        <v>177</v>
      </c>
      <c r="D15" s="229">
        <v>57542</v>
      </c>
      <c r="E15" s="229">
        <v>49974</v>
      </c>
      <c r="F15" s="229">
        <v>49974</v>
      </c>
      <c r="G15" s="229">
        <f>D15</f>
        <v>57542</v>
      </c>
      <c r="H15" s="229">
        <f>G15</f>
        <v>57542</v>
      </c>
      <c r="I15" s="75">
        <f t="shared" si="1"/>
        <v>196.43487191964132</v>
      </c>
      <c r="J15" s="75">
        <f>11277403.48+12950+12901.92</f>
        <v>11303255.4</v>
      </c>
      <c r="K15" s="75">
        <f>8865940.63+2101300.04-78017.16</f>
        <v>10889223.510000002</v>
      </c>
      <c r="L15" s="75">
        <f t="shared" si="0"/>
        <v>10889223.510000002</v>
      </c>
      <c r="M15" s="210">
        <f>I15+M21</f>
        <v>196.43487191964132</v>
      </c>
      <c r="N15" s="210">
        <f>M15*H15</f>
        <v>11303255.4</v>
      </c>
      <c r="O15" s="210"/>
      <c r="Q15" s="210"/>
      <c r="R15" s="210"/>
      <c r="S15" s="210"/>
      <c r="T15" s="231"/>
    </row>
    <row r="16" spans="1:22" ht="94.2" customHeight="1">
      <c r="A16" s="238" t="s">
        <v>160</v>
      </c>
      <c r="B16" s="237" t="s">
        <v>241</v>
      </c>
      <c r="C16" s="82" t="s">
        <v>177</v>
      </c>
      <c r="D16" s="229">
        <v>43753</v>
      </c>
      <c r="E16" s="229">
        <v>39042</v>
      </c>
      <c r="F16" s="229">
        <v>39042</v>
      </c>
      <c r="G16" s="229">
        <f>D16</f>
        <v>43753</v>
      </c>
      <c r="H16" s="229">
        <f>G16</f>
        <v>43753</v>
      </c>
      <c r="I16" s="75">
        <f t="shared" si="1"/>
        <v>152.82937490000685</v>
      </c>
      <c r="J16" s="75">
        <f>6660891.72+12950+12901.92</f>
        <v>6686743.6399999997</v>
      </c>
      <c r="K16" s="75">
        <f>3583483+1597757.82-78017.15</f>
        <v>5103223.67</v>
      </c>
      <c r="L16" s="75">
        <f>K16</f>
        <v>5103223.67</v>
      </c>
      <c r="M16" s="210">
        <v>18548537.66</v>
      </c>
      <c r="N16" s="227">
        <f>1891/125971</f>
        <v>1.5011391510744536E-2</v>
      </c>
      <c r="O16" s="210"/>
      <c r="Q16" s="276"/>
      <c r="R16" s="210"/>
      <c r="S16" s="210"/>
      <c r="T16" s="231"/>
    </row>
    <row r="17" spans="1:20" ht="42.6" customHeight="1">
      <c r="A17" s="106" t="s">
        <v>250</v>
      </c>
      <c r="B17" s="237" t="s">
        <v>235</v>
      </c>
      <c r="C17" s="82"/>
      <c r="D17" s="181">
        <f>SUM(D11:D16)</f>
        <v>168376</v>
      </c>
      <c r="E17" s="181">
        <f t="shared" ref="E17:H17" si="3">SUM(E11:E16)</f>
        <v>158274</v>
      </c>
      <c r="F17" s="181">
        <f t="shared" si="3"/>
        <v>158274</v>
      </c>
      <c r="G17" s="181">
        <f t="shared" si="3"/>
        <v>168583</v>
      </c>
      <c r="H17" s="181">
        <f t="shared" si="3"/>
        <v>168583</v>
      </c>
      <c r="I17" s="75">
        <f t="shared" si="1"/>
        <v>180.07328710486823</v>
      </c>
      <c r="J17" s="75">
        <f>SUM(J11:J16)</f>
        <v>30357294.960000001</v>
      </c>
      <c r="K17" s="75">
        <f t="shared" ref="K17:L17" si="4">SUM(K11:K16)</f>
        <v>28282611.660000004</v>
      </c>
      <c r="L17" s="75">
        <f t="shared" si="4"/>
        <v>28282611.660000004</v>
      </c>
      <c r="M17" s="210">
        <v>22132020.66</v>
      </c>
      <c r="N17" s="210">
        <f>M17-J17</f>
        <v>-8225274.3000000007</v>
      </c>
      <c r="O17" s="226">
        <f>N17/D17</f>
        <v>-48.850633700764959</v>
      </c>
      <c r="Q17" s="210"/>
      <c r="R17" s="210"/>
      <c r="S17" s="210"/>
      <c r="T17" s="231"/>
    </row>
    <row r="18" spans="1:20" ht="54.6" customHeight="1">
      <c r="A18" s="106" t="s">
        <v>157</v>
      </c>
      <c r="B18" s="237" t="s">
        <v>249</v>
      </c>
      <c r="C18" s="82" t="s">
        <v>234</v>
      </c>
      <c r="D18" s="181">
        <v>1</v>
      </c>
      <c r="E18" s="181">
        <v>1</v>
      </c>
      <c r="F18" s="181">
        <v>1</v>
      </c>
      <c r="G18" s="181">
        <v>1</v>
      </c>
      <c r="H18" s="181">
        <v>1</v>
      </c>
      <c r="I18" s="75">
        <f>110286.73*90.5533%-0.69</f>
        <v>99867.583477089982</v>
      </c>
      <c r="J18" s="75">
        <f>D18*I18</f>
        <v>99867.583477089982</v>
      </c>
      <c r="K18" s="75">
        <f>J18</f>
        <v>99867.583477089982</v>
      </c>
      <c r="L18" s="75">
        <f t="shared" si="0"/>
        <v>99867.583477089982</v>
      </c>
      <c r="M18" s="210"/>
      <c r="N18" s="210"/>
      <c r="P18" s="210"/>
      <c r="Q18" s="210"/>
    </row>
    <row r="19" spans="1:20" ht="48.6" customHeight="1">
      <c r="A19" s="106"/>
      <c r="B19" s="237" t="s">
        <v>246</v>
      </c>
      <c r="C19" s="82" t="s">
        <v>234</v>
      </c>
      <c r="D19" s="181">
        <v>2</v>
      </c>
      <c r="E19" s="181">
        <v>2</v>
      </c>
      <c r="F19" s="181">
        <v>2</v>
      </c>
      <c r="G19" s="181">
        <v>2</v>
      </c>
      <c r="H19" s="181">
        <v>2</v>
      </c>
      <c r="I19" s="75">
        <f>1551307.77*90.5533%</f>
        <v>1404760.3788914098</v>
      </c>
      <c r="J19" s="75">
        <f>D19*I19</f>
        <v>2809520.7577828197</v>
      </c>
      <c r="K19" s="75">
        <f>J19</f>
        <v>2809520.7577828197</v>
      </c>
      <c r="L19" s="75">
        <f t="shared" si="0"/>
        <v>2809520.7577828197</v>
      </c>
      <c r="M19" s="210"/>
      <c r="N19" s="210"/>
      <c r="P19" s="210"/>
      <c r="Q19" s="210"/>
    </row>
    <row r="20" spans="1:20" ht="41.4" customHeight="1">
      <c r="A20" s="106" t="s">
        <v>251</v>
      </c>
      <c r="B20" s="237" t="s">
        <v>236</v>
      </c>
      <c r="C20" s="82"/>
      <c r="D20" s="188">
        <f>SUM(D18:D19)</f>
        <v>3</v>
      </c>
      <c r="E20" s="188">
        <f t="shared" ref="E20:H20" si="5">SUM(E18:E19)</f>
        <v>3</v>
      </c>
      <c r="F20" s="188">
        <f t="shared" si="5"/>
        <v>3</v>
      </c>
      <c r="G20" s="188">
        <f t="shared" si="5"/>
        <v>3</v>
      </c>
      <c r="H20" s="188">
        <f t="shared" si="5"/>
        <v>3</v>
      </c>
      <c r="I20" s="75">
        <f>J20/H20</f>
        <v>969796.1137533033</v>
      </c>
      <c r="J20" s="75">
        <f t="shared" ref="J20:L20" si="6">SUM(J18:J19)</f>
        <v>2909388.3412599098</v>
      </c>
      <c r="K20" s="75">
        <f t="shared" si="6"/>
        <v>2909388.3412599098</v>
      </c>
      <c r="L20" s="75">
        <f t="shared" si="6"/>
        <v>2909388.3412599098</v>
      </c>
      <c r="M20" s="210"/>
      <c r="N20" s="213"/>
      <c r="P20" s="210"/>
      <c r="Q20" s="210"/>
    </row>
    <row r="21" spans="1:20" ht="22.95" hidden="1" customHeight="1">
      <c r="A21" s="106" t="s">
        <v>157</v>
      </c>
      <c r="B21" s="128" t="s">
        <v>300</v>
      </c>
      <c r="C21" s="180" t="s">
        <v>20</v>
      </c>
      <c r="D21" s="181">
        <f>28+6</f>
        <v>34</v>
      </c>
      <c r="E21" s="181">
        <f t="shared" ref="E21:H21" si="7">28+6</f>
        <v>34</v>
      </c>
      <c r="F21" s="181">
        <f t="shared" si="7"/>
        <v>34</v>
      </c>
      <c r="G21" s="181">
        <f t="shared" si="7"/>
        <v>34</v>
      </c>
      <c r="H21" s="181">
        <f t="shared" si="7"/>
        <v>34</v>
      </c>
      <c r="I21" s="75"/>
      <c r="J21" s="75"/>
      <c r="K21" s="75"/>
      <c r="L21" s="75"/>
      <c r="M21" s="210"/>
      <c r="P21" s="210"/>
    </row>
    <row r="22" spans="1:20" ht="22.95" hidden="1" customHeight="1">
      <c r="A22" s="106"/>
      <c r="B22" s="128" t="s">
        <v>309</v>
      </c>
      <c r="C22" s="180" t="s">
        <v>20</v>
      </c>
      <c r="D22" s="181"/>
      <c r="E22" s="181"/>
      <c r="F22" s="181"/>
      <c r="G22" s="181"/>
      <c r="H22" s="181"/>
      <c r="I22" s="75"/>
      <c r="J22" s="156"/>
      <c r="K22" s="75"/>
      <c r="L22" s="75"/>
      <c r="M22" s="210"/>
      <c r="P22" s="210"/>
    </row>
    <row r="23" spans="1:20" ht="18" hidden="1" customHeight="1">
      <c r="A23" s="106"/>
      <c r="B23" s="182" t="s">
        <v>298</v>
      </c>
      <c r="C23" s="180" t="s">
        <v>20</v>
      </c>
      <c r="D23" s="181">
        <f>21+11</f>
        <v>32</v>
      </c>
      <c r="E23" s="181">
        <f t="shared" ref="E23:H24" si="8">21+11</f>
        <v>32</v>
      </c>
      <c r="F23" s="181">
        <f t="shared" si="8"/>
        <v>32</v>
      </c>
      <c r="G23" s="181">
        <f t="shared" si="8"/>
        <v>32</v>
      </c>
      <c r="H23" s="181">
        <f t="shared" si="8"/>
        <v>32</v>
      </c>
      <c r="I23" s="75"/>
      <c r="J23" s="75"/>
      <c r="K23" s="75"/>
      <c r="L23" s="75"/>
      <c r="M23" s="210"/>
      <c r="P23" s="210"/>
    </row>
    <row r="24" spans="1:20" hidden="1">
      <c r="A24" s="180"/>
      <c r="B24" s="182" t="s">
        <v>229</v>
      </c>
      <c r="C24" s="180" t="s">
        <v>20</v>
      </c>
      <c r="D24" s="181">
        <f>21+11</f>
        <v>32</v>
      </c>
      <c r="E24" s="181">
        <f t="shared" si="8"/>
        <v>32</v>
      </c>
      <c r="F24" s="181">
        <f t="shared" si="8"/>
        <v>32</v>
      </c>
      <c r="G24" s="181">
        <f t="shared" si="8"/>
        <v>32</v>
      </c>
      <c r="H24" s="181">
        <f t="shared" si="8"/>
        <v>32</v>
      </c>
      <c r="I24" s="75"/>
      <c r="J24" s="75"/>
      <c r="K24" s="75">
        <f>J24</f>
        <v>0</v>
      </c>
      <c r="L24" s="75">
        <f>K24</f>
        <v>0</v>
      </c>
      <c r="M24" s="210"/>
    </row>
    <row r="25" spans="1:20">
      <c r="A25" s="328" t="s">
        <v>230</v>
      </c>
      <c r="B25" s="329"/>
      <c r="C25" s="330"/>
      <c r="D25" s="181"/>
      <c r="E25" s="181"/>
      <c r="F25" s="181"/>
      <c r="G25" s="181"/>
      <c r="H25" s="181"/>
      <c r="I25" s="75"/>
      <c r="J25" s="78">
        <f>J17+J20+J21+J23+J24+J22</f>
        <v>33266683.301259913</v>
      </c>
      <c r="K25" s="78">
        <f t="shared" ref="K25:L25" si="9">K17+K20+K21+K23+K24</f>
        <v>31192000.001259916</v>
      </c>
      <c r="L25" s="78">
        <f t="shared" si="9"/>
        <v>31192000.001259916</v>
      </c>
      <c r="M25" s="210"/>
      <c r="N25" s="210"/>
      <c r="O25" s="211"/>
      <c r="Q25" s="210"/>
    </row>
    <row r="26" spans="1:20" ht="26.4" customHeight="1">
      <c r="J26" s="210"/>
      <c r="M26" s="210"/>
      <c r="N26" s="210"/>
    </row>
    <row r="27" spans="1:20">
      <c r="J27" s="198"/>
      <c r="K27" s="202"/>
      <c r="L27" s="202"/>
    </row>
    <row r="28" spans="1:20">
      <c r="M28" s="212"/>
    </row>
    <row r="29" spans="1:20">
      <c r="J29" s="210"/>
      <c r="K29" s="210"/>
      <c r="Q29" s="210"/>
    </row>
    <row r="30" spans="1:20">
      <c r="A30" s="184" t="s">
        <v>233</v>
      </c>
      <c r="J30" s="210"/>
      <c r="K30" s="275"/>
    </row>
    <row r="31" spans="1:20">
      <c r="A31" s="184" t="s">
        <v>178</v>
      </c>
      <c r="J31" s="210"/>
      <c r="K31" s="210"/>
      <c r="L31" s="210"/>
    </row>
    <row r="32" spans="1:20">
      <c r="J32" s="210"/>
      <c r="K32" s="210"/>
      <c r="L32" s="210"/>
    </row>
    <row r="33" spans="10:12">
      <c r="J33" s="210"/>
      <c r="K33" s="210"/>
      <c r="L33" s="210"/>
    </row>
    <row r="34" spans="10:12">
      <c r="J34" s="210"/>
      <c r="K34" s="210"/>
      <c r="L34" s="210"/>
    </row>
    <row r="35" spans="10:12">
      <c r="J35" s="198"/>
    </row>
    <row r="36" spans="10:12">
      <c r="J36" s="210"/>
      <c r="K36" s="210"/>
      <c r="L36" s="210"/>
    </row>
    <row r="37" spans="10:12">
      <c r="J37" s="210"/>
      <c r="K37" s="210"/>
      <c r="L37" s="210"/>
    </row>
    <row r="38" spans="10:12">
      <c r="J38" s="210"/>
      <c r="K38" s="210"/>
      <c r="L38" s="210"/>
    </row>
    <row r="39" spans="10:12">
      <c r="J39" s="210"/>
      <c r="K39" s="210"/>
      <c r="L39" s="210"/>
    </row>
    <row r="40" spans="10:12">
      <c r="J40" s="210"/>
      <c r="K40" s="210"/>
      <c r="L40" s="210"/>
    </row>
    <row r="41" spans="10:12">
      <c r="J41" s="210"/>
      <c r="K41" s="210"/>
      <c r="L41" s="210"/>
    </row>
    <row r="42" spans="10:12">
      <c r="J42" s="210"/>
      <c r="K42" s="210"/>
      <c r="L42" s="210"/>
    </row>
    <row r="43" spans="10:12">
      <c r="J43" s="210"/>
      <c r="K43" s="210"/>
      <c r="L43" s="210"/>
    </row>
    <row r="44" spans="10:12">
      <c r="J44" s="210"/>
      <c r="K44" s="210"/>
      <c r="L44" s="210"/>
    </row>
    <row r="45" spans="10:12">
      <c r="J45" s="210"/>
      <c r="K45" s="210"/>
      <c r="L45" s="210"/>
    </row>
    <row r="46" spans="10:12">
      <c r="J46" s="210"/>
      <c r="K46" s="210"/>
      <c r="L46" s="210"/>
    </row>
    <row r="47" spans="10:12">
      <c r="J47" s="210"/>
      <c r="K47" s="210"/>
      <c r="L47" s="210"/>
    </row>
    <row r="48" spans="10:12">
      <c r="J48" s="210"/>
      <c r="K48" s="210"/>
      <c r="L48" s="210"/>
    </row>
    <row r="49" spans="9:12">
      <c r="J49" s="210"/>
      <c r="K49" s="210"/>
      <c r="L49" s="210"/>
    </row>
    <row r="50" spans="9:12">
      <c r="J50" s="210"/>
      <c r="K50" s="210"/>
      <c r="L50" s="210"/>
    </row>
    <row r="51" spans="9:12">
      <c r="J51" s="210"/>
      <c r="K51" s="210"/>
      <c r="L51" s="210"/>
    </row>
    <row r="52" spans="9:12">
      <c r="J52" s="210"/>
      <c r="K52" s="210"/>
      <c r="L52" s="210"/>
    </row>
    <row r="53" spans="9:12">
      <c r="J53" s="210"/>
      <c r="K53" s="210"/>
      <c r="L53" s="210"/>
    </row>
    <row r="54" spans="9:12" s="202" customFormat="1">
      <c r="J54" s="198"/>
    </row>
    <row r="55" spans="9:12" s="202" customFormat="1">
      <c r="J55" s="198">
        <v>8088944</v>
      </c>
      <c r="K55" s="198">
        <v>6148700</v>
      </c>
      <c r="L55" s="198"/>
    </row>
    <row r="56" spans="9:12" s="202" customFormat="1">
      <c r="J56" s="198">
        <f>J55/I63</f>
        <v>48.040955955718154</v>
      </c>
      <c r="K56" s="198">
        <f>K55/I63</f>
        <v>36.517674727989736</v>
      </c>
      <c r="L56" s="198"/>
    </row>
    <row r="57" spans="9:12" s="202" customFormat="1">
      <c r="I57" s="202">
        <f t="shared" ref="I57:I62" si="10">D11</f>
        <v>34111</v>
      </c>
      <c r="J57" s="198">
        <f>I57*$J$56</f>
        <v>1638725.0486055019</v>
      </c>
      <c r="K57" s="198">
        <f>I57*$K$56</f>
        <v>1245654.4026464578</v>
      </c>
    </row>
    <row r="58" spans="9:12" s="202" customFormat="1">
      <c r="I58" s="202">
        <f t="shared" si="10"/>
        <v>14100</v>
      </c>
      <c r="J58" s="198">
        <f t="shared" ref="J58:J62" si="11">I58*$J$56</f>
        <v>677377.47897562594</v>
      </c>
      <c r="K58" s="198">
        <f t="shared" ref="K58:K62" si="12">I58*$K$56</f>
        <v>514899.21366465528</v>
      </c>
    </row>
    <row r="59" spans="9:12" s="202" customFormat="1">
      <c r="I59" s="202">
        <f t="shared" si="10"/>
        <v>4666</v>
      </c>
      <c r="J59" s="198">
        <f t="shared" si="11"/>
        <v>224159.10048938091</v>
      </c>
      <c r="K59" s="198">
        <f t="shared" si="12"/>
        <v>170391.4702808001</v>
      </c>
    </row>
    <row r="60" spans="9:12" s="202" customFormat="1">
      <c r="I60" s="202">
        <f t="shared" si="10"/>
        <v>14204</v>
      </c>
      <c r="J60" s="198">
        <f t="shared" si="11"/>
        <v>682373.7383950206</v>
      </c>
      <c r="K60" s="198">
        <f t="shared" si="12"/>
        <v>518697.05183636618</v>
      </c>
    </row>
    <row r="61" spans="9:12" s="202" customFormat="1">
      <c r="I61" s="202">
        <f t="shared" si="10"/>
        <v>57542</v>
      </c>
      <c r="J61" s="198">
        <f t="shared" si="11"/>
        <v>2764372.6876039342</v>
      </c>
      <c r="K61" s="198">
        <f t="shared" si="12"/>
        <v>2101300.0391979855</v>
      </c>
    </row>
    <row r="62" spans="9:12" s="202" customFormat="1">
      <c r="I62" s="202">
        <f t="shared" si="10"/>
        <v>43753</v>
      </c>
      <c r="J62" s="198">
        <f t="shared" si="11"/>
        <v>2101935.9459305364</v>
      </c>
      <c r="K62" s="198">
        <f t="shared" si="12"/>
        <v>1597757.8223737348</v>
      </c>
    </row>
    <row r="63" spans="9:12" s="202" customFormat="1">
      <c r="I63" s="202">
        <f>SUM(I57:I62)</f>
        <v>168376</v>
      </c>
      <c r="J63" s="198">
        <f>SUM(J57:J62)</f>
        <v>8088944</v>
      </c>
      <c r="K63" s="198">
        <f>SUM(K57:K62)</f>
        <v>6148700</v>
      </c>
    </row>
    <row r="64" spans="9:12" s="202" customFormat="1">
      <c r="J64" s="198"/>
    </row>
  </sheetData>
  <mergeCells count="5">
    <mergeCell ref="A5:L5"/>
    <mergeCell ref="D7:H7"/>
    <mergeCell ref="I7:I8"/>
    <mergeCell ref="J7:L7"/>
    <mergeCell ref="A25:C25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Студеникина</cp:lastModifiedBy>
  <cp:lastPrinted>2020-09-01T10:02:32Z</cp:lastPrinted>
  <dcterms:created xsi:type="dcterms:W3CDTF">2018-11-21T04:22:49Z</dcterms:created>
  <dcterms:modified xsi:type="dcterms:W3CDTF">2020-09-01T10:38:43Z</dcterms:modified>
</cp:coreProperties>
</file>