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САДЫ" sheetId="12" r:id="rId4"/>
    <sheet name="ДОП ДДТ" sheetId="11" r:id="rId5"/>
    <sheet name="Лист2" sheetId="13" r:id="rId6"/>
  </sheets>
  <calcPr calcId="124519"/>
</workbook>
</file>

<file path=xl/calcChain.xml><?xml version="1.0" encoding="utf-8"?>
<calcChain xmlns="http://schemas.openxmlformats.org/spreadsheetml/2006/main">
  <c r="I27" i="11"/>
  <c r="H18"/>
  <c r="I12"/>
  <c r="I13"/>
  <c r="I14"/>
  <c r="I15"/>
  <c r="I16"/>
  <c r="J16"/>
  <c r="J15"/>
  <c r="J14"/>
  <c r="J13"/>
  <c r="J12"/>
  <c r="I11"/>
  <c r="J11"/>
  <c r="I17"/>
  <c r="L26" l="1"/>
  <c r="E24" l="1"/>
  <c r="F24"/>
  <c r="G24"/>
  <c r="H24"/>
  <c r="K24"/>
  <c r="L24"/>
  <c r="D24"/>
  <c r="J23"/>
  <c r="J24" s="1"/>
  <c r="J22"/>
  <c r="J21"/>
  <c r="J20"/>
  <c r="J19"/>
  <c r="J18"/>
  <c r="T122" i="12"/>
  <c r="Q122"/>
  <c r="O122"/>
  <c r="V122"/>
  <c r="U122"/>
  <c r="U70"/>
  <c r="T114"/>
  <c r="U116"/>
  <c r="U108"/>
  <c r="T98"/>
  <c r="U101"/>
  <c r="T100"/>
  <c r="U93"/>
  <c r="T90"/>
  <c r="J17" i="11" l="1"/>
  <c r="V94" i="12"/>
  <c r="T94"/>
  <c r="U83"/>
  <c r="V82"/>
  <c r="V85"/>
  <c r="T85"/>
  <c r="T82"/>
  <c r="T75"/>
  <c r="U62" l="1"/>
  <c r="N60"/>
  <c r="N61"/>
  <c r="N62"/>
  <c r="N59"/>
  <c r="L52"/>
  <c r="L50"/>
  <c r="L51"/>
  <c r="L49"/>
  <c r="O52"/>
  <c r="O49"/>
  <c r="U50"/>
  <c r="U40"/>
  <c r="U31"/>
  <c r="T26"/>
  <c r="O31"/>
  <c r="O27"/>
  <c r="O29"/>
  <c r="O26"/>
  <c r="T37" l="1"/>
  <c r="N38"/>
  <c r="N37"/>
  <c r="N31"/>
  <c r="U17"/>
  <c r="N113" i="4"/>
  <c r="N103"/>
  <c r="O102"/>
  <c r="J102"/>
  <c r="O103"/>
  <c r="N102"/>
  <c r="O113"/>
  <c r="L84" i="12" l="1"/>
  <c r="L85"/>
  <c r="M85" s="1"/>
  <c r="L86"/>
  <c r="L83"/>
  <c r="L81"/>
  <c r="L82"/>
  <c r="L80"/>
  <c r="Q82"/>
  <c r="O50"/>
  <c r="O51"/>
  <c r="O15"/>
  <c r="O20"/>
  <c r="O19"/>
  <c r="O18"/>
  <c r="O17"/>
  <c r="O16"/>
  <c r="K20"/>
  <c r="K17"/>
  <c r="K18"/>
  <c r="K19"/>
  <c r="K16"/>
  <c r="M11"/>
  <c r="N20"/>
  <c r="N19"/>
  <c r="N18"/>
  <c r="N17"/>
  <c r="N16"/>
  <c r="J20"/>
  <c r="J19"/>
  <c r="J18"/>
  <c r="J17"/>
  <c r="J16"/>
  <c r="O106"/>
  <c r="O107"/>
  <c r="N90"/>
  <c r="N101"/>
  <c r="J100"/>
  <c r="J101"/>
  <c r="N100"/>
  <c r="N95"/>
  <c r="N94"/>
  <c r="N93"/>
  <c r="N92"/>
  <c r="N91"/>
  <c r="J95"/>
  <c r="J94"/>
  <c r="J93"/>
  <c r="J92"/>
  <c r="J91"/>
  <c r="N79"/>
  <c r="N81"/>
  <c r="N86"/>
  <c r="N85"/>
  <c r="N84"/>
  <c r="N83"/>
  <c r="N82"/>
  <c r="N80"/>
  <c r="J86"/>
  <c r="J85"/>
  <c r="J84"/>
  <c r="J83"/>
  <c r="J82"/>
  <c r="J81"/>
  <c r="J80"/>
  <c r="G87"/>
  <c r="N26"/>
  <c r="N30"/>
  <c r="N29"/>
  <c r="N28"/>
  <c r="N27"/>
  <c r="N75"/>
  <c r="N74"/>
  <c r="N71"/>
  <c r="N70"/>
  <c r="N69"/>
  <c r="J75"/>
  <c r="J74"/>
  <c r="J71"/>
  <c r="J70"/>
  <c r="J69"/>
  <c r="G76"/>
  <c r="J31"/>
  <c r="J30"/>
  <c r="J29"/>
  <c r="J28"/>
  <c r="J27"/>
  <c r="X20"/>
  <c r="N15" l="1"/>
  <c r="L116"/>
  <c r="L115"/>
  <c r="U107"/>
  <c r="U106"/>
  <c r="L108"/>
  <c r="L107"/>
  <c r="L106"/>
  <c r="O108"/>
  <c r="U100"/>
  <c r="Y98"/>
  <c r="L101"/>
  <c r="L100"/>
  <c r="O100"/>
  <c r="L87"/>
  <c r="L95"/>
  <c r="L93"/>
  <c r="L92"/>
  <c r="L91"/>
  <c r="G96"/>
  <c r="Q83"/>
  <c r="Q80"/>
  <c r="Q81"/>
  <c r="L71"/>
  <c r="L70"/>
  <c r="L69"/>
  <c r="O70"/>
  <c r="L62"/>
  <c r="L61"/>
  <c r="L60"/>
  <c r="O62"/>
  <c r="O60"/>
  <c r="O61"/>
  <c r="U39"/>
  <c r="U38"/>
  <c r="Y36"/>
  <c r="L20"/>
  <c r="L19"/>
  <c r="L17"/>
  <c r="L18"/>
  <c r="L16"/>
  <c r="L22"/>
  <c r="H21"/>
  <c r="I21"/>
  <c r="G21"/>
  <c r="E21"/>
  <c r="F21"/>
  <c r="G34"/>
  <c r="L40"/>
  <c r="L39"/>
  <c r="L38"/>
  <c r="U45"/>
  <c r="L31"/>
  <c r="L28"/>
  <c r="L29"/>
  <c r="L30"/>
  <c r="L27"/>
  <c r="W14"/>
  <c r="Q79" l="1"/>
  <c r="Q78" s="1"/>
  <c r="L21"/>
  <c r="W175" i="4" l="1"/>
  <c r="T114"/>
  <c r="M114"/>
  <c r="M123"/>
  <c r="M125"/>
  <c r="M132"/>
  <c r="M134"/>
  <c r="M137"/>
  <c r="T81"/>
  <c r="M81"/>
  <c r="M89"/>
  <c r="M91"/>
  <c r="M96"/>
  <c r="M98"/>
  <c r="M102"/>
  <c r="G113"/>
  <c r="T47"/>
  <c r="M47"/>
  <c r="M55"/>
  <c r="M57"/>
  <c r="M64"/>
  <c r="M66"/>
  <c r="M69"/>
  <c r="T12"/>
  <c r="M12"/>
  <c r="M22"/>
  <c r="M24"/>
  <c r="M29"/>
  <c r="M31"/>
  <c r="M35"/>
  <c r="T187"/>
  <c r="R187"/>
  <c r="R188"/>
  <c r="R193"/>
  <c r="R196"/>
  <c r="R197"/>
  <c r="R204"/>
  <c r="T149"/>
  <c r="T177"/>
  <c r="X176"/>
  <c r="G186"/>
  <c r="M149"/>
  <c r="M158"/>
  <c r="M161"/>
  <c r="M162"/>
  <c r="M167"/>
  <c r="M170"/>
  <c r="M171"/>
  <c r="M174"/>
  <c r="H186"/>
  <c r="O116" i="12"/>
  <c r="O115"/>
  <c r="K116"/>
  <c r="K115"/>
  <c r="K117"/>
  <c r="K118"/>
  <c r="K119"/>
  <c r="O105"/>
  <c r="K107"/>
  <c r="K108"/>
  <c r="K106"/>
  <c r="O111"/>
  <c r="K109"/>
  <c r="K110"/>
  <c r="O101"/>
  <c r="K101"/>
  <c r="K100"/>
  <c r="O90"/>
  <c r="O93"/>
  <c r="O92"/>
  <c r="O91"/>
  <c r="K93"/>
  <c r="K92"/>
  <c r="K91"/>
  <c r="O82"/>
  <c r="O81"/>
  <c r="O79"/>
  <c r="O80"/>
  <c r="O83"/>
  <c r="K81"/>
  <c r="K82"/>
  <c r="K83"/>
  <c r="K80"/>
  <c r="O71"/>
  <c r="O69"/>
  <c r="K70"/>
  <c r="K71"/>
  <c r="K69"/>
  <c r="K72"/>
  <c r="K73"/>
  <c r="K61"/>
  <c r="K62"/>
  <c r="K60"/>
  <c r="K63"/>
  <c r="K64"/>
  <c r="K49"/>
  <c r="K50"/>
  <c r="K51"/>
  <c r="K52"/>
  <c r="K53"/>
  <c r="K54"/>
  <c r="K55"/>
  <c r="K39"/>
  <c r="K40"/>
  <c r="K38"/>
  <c r="O38" s="1"/>
  <c r="O40"/>
  <c r="O39"/>
  <c r="K41"/>
  <c r="K42"/>
  <c r="K43"/>
  <c r="K44"/>
  <c r="O30"/>
  <c r="O28"/>
  <c r="K28"/>
  <c r="K29"/>
  <c r="K30"/>
  <c r="K31"/>
  <c r="K27"/>
  <c r="Q16" l="1"/>
  <c r="N116"/>
  <c r="N115"/>
  <c r="J116"/>
  <c r="J115"/>
  <c r="F120"/>
  <c r="G120"/>
  <c r="N108"/>
  <c r="N107"/>
  <c r="N106"/>
  <c r="J108"/>
  <c r="J107"/>
  <c r="J106"/>
  <c r="G107"/>
  <c r="G108"/>
  <c r="I87"/>
  <c r="H87"/>
  <c r="L88"/>
  <c r="M88" s="1"/>
  <c r="G28"/>
  <c r="G29"/>
  <c r="G30"/>
  <c r="G31"/>
  <c r="F34"/>
  <c r="H111"/>
  <c r="I111"/>
  <c r="H120"/>
  <c r="I120"/>
  <c r="G116"/>
  <c r="E120"/>
  <c r="G111"/>
  <c r="G92"/>
  <c r="G93"/>
  <c r="G94"/>
  <c r="G95"/>
  <c r="G86"/>
  <c r="G81"/>
  <c r="G82"/>
  <c r="G83"/>
  <c r="G84"/>
  <c r="G85"/>
  <c r="G91"/>
  <c r="G61"/>
  <c r="G62"/>
  <c r="G50"/>
  <c r="G51"/>
  <c r="G52"/>
  <c r="G39"/>
  <c r="G40"/>
  <c r="G17"/>
  <c r="G18"/>
  <c r="G19"/>
  <c r="G20"/>
  <c r="G32"/>
  <c r="G33"/>
  <c r="G72"/>
  <c r="G73"/>
  <c r="G74"/>
  <c r="G75"/>
  <c r="O186" i="4"/>
  <c r="N99" i="12" l="1"/>
  <c r="P187" i="4"/>
  <c r="P204"/>
  <c r="P197"/>
  <c r="P196"/>
  <c r="P193"/>
  <c r="P188"/>
  <c r="O187"/>
  <c r="O204"/>
  <c r="O197"/>
  <c r="O196"/>
  <c r="K193"/>
  <c r="O193" s="1"/>
  <c r="O188"/>
  <c r="O190"/>
  <c r="O191"/>
  <c r="O192"/>
  <c r="O199"/>
  <c r="O200"/>
  <c r="O202"/>
  <c r="O206"/>
  <c r="O207"/>
  <c r="O194"/>
  <c r="O209"/>
  <c r="O149"/>
  <c r="O176"/>
  <c r="O139"/>
  <c r="O104"/>
  <c r="G207"/>
  <c r="G206"/>
  <c r="G202"/>
  <c r="G200"/>
  <c r="G199"/>
  <c r="G191"/>
  <c r="G192"/>
  <c r="G193"/>
  <c r="G194"/>
  <c r="G190"/>
  <c r="J190"/>
  <c r="P149" l="1"/>
  <c r="L174"/>
  <c r="L171"/>
  <c r="L170"/>
  <c r="L167"/>
  <c r="L162"/>
  <c r="L161"/>
  <c r="L158"/>
  <c r="L149"/>
  <c r="K174"/>
  <c r="K171"/>
  <c r="O171" s="1"/>
  <c r="K170"/>
  <c r="O170" s="1"/>
  <c r="K167"/>
  <c r="K162"/>
  <c r="O162" s="1"/>
  <c r="K161"/>
  <c r="K158"/>
  <c r="K149"/>
  <c r="O168"/>
  <c r="O167"/>
  <c r="O166"/>
  <c r="O165"/>
  <c r="O164"/>
  <c r="O161"/>
  <c r="O159"/>
  <c r="O158"/>
  <c r="O157"/>
  <c r="O156"/>
  <c r="O155"/>
  <c r="O154"/>
  <c r="O153"/>
  <c r="O152"/>
  <c r="O151"/>
  <c r="L137"/>
  <c r="L134"/>
  <c r="L132"/>
  <c r="L125"/>
  <c r="L123"/>
  <c r="L114"/>
  <c r="P114" s="1"/>
  <c r="K137"/>
  <c r="K134"/>
  <c r="K132"/>
  <c r="K125"/>
  <c r="O125" s="1"/>
  <c r="K123"/>
  <c r="O123" s="1"/>
  <c r="K114"/>
  <c r="O136"/>
  <c r="O134"/>
  <c r="O132"/>
  <c r="O131"/>
  <c r="O130"/>
  <c r="O129"/>
  <c r="O128"/>
  <c r="O127"/>
  <c r="O122"/>
  <c r="O121"/>
  <c r="O120"/>
  <c r="O119"/>
  <c r="O118"/>
  <c r="O117"/>
  <c r="O116"/>
  <c r="O114"/>
  <c r="P81" l="1"/>
  <c r="L102"/>
  <c r="L98"/>
  <c r="L96"/>
  <c r="L91"/>
  <c r="L89"/>
  <c r="L81"/>
  <c r="K102"/>
  <c r="K98"/>
  <c r="O98" s="1"/>
  <c r="K96"/>
  <c r="O96" s="1"/>
  <c r="K91"/>
  <c r="K89"/>
  <c r="K81"/>
  <c r="O101"/>
  <c r="O100"/>
  <c r="O95"/>
  <c r="O94"/>
  <c r="O93"/>
  <c r="O91"/>
  <c r="O89"/>
  <c r="O88"/>
  <c r="O87"/>
  <c r="O86"/>
  <c r="O85"/>
  <c r="O84"/>
  <c r="O83"/>
  <c r="O81"/>
  <c r="L69"/>
  <c r="L66"/>
  <c r="L64"/>
  <c r="L57"/>
  <c r="L55"/>
  <c r="L47"/>
  <c r="P12"/>
  <c r="L35"/>
  <c r="L31"/>
  <c r="L29"/>
  <c r="L24"/>
  <c r="L22"/>
  <c r="L12"/>
  <c r="G173" l="1"/>
  <c r="G176"/>
  <c r="G174"/>
  <c r="G171"/>
  <c r="G170"/>
  <c r="G165"/>
  <c r="G166"/>
  <c r="G167"/>
  <c r="G168"/>
  <c r="G164"/>
  <c r="G162"/>
  <c r="G161"/>
  <c r="G158"/>
  <c r="G159"/>
  <c r="N153"/>
  <c r="J153"/>
  <c r="G153"/>
  <c r="G151"/>
  <c r="G152"/>
  <c r="G154"/>
  <c r="G155"/>
  <c r="G156"/>
  <c r="G157"/>
  <c r="G149"/>
  <c r="G139" l="1"/>
  <c r="G134"/>
  <c r="G128"/>
  <c r="G129"/>
  <c r="G130"/>
  <c r="G131"/>
  <c r="G132"/>
  <c r="G127"/>
  <c r="G125"/>
  <c r="G118"/>
  <c r="G119"/>
  <c r="G120"/>
  <c r="G121"/>
  <c r="G122"/>
  <c r="G123"/>
  <c r="G117"/>
  <c r="G114"/>
  <c r="G104"/>
  <c r="G102"/>
  <c r="G101"/>
  <c r="G100"/>
  <c r="G98"/>
  <c r="G93"/>
  <c r="G94"/>
  <c r="G95"/>
  <c r="G96"/>
  <c r="G91"/>
  <c r="U86"/>
  <c r="T86"/>
  <c r="J86"/>
  <c r="G86"/>
  <c r="N86" s="1"/>
  <c r="G83"/>
  <c r="G84"/>
  <c r="G85"/>
  <c r="G87"/>
  <c r="G88"/>
  <c r="G89"/>
  <c r="G81"/>
  <c r="E87" i="12" l="1"/>
  <c r="J62"/>
  <c r="J61"/>
  <c r="J60"/>
  <c r="N50"/>
  <c r="N52"/>
  <c r="N51"/>
  <c r="J52"/>
  <c r="J50"/>
  <c r="J49"/>
  <c r="J51"/>
  <c r="J40"/>
  <c r="J39"/>
  <c r="J38"/>
  <c r="N34"/>
  <c r="G115" l="1"/>
  <c r="F111"/>
  <c r="G106"/>
  <c r="F102"/>
  <c r="E102"/>
  <c r="G101"/>
  <c r="G100"/>
  <c r="F96"/>
  <c r="E96"/>
  <c r="F87"/>
  <c r="G80"/>
  <c r="F76"/>
  <c r="G71"/>
  <c r="G70"/>
  <c r="F65"/>
  <c r="E65"/>
  <c r="G69"/>
  <c r="G60"/>
  <c r="G49"/>
  <c r="F56"/>
  <c r="F45"/>
  <c r="G38"/>
  <c r="E34"/>
  <c r="G27"/>
  <c r="G16"/>
  <c r="K69" i="4"/>
  <c r="K66"/>
  <c r="K64"/>
  <c r="K57"/>
  <c r="K55"/>
  <c r="K47"/>
  <c r="O12"/>
  <c r="K35"/>
  <c r="K31"/>
  <c r="K29"/>
  <c r="K24"/>
  <c r="K22"/>
  <c r="K12"/>
  <c r="G102" i="12" l="1"/>
  <c r="G65"/>
  <c r="N49"/>
  <c r="G45"/>
  <c r="N40"/>
  <c r="N39"/>
  <c r="G56"/>
  <c r="O24" i="4"/>
  <c r="O31"/>
  <c r="O22"/>
  <c r="O35"/>
  <c r="O29"/>
  <c r="O47"/>
  <c r="O27"/>
  <c r="O28"/>
  <c r="O26"/>
  <c r="O15"/>
  <c r="O16"/>
  <c r="O17"/>
  <c r="O18"/>
  <c r="O19"/>
  <c r="O20"/>
  <c r="O21"/>
  <c r="O14"/>
  <c r="O71" l="1"/>
  <c r="O37"/>
  <c r="G37"/>
  <c r="G35"/>
  <c r="G31"/>
  <c r="G29"/>
  <c r="G27"/>
  <c r="G28"/>
  <c r="G26"/>
  <c r="G24"/>
  <c r="G22"/>
  <c r="G15"/>
  <c r="G16"/>
  <c r="G17"/>
  <c r="G18"/>
  <c r="G19"/>
  <c r="G20"/>
  <c r="G21"/>
  <c r="G14"/>
  <c r="G12"/>
  <c r="O66" l="1"/>
  <c r="O55"/>
  <c r="O57"/>
  <c r="O64"/>
  <c r="O68"/>
  <c r="O60"/>
  <c r="O61"/>
  <c r="O62"/>
  <c r="O63"/>
  <c r="O59"/>
  <c r="N59" s="1"/>
  <c r="O51"/>
  <c r="O52"/>
  <c r="O53"/>
  <c r="O54"/>
  <c r="O50"/>
  <c r="O49"/>
  <c r="N60"/>
  <c r="N53"/>
  <c r="G71"/>
  <c r="G68"/>
  <c r="G66"/>
  <c r="G64"/>
  <c r="G60"/>
  <c r="G61"/>
  <c r="G62"/>
  <c r="G63"/>
  <c r="G59"/>
  <c r="J59"/>
  <c r="J60"/>
  <c r="G57"/>
  <c r="G55"/>
  <c r="G50"/>
  <c r="G51"/>
  <c r="G52"/>
  <c r="G53"/>
  <c r="G49"/>
  <c r="J53"/>
  <c r="G47"/>
  <c r="P98" l="1"/>
  <c r="P47"/>
  <c r="P66"/>
  <c r="U71" i="12"/>
  <c r="T35"/>
  <c r="L34"/>
  <c r="S22"/>
  <c r="I24" i="11"/>
  <c r="U99" i="12" l="1"/>
  <c r="U79"/>
  <c r="M17"/>
  <c r="U90" l="1"/>
  <c r="I64" i="11"/>
  <c r="I65"/>
  <c r="I66"/>
  <c r="I67"/>
  <c r="I68"/>
  <c r="I69"/>
  <c r="I70" l="1"/>
  <c r="L120" i="12"/>
  <c r="L121"/>
  <c r="L111"/>
  <c r="L112"/>
  <c r="L102"/>
  <c r="L103"/>
  <c r="L97"/>
  <c r="L77"/>
  <c r="L65"/>
  <c r="L66"/>
  <c r="L56"/>
  <c r="L57"/>
  <c r="Q40"/>
  <c r="L46"/>
  <c r="L35"/>
  <c r="K63" i="11" l="1"/>
  <c r="J63"/>
  <c r="Q20" i="12"/>
  <c r="T20" s="1"/>
  <c r="U20" s="1"/>
  <c r="V20" s="1"/>
  <c r="K16" i="11"/>
  <c r="K15"/>
  <c r="K14"/>
  <c r="K13"/>
  <c r="K12"/>
  <c r="K11"/>
  <c r="P15" i="12"/>
  <c r="P25"/>
  <c r="P58"/>
  <c r="R15"/>
  <c r="R25"/>
  <c r="R58"/>
  <c r="S15"/>
  <c r="R122" l="1"/>
  <c r="K65" i="11"/>
  <c r="K67"/>
  <c r="K69"/>
  <c r="K64"/>
  <c r="K66"/>
  <c r="K68"/>
  <c r="J64"/>
  <c r="J66"/>
  <c r="J68"/>
  <c r="J67"/>
  <c r="J69"/>
  <c r="J65"/>
  <c r="P122" i="12"/>
  <c r="J70" i="11" l="1"/>
  <c r="K70"/>
  <c r="V107" i="12"/>
  <c r="V92"/>
  <c r="U121"/>
  <c r="AA114" s="1"/>
  <c r="M121"/>
  <c r="O120"/>
  <c r="O114" s="1"/>
  <c r="M120"/>
  <c r="U120" s="1"/>
  <c r="V120" s="1"/>
  <c r="T119"/>
  <c r="U119" s="1"/>
  <c r="V119" s="1"/>
  <c r="M119"/>
  <c r="T118"/>
  <c r="U118" s="1"/>
  <c r="V118" s="1"/>
  <c r="M118"/>
  <c r="T117"/>
  <c r="U117" s="1"/>
  <c r="V117" s="1"/>
  <c r="M117"/>
  <c r="M114"/>
  <c r="M113"/>
  <c r="U112"/>
  <c r="AA105" s="1"/>
  <c r="M112"/>
  <c r="N111"/>
  <c r="M111"/>
  <c r="E111"/>
  <c r="T110"/>
  <c r="U110" s="1"/>
  <c r="V110" s="1"/>
  <c r="M110"/>
  <c r="T109"/>
  <c r="U109" s="1"/>
  <c r="U105" s="1"/>
  <c r="M109"/>
  <c r="V108"/>
  <c r="V106"/>
  <c r="M105"/>
  <c r="M104"/>
  <c r="U103"/>
  <c r="AA99" s="1"/>
  <c r="M103"/>
  <c r="M102"/>
  <c r="M99"/>
  <c r="M98"/>
  <c r="V97"/>
  <c r="M97"/>
  <c r="I96"/>
  <c r="H96"/>
  <c r="V93"/>
  <c r="V91"/>
  <c r="M90"/>
  <c r="M89"/>
  <c r="U88"/>
  <c r="AA79" s="1"/>
  <c r="M87"/>
  <c r="M79"/>
  <c r="M78"/>
  <c r="U77"/>
  <c r="AA68" s="1"/>
  <c r="M77"/>
  <c r="I76"/>
  <c r="H76"/>
  <c r="E76"/>
  <c r="N76" s="1"/>
  <c r="N68" s="1"/>
  <c r="U75"/>
  <c r="V75" s="1"/>
  <c r="M75"/>
  <c r="T74"/>
  <c r="U74" s="1"/>
  <c r="V74" s="1"/>
  <c r="M74"/>
  <c r="T73"/>
  <c r="U73" s="1"/>
  <c r="V73" s="1"/>
  <c r="T72"/>
  <c r="U72" s="1"/>
  <c r="V72" s="1"/>
  <c r="M68"/>
  <c r="M67"/>
  <c r="V66"/>
  <c r="M66"/>
  <c r="M65"/>
  <c r="T64"/>
  <c r="U64" s="1"/>
  <c r="V64" s="1"/>
  <c r="T63"/>
  <c r="U63" s="1"/>
  <c r="M59"/>
  <c r="M58"/>
  <c r="V57"/>
  <c r="M57"/>
  <c r="O56"/>
  <c r="N56"/>
  <c r="M56"/>
  <c r="E56"/>
  <c r="T55"/>
  <c r="U55" s="1"/>
  <c r="V55" s="1"/>
  <c r="M55"/>
  <c r="T54"/>
  <c r="U54" s="1"/>
  <c r="V54" s="1"/>
  <c r="M54"/>
  <c r="T53"/>
  <c r="U53" s="1"/>
  <c r="M53"/>
  <c r="M48"/>
  <c r="M47"/>
  <c r="U46"/>
  <c r="AA37" s="1"/>
  <c r="M46"/>
  <c r="I45"/>
  <c r="H45"/>
  <c r="E45"/>
  <c r="T44"/>
  <c r="U44" s="1"/>
  <c r="M44"/>
  <c r="T43"/>
  <c r="U43" s="1"/>
  <c r="V43" s="1"/>
  <c r="M43"/>
  <c r="T42"/>
  <c r="U42" s="1"/>
  <c r="V42" s="1"/>
  <c r="M42"/>
  <c r="T41"/>
  <c r="U41" s="1"/>
  <c r="V41" s="1"/>
  <c r="M41"/>
  <c r="M37"/>
  <c r="M36"/>
  <c r="V35"/>
  <c r="M35"/>
  <c r="M34"/>
  <c r="T33"/>
  <c r="U33" s="1"/>
  <c r="V33" s="1"/>
  <c r="M33"/>
  <c r="T32"/>
  <c r="U32" s="1"/>
  <c r="M32"/>
  <c r="M26"/>
  <c r="M25"/>
  <c r="T24"/>
  <c r="U24" s="1"/>
  <c r="V24" s="1"/>
  <c r="M24"/>
  <c r="T23"/>
  <c r="U23" s="1"/>
  <c r="V23" s="1"/>
  <c r="M23"/>
  <c r="M22"/>
  <c r="M21"/>
  <c r="N21"/>
  <c r="K201" i="4"/>
  <c r="M340"/>
  <c r="N213"/>
  <c r="O343"/>
  <c r="N343"/>
  <c r="M343"/>
  <c r="M344" s="1"/>
  <c r="O340"/>
  <c r="O341" s="1"/>
  <c r="N340"/>
  <c r="I218"/>
  <c r="H218"/>
  <c r="G218"/>
  <c r="L339"/>
  <c r="M341" s="1"/>
  <c r="C347"/>
  <c r="P328"/>
  <c r="R149"/>
  <c r="R171"/>
  <c r="R177"/>
  <c r="O328"/>
  <c r="N328"/>
  <c r="P325"/>
  <c r="O325"/>
  <c r="N325"/>
  <c r="M324"/>
  <c r="C332"/>
  <c r="R114"/>
  <c r="V63" i="12" l="1"/>
  <c r="U59"/>
  <c r="V32"/>
  <c r="U26"/>
  <c r="N326" i="4"/>
  <c r="P326"/>
  <c r="O329"/>
  <c r="O330" s="1"/>
  <c r="O326"/>
  <c r="N329"/>
  <c r="N330" s="1"/>
  <c r="N337" s="1"/>
  <c r="P329"/>
  <c r="N344"/>
  <c r="N345" s="1"/>
  <c r="N351" s="1"/>
  <c r="M345"/>
  <c r="O344"/>
  <c r="O345" s="1"/>
  <c r="O349" s="1"/>
  <c r="O45" i="12"/>
  <c r="O37" s="1"/>
  <c r="O36" s="1"/>
  <c r="L45"/>
  <c r="M45" s="1"/>
  <c r="O68"/>
  <c r="L76"/>
  <c r="M76" s="1"/>
  <c r="N335" i="4"/>
  <c r="N331"/>
  <c r="N334"/>
  <c r="N346"/>
  <c r="N349"/>
  <c r="N350"/>
  <c r="O351"/>
  <c r="O347"/>
  <c r="O348"/>
  <c r="O336"/>
  <c r="O334"/>
  <c r="O332"/>
  <c r="O337"/>
  <c r="O335"/>
  <c r="O333"/>
  <c r="O331"/>
  <c r="Q325"/>
  <c r="P330"/>
  <c r="P340"/>
  <c r="N341"/>
  <c r="Q51" i="12"/>
  <c r="Q100"/>
  <c r="Q70"/>
  <c r="Q18"/>
  <c r="Q19"/>
  <c r="Q17"/>
  <c r="S113"/>
  <c r="Q115"/>
  <c r="Q116"/>
  <c r="Q107"/>
  <c r="Q108"/>
  <c r="Q106"/>
  <c r="Q101"/>
  <c r="Q92"/>
  <c r="Q69"/>
  <c r="Q71"/>
  <c r="Q50"/>
  <c r="Q52"/>
  <c r="S58"/>
  <c r="S98"/>
  <c r="Q49"/>
  <c r="Q39"/>
  <c r="Q30"/>
  <c r="T87"/>
  <c r="U87" s="1"/>
  <c r="V87" s="1"/>
  <c r="S89"/>
  <c r="S47"/>
  <c r="T65"/>
  <c r="U65" s="1"/>
  <c r="V65" s="1"/>
  <c r="T111"/>
  <c r="U111" s="1"/>
  <c r="V111" s="1"/>
  <c r="T120"/>
  <c r="S36"/>
  <c r="S67"/>
  <c r="S78"/>
  <c r="S104"/>
  <c r="T56"/>
  <c r="U56" s="1"/>
  <c r="V56" s="1"/>
  <c r="S25"/>
  <c r="T34"/>
  <c r="U34" s="1"/>
  <c r="V34" s="1"/>
  <c r="T77"/>
  <c r="T102"/>
  <c r="U102" s="1"/>
  <c r="V102" s="1"/>
  <c r="V44"/>
  <c r="V109"/>
  <c r="V105" s="1"/>
  <c r="U22"/>
  <c r="AB12" s="1"/>
  <c r="S14"/>
  <c r="V22"/>
  <c r="T22"/>
  <c r="V53"/>
  <c r="U35"/>
  <c r="AA21" s="1"/>
  <c r="N45"/>
  <c r="T46"/>
  <c r="V46"/>
  <c r="U57"/>
  <c r="AA48" s="1"/>
  <c r="U66"/>
  <c r="AA59" s="1"/>
  <c r="V77"/>
  <c r="T88"/>
  <c r="V88"/>
  <c r="U97"/>
  <c r="AA90" s="1"/>
  <c r="T103"/>
  <c r="V103"/>
  <c r="T112"/>
  <c r="V112"/>
  <c r="T121"/>
  <c r="V121"/>
  <c r="T57"/>
  <c r="T66"/>
  <c r="T97"/>
  <c r="M350" i="4"/>
  <c r="M348"/>
  <c r="M346"/>
  <c r="M351"/>
  <c r="M349"/>
  <c r="M347"/>
  <c r="P337"/>
  <c r="P335"/>
  <c r="Q335" s="1"/>
  <c r="P333"/>
  <c r="P331"/>
  <c r="Q331" s="1"/>
  <c r="P336"/>
  <c r="P334"/>
  <c r="Q334" s="1"/>
  <c r="P332"/>
  <c r="P351" l="1"/>
  <c r="Q337"/>
  <c r="P349"/>
  <c r="O346"/>
  <c r="P346" s="1"/>
  <c r="O350"/>
  <c r="P350" s="1"/>
  <c r="N348"/>
  <c r="N347"/>
  <c r="P347" s="1"/>
  <c r="N332"/>
  <c r="Q332" s="1"/>
  <c r="N336"/>
  <c r="Q336" s="1"/>
  <c r="N333"/>
  <c r="Q333" s="1"/>
  <c r="P348"/>
  <c r="S122" i="12"/>
  <c r="L96"/>
  <c r="M96" s="1"/>
  <c r="Q99"/>
  <c r="Q98" s="1"/>
  <c r="X98" s="1"/>
  <c r="Q114"/>
  <c r="Q113" s="1"/>
  <c r="U104"/>
  <c r="N36"/>
  <c r="N114"/>
  <c r="N113" s="1"/>
  <c r="Q15"/>
  <c r="Q61"/>
  <c r="Q62"/>
  <c r="Q60"/>
  <c r="V104"/>
  <c r="Q93"/>
  <c r="O78"/>
  <c r="Q91"/>
  <c r="T95"/>
  <c r="Q105"/>
  <c r="Q104" s="1"/>
  <c r="N98"/>
  <c r="T84"/>
  <c r="Q68"/>
  <c r="Q67" s="1"/>
  <c r="Q48"/>
  <c r="Q38"/>
  <c r="Q28"/>
  <c r="Q29"/>
  <c r="Q31"/>
  <c r="Q27"/>
  <c r="O96"/>
  <c r="T96"/>
  <c r="U96" s="1"/>
  <c r="V96" s="1"/>
  <c r="T45"/>
  <c r="V45" s="1"/>
  <c r="T76"/>
  <c r="U76" s="1"/>
  <c r="V76" s="1"/>
  <c r="T21"/>
  <c r="U21" s="1"/>
  <c r="V21" s="1"/>
  <c r="K31" i="1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N16"/>
  <c r="L16"/>
  <c r="G16"/>
  <c r="H16" s="1"/>
  <c r="L15"/>
  <c r="G15"/>
  <c r="H15" s="1"/>
  <c r="L14"/>
  <c r="G14"/>
  <c r="H14" s="1"/>
  <c r="M14" s="1"/>
  <c r="L13"/>
  <c r="L12"/>
  <c r="H12"/>
  <c r="M12" s="1"/>
  <c r="G12"/>
  <c r="L11"/>
  <c r="H11"/>
  <c r="L31" l="1"/>
  <c r="AB105" i="12"/>
  <c r="X107"/>
  <c r="O14"/>
  <c r="X113"/>
  <c r="Y113" s="1"/>
  <c r="AB113"/>
  <c r="AC113" s="1"/>
  <c r="AB98"/>
  <c r="AC98" s="1"/>
  <c r="X104"/>
  <c r="Y104" s="1"/>
  <c r="AB104"/>
  <c r="AC104" s="1"/>
  <c r="X67"/>
  <c r="Y67" s="1"/>
  <c r="AB67"/>
  <c r="AC67" s="1"/>
  <c r="M95"/>
  <c r="N89"/>
  <c r="Q90"/>
  <c r="Q89" s="1"/>
  <c r="T83"/>
  <c r="V83" s="1"/>
  <c r="Q14"/>
  <c r="X14" s="1"/>
  <c r="Y14" s="1"/>
  <c r="Q37"/>
  <c r="Q36" s="1"/>
  <c r="U89"/>
  <c r="M60"/>
  <c r="T61"/>
  <c r="V61" s="1"/>
  <c r="M61"/>
  <c r="T62"/>
  <c r="V62" s="1"/>
  <c r="M62"/>
  <c r="Q59"/>
  <c r="Q58" s="1"/>
  <c r="O59"/>
  <c r="O58" s="1"/>
  <c r="M81"/>
  <c r="V84"/>
  <c r="X78"/>
  <c r="Y78" s="1"/>
  <c r="T19"/>
  <c r="M19"/>
  <c r="T18"/>
  <c r="M18"/>
  <c r="T17"/>
  <c r="M16"/>
  <c r="V95"/>
  <c r="M115"/>
  <c r="T116"/>
  <c r="V116" s="1"/>
  <c r="M116"/>
  <c r="M106"/>
  <c r="T107"/>
  <c r="M107"/>
  <c r="T108"/>
  <c r="M108"/>
  <c r="O104"/>
  <c r="M84"/>
  <c r="M83"/>
  <c r="M100"/>
  <c r="T101"/>
  <c r="V101" s="1"/>
  <c r="M101"/>
  <c r="T91"/>
  <c r="M91"/>
  <c r="T92"/>
  <c r="M92"/>
  <c r="T93"/>
  <c r="M93"/>
  <c r="O89"/>
  <c r="M86"/>
  <c r="O67"/>
  <c r="M80"/>
  <c r="T81"/>
  <c r="V81" s="1"/>
  <c r="T86"/>
  <c r="Q47"/>
  <c r="O48"/>
  <c r="O47" s="1"/>
  <c r="M69"/>
  <c r="T70"/>
  <c r="V70" s="1"/>
  <c r="M70"/>
  <c r="T71"/>
  <c r="M71"/>
  <c r="T50"/>
  <c r="V50" s="1"/>
  <c r="M50"/>
  <c r="M52"/>
  <c r="T52"/>
  <c r="V52" s="1"/>
  <c r="T51"/>
  <c r="V51" s="1"/>
  <c r="M51"/>
  <c r="M49"/>
  <c r="T39"/>
  <c r="V39" s="1"/>
  <c r="M39"/>
  <c r="T40"/>
  <c r="V40" s="1"/>
  <c r="M40"/>
  <c r="M38"/>
  <c r="Q26"/>
  <c r="T30"/>
  <c r="V30" s="1"/>
  <c r="M30"/>
  <c r="T31"/>
  <c r="V31" s="1"/>
  <c r="M31"/>
  <c r="T29"/>
  <c r="M29"/>
  <c r="T28"/>
  <c r="V28" s="1"/>
  <c r="M28"/>
  <c r="M27"/>
  <c r="L17" i="11"/>
  <c r="H17"/>
  <c r="K17"/>
  <c r="G17"/>
  <c r="N12"/>
  <c r="N14"/>
  <c r="J27"/>
  <c r="J32" l="1"/>
  <c r="X47" i="12"/>
  <c r="Y47" s="1"/>
  <c r="V29"/>
  <c r="AB90"/>
  <c r="X91"/>
  <c r="X58"/>
  <c r="Y58" s="1"/>
  <c r="AB58"/>
  <c r="N14"/>
  <c r="AB78"/>
  <c r="AC78" s="1"/>
  <c r="X89"/>
  <c r="Y89" s="1"/>
  <c r="AB89"/>
  <c r="AC89" s="1"/>
  <c r="X36"/>
  <c r="AB36"/>
  <c r="AC36" s="1"/>
  <c r="AB47"/>
  <c r="AC47" s="1"/>
  <c r="AB14"/>
  <c r="AC14" s="1"/>
  <c r="V90"/>
  <c r="V89" s="1"/>
  <c r="V71"/>
  <c r="T60"/>
  <c r="N58"/>
  <c r="T89"/>
  <c r="T16"/>
  <c r="O113"/>
  <c r="T115"/>
  <c r="N105"/>
  <c r="N104" s="1"/>
  <c r="T106"/>
  <c r="O99"/>
  <c r="O98" s="1"/>
  <c r="T80"/>
  <c r="N78"/>
  <c r="T69"/>
  <c r="N67"/>
  <c r="T49"/>
  <c r="N48"/>
  <c r="N47" s="1"/>
  <c r="T38"/>
  <c r="Q25"/>
  <c r="AB25" s="1"/>
  <c r="AC25" s="1"/>
  <c r="O25"/>
  <c r="N25"/>
  <c r="N122" s="1"/>
  <c r="T27"/>
  <c r="K27" i="11"/>
  <c r="K32" s="1"/>
  <c r="L25"/>
  <c r="L27" s="1"/>
  <c r="L32" s="1"/>
  <c r="U25" i="12" l="1"/>
  <c r="V27"/>
  <c r="V26" s="1"/>
  <c r="V25" s="1"/>
  <c r="V115"/>
  <c r="V114" s="1"/>
  <c r="V113" s="1"/>
  <c r="U114"/>
  <c r="U113" s="1"/>
  <c r="V38"/>
  <c r="V37" s="1"/>
  <c r="V36" s="1"/>
  <c r="U37"/>
  <c r="U36" s="1"/>
  <c r="T48"/>
  <c r="T47" s="1"/>
  <c r="V69"/>
  <c r="V68" s="1"/>
  <c r="V67" s="1"/>
  <c r="U68"/>
  <c r="U67" s="1"/>
  <c r="T79"/>
  <c r="T78" s="1"/>
  <c r="V100"/>
  <c r="U98"/>
  <c r="T59"/>
  <c r="T58" s="1"/>
  <c r="W71"/>
  <c r="T15"/>
  <c r="T14" s="1"/>
  <c r="U15"/>
  <c r="U14" s="1"/>
  <c r="T68"/>
  <c r="T67" s="1"/>
  <c r="T99"/>
  <c r="T36"/>
  <c r="T105"/>
  <c r="T104" s="1"/>
  <c r="T113"/>
  <c r="V86"/>
  <c r="X25"/>
  <c r="Y25" s="1"/>
  <c r="AB114" l="1"/>
  <c r="X115"/>
  <c r="AB99"/>
  <c r="X100"/>
  <c r="AB68"/>
  <c r="X69"/>
  <c r="AB21"/>
  <c r="X27"/>
  <c r="AB37"/>
  <c r="X38"/>
  <c r="V99"/>
  <c r="V98" s="1"/>
  <c r="T25"/>
  <c r="V60"/>
  <c r="U58"/>
  <c r="X60" s="1"/>
  <c r="V80"/>
  <c r="V79" s="1"/>
  <c r="U78"/>
  <c r="X81" s="1"/>
  <c r="V78"/>
  <c r="V49"/>
  <c r="V48" s="1"/>
  <c r="V47" s="1"/>
  <c r="U48"/>
  <c r="U47" s="1"/>
  <c r="X49" s="1"/>
  <c r="N315" i="4"/>
  <c r="M315"/>
  <c r="L315"/>
  <c r="N312"/>
  <c r="M312"/>
  <c r="M316" s="1"/>
  <c r="L312"/>
  <c r="C319"/>
  <c r="K311"/>
  <c r="R81"/>
  <c r="N302"/>
  <c r="M302"/>
  <c r="L302"/>
  <c r="N299"/>
  <c r="M299"/>
  <c r="L299"/>
  <c r="C306"/>
  <c r="K298"/>
  <c r="R47"/>
  <c r="N289"/>
  <c r="M289"/>
  <c r="L289"/>
  <c r="N286"/>
  <c r="M286"/>
  <c r="L286"/>
  <c r="C293"/>
  <c r="K285"/>
  <c r="N273"/>
  <c r="M273"/>
  <c r="L273"/>
  <c r="R12"/>
  <c r="R35"/>
  <c r="R31"/>
  <c r="C277"/>
  <c r="N270"/>
  <c r="N274" s="1"/>
  <c r="M270"/>
  <c r="L270"/>
  <c r="L274" s="1"/>
  <c r="K269"/>
  <c r="V59" i="12" l="1"/>
  <c r="V58" s="1"/>
  <c r="AB79"/>
  <c r="AB59"/>
  <c r="AB48"/>
  <c r="M271" i="4"/>
  <c r="M287"/>
  <c r="L290"/>
  <c r="L291" s="1"/>
  <c r="N290"/>
  <c r="N291" s="1"/>
  <c r="N303"/>
  <c r="N304" s="1"/>
  <c r="L300"/>
  <c r="N300"/>
  <c r="L303"/>
  <c r="L304" s="1"/>
  <c r="M317"/>
  <c r="L316"/>
  <c r="L317" s="1"/>
  <c r="N316"/>
  <c r="N317" s="1"/>
  <c r="L275"/>
  <c r="L281" s="1"/>
  <c r="N275"/>
  <c r="M274"/>
  <c r="M275" s="1"/>
  <c r="O286"/>
  <c r="N287"/>
  <c r="M290"/>
  <c r="M291" s="1"/>
  <c r="M303"/>
  <c r="M304" s="1"/>
  <c r="L313"/>
  <c r="N313"/>
  <c r="L279"/>
  <c r="L280"/>
  <c r="L276"/>
  <c r="N281"/>
  <c r="N279"/>
  <c r="N277"/>
  <c r="N280"/>
  <c r="N278"/>
  <c r="N276"/>
  <c r="M281"/>
  <c r="M279"/>
  <c r="M277"/>
  <c r="M280"/>
  <c r="M278"/>
  <c r="M276"/>
  <c r="O276" s="1"/>
  <c r="L295"/>
  <c r="L293"/>
  <c r="L296"/>
  <c r="L294"/>
  <c r="L292"/>
  <c r="N295"/>
  <c r="N293"/>
  <c r="N296"/>
  <c r="N294"/>
  <c r="N292"/>
  <c r="L308"/>
  <c r="L306"/>
  <c r="L309"/>
  <c r="L307"/>
  <c r="L305"/>
  <c r="M321"/>
  <c r="M319"/>
  <c r="M322"/>
  <c r="M320"/>
  <c r="M318"/>
  <c r="L322"/>
  <c r="L320"/>
  <c r="O320" s="1"/>
  <c r="L318"/>
  <c r="L321"/>
  <c r="O321" s="1"/>
  <c r="L319"/>
  <c r="N322"/>
  <c r="N320"/>
  <c r="N318"/>
  <c r="N321"/>
  <c r="N319"/>
  <c r="M296"/>
  <c r="M294"/>
  <c r="M292"/>
  <c r="M295"/>
  <c r="M293"/>
  <c r="M309"/>
  <c r="M307"/>
  <c r="M305"/>
  <c r="M308"/>
  <c r="M306"/>
  <c r="N308"/>
  <c r="N306"/>
  <c r="N309"/>
  <c r="N307"/>
  <c r="N305"/>
  <c r="L271"/>
  <c r="N271"/>
  <c r="L287"/>
  <c r="O312"/>
  <c r="M313"/>
  <c r="O270"/>
  <c r="M300"/>
  <c r="O299"/>
  <c r="L278" l="1"/>
  <c r="L277"/>
  <c r="O319"/>
  <c r="O318"/>
  <c r="O322"/>
  <c r="O305"/>
  <c r="O309"/>
  <c r="O308"/>
  <c r="O292"/>
  <c r="O296"/>
  <c r="O295"/>
  <c r="O278"/>
  <c r="O277"/>
  <c r="O281"/>
  <c r="O307"/>
  <c r="O306"/>
  <c r="O294"/>
  <c r="O293"/>
  <c r="O280"/>
  <c r="O279"/>
  <c r="U217" l="1"/>
  <c r="N217"/>
  <c r="N215"/>
  <c r="U215"/>
  <c r="U185"/>
  <c r="N185"/>
  <c r="N183"/>
  <c r="U183"/>
  <c r="U147"/>
  <c r="N147"/>
  <c r="U145"/>
  <c r="N145"/>
  <c r="U112"/>
  <c r="N112"/>
  <c r="U110"/>
  <c r="N110"/>
  <c r="N45"/>
  <c r="U77"/>
  <c r="N77"/>
  <c r="N79"/>
  <c r="U79"/>
  <c r="U45"/>
  <c r="U43"/>
  <c r="N43"/>
  <c r="T184" l="1"/>
  <c r="V75"/>
  <c r="V108"/>
  <c r="N214" l="1"/>
  <c r="N181"/>
  <c r="N182"/>
  <c r="N143"/>
  <c r="N144"/>
  <c r="N111"/>
  <c r="N109"/>
  <c r="S80" l="1"/>
  <c r="N42"/>
  <c r="N76"/>
  <c r="N189" l="1"/>
  <c r="T189" s="1"/>
  <c r="U189" s="1"/>
  <c r="N188"/>
  <c r="T188" s="1"/>
  <c r="S218" l="1"/>
  <c r="N193"/>
  <c r="J193"/>
  <c r="N192"/>
  <c r="T192" s="1"/>
  <c r="U192" s="1"/>
  <c r="J192"/>
  <c r="T193" l="1"/>
  <c r="U193" s="1"/>
  <c r="P171"/>
  <c r="S186"/>
  <c r="E175"/>
  <c r="F175"/>
  <c r="E178"/>
  <c r="F178"/>
  <c r="H178"/>
  <c r="I178"/>
  <c r="S148"/>
  <c r="O105"/>
  <c r="S113"/>
  <c r="F36"/>
  <c r="G36"/>
  <c r="H36"/>
  <c r="I36"/>
  <c r="E36"/>
  <c r="P35"/>
  <c r="S46"/>
  <c r="N216" l="1"/>
  <c r="T216"/>
  <c r="U216" s="1"/>
  <c r="T146"/>
  <c r="U146" s="1"/>
  <c r="N146"/>
  <c r="T111"/>
  <c r="U111" s="1"/>
  <c r="T78"/>
  <c r="U78" s="1"/>
  <c r="N78"/>
  <c r="Q46"/>
  <c r="T44"/>
  <c r="U44" s="1"/>
  <c r="N44"/>
  <c r="N184"/>
  <c r="U184"/>
  <c r="N212" l="1"/>
  <c r="N108"/>
  <c r="N107"/>
  <c r="N75"/>
  <c r="N74"/>
  <c r="N40"/>
  <c r="K202" l="1"/>
  <c r="N142" l="1"/>
  <c r="J201"/>
  <c r="T39"/>
  <c r="U39" s="1"/>
  <c r="T73"/>
  <c r="U73" s="1"/>
  <c r="Q80"/>
  <c r="Q218"/>
  <c r="Q186"/>
  <c r="Q148"/>
  <c r="Q113"/>
  <c r="T106"/>
  <c r="U106" s="1"/>
  <c r="T141"/>
  <c r="U141" s="1"/>
  <c r="T179"/>
  <c r="U179" s="1"/>
  <c r="T211"/>
  <c r="U211" s="1"/>
  <c r="N211"/>
  <c r="N39"/>
  <c r="N73"/>
  <c r="N106"/>
  <c r="N141"/>
  <c r="N179"/>
  <c r="N180" l="1"/>
  <c r="N177"/>
  <c r="U177" s="1"/>
  <c r="N35"/>
  <c r="T35" s="1"/>
  <c r="X187"/>
  <c r="X197"/>
  <c r="X177" l="1"/>
  <c r="R178"/>
  <c r="Y187" l="1"/>
  <c r="R208"/>
  <c r="J35" l="1"/>
  <c r="U35" l="1"/>
  <c r="H175"/>
  <c r="I175"/>
  <c r="J71" l="1"/>
  <c r="T212" l="1"/>
  <c r="U212" s="1"/>
  <c r="V17" i="12" l="1"/>
  <c r="V19"/>
  <c r="V18"/>
  <c r="T181" i="4"/>
  <c r="U181" s="1"/>
  <c r="T180"/>
  <c r="U180" s="1"/>
  <c r="T143"/>
  <c r="U143" s="1"/>
  <c r="U142"/>
  <c r="U108"/>
  <c r="T107"/>
  <c r="U107" s="1"/>
  <c r="V16" i="12" l="1"/>
  <c r="V15" s="1"/>
  <c r="T41" i="4"/>
  <c r="U41" s="1"/>
  <c r="T40"/>
  <c r="U40" s="1"/>
  <c r="T74"/>
  <c r="U74" s="1"/>
  <c r="V14" i="12" l="1"/>
  <c r="U75" i="4"/>
  <c r="Q219"/>
  <c r="X16" i="12" l="1"/>
  <c r="AA13"/>
  <c r="W187" i="4"/>
  <c r="W188"/>
  <c r="W196"/>
  <c r="W197"/>
  <c r="J81"/>
  <c r="S219"/>
  <c r="R210"/>
  <c r="P210"/>
  <c r="M210"/>
  <c r="I210"/>
  <c r="H210"/>
  <c r="F210"/>
  <c r="E210"/>
  <c r="J209"/>
  <c r="I208"/>
  <c r="H208"/>
  <c r="G208"/>
  <c r="F208"/>
  <c r="E208"/>
  <c r="J207"/>
  <c r="T207"/>
  <c r="U207" s="1"/>
  <c r="J206"/>
  <c r="T206"/>
  <c r="U206" s="1"/>
  <c r="P208"/>
  <c r="U202"/>
  <c r="T202"/>
  <c r="J202"/>
  <c r="N202"/>
  <c r="U200"/>
  <c r="T200"/>
  <c r="J200"/>
  <c r="N200"/>
  <c r="U199"/>
  <c r="T199"/>
  <c r="J199"/>
  <c r="N199"/>
  <c r="N197"/>
  <c r="J194"/>
  <c r="N194"/>
  <c r="T194" s="1"/>
  <c r="U194" s="1"/>
  <c r="J191"/>
  <c r="N191"/>
  <c r="T191" s="1"/>
  <c r="U191" s="1"/>
  <c r="P178"/>
  <c r="M178"/>
  <c r="J176"/>
  <c r="J174"/>
  <c r="T174" s="1"/>
  <c r="G175"/>
  <c r="U173"/>
  <c r="T173"/>
  <c r="J173"/>
  <c r="O173"/>
  <c r="N173" s="1"/>
  <c r="J171"/>
  <c r="J170"/>
  <c r="I169"/>
  <c r="H169"/>
  <c r="F169"/>
  <c r="E169"/>
  <c r="J168"/>
  <c r="U168" s="1"/>
  <c r="N168"/>
  <c r="R167"/>
  <c r="J167"/>
  <c r="U166"/>
  <c r="T166"/>
  <c r="J166"/>
  <c r="N166"/>
  <c r="U165"/>
  <c r="T165"/>
  <c r="J165"/>
  <c r="N165"/>
  <c r="U164"/>
  <c r="T164"/>
  <c r="J164"/>
  <c r="N164"/>
  <c r="J162"/>
  <c r="R162"/>
  <c r="J161"/>
  <c r="P161"/>
  <c r="I160"/>
  <c r="H160"/>
  <c r="F160"/>
  <c r="F186" s="1"/>
  <c r="E160"/>
  <c r="E186" s="1"/>
  <c r="J159"/>
  <c r="U159" s="1"/>
  <c r="N159"/>
  <c r="J158"/>
  <c r="R158"/>
  <c r="U157"/>
  <c r="T157"/>
  <c r="J157"/>
  <c r="N157"/>
  <c r="U156"/>
  <c r="T156"/>
  <c r="J156"/>
  <c r="N156"/>
  <c r="U155"/>
  <c r="T155"/>
  <c r="J155"/>
  <c r="N155"/>
  <c r="U154"/>
  <c r="T154"/>
  <c r="J154"/>
  <c r="N154"/>
  <c r="U152"/>
  <c r="T152"/>
  <c r="J152"/>
  <c r="N152"/>
  <c r="U151"/>
  <c r="T151"/>
  <c r="J151"/>
  <c r="N151"/>
  <c r="J149"/>
  <c r="R140"/>
  <c r="P140"/>
  <c r="M140"/>
  <c r="I140"/>
  <c r="H140"/>
  <c r="F140"/>
  <c r="E140"/>
  <c r="J139"/>
  <c r="I138"/>
  <c r="H138"/>
  <c r="F138"/>
  <c r="E138"/>
  <c r="G137"/>
  <c r="P137" s="1"/>
  <c r="U136"/>
  <c r="T136"/>
  <c r="J136"/>
  <c r="G136"/>
  <c r="N136" s="1"/>
  <c r="J134"/>
  <c r="I133"/>
  <c r="H133"/>
  <c r="F133"/>
  <c r="E133"/>
  <c r="J132"/>
  <c r="R132"/>
  <c r="U131"/>
  <c r="T131"/>
  <c r="J131"/>
  <c r="N131"/>
  <c r="U130"/>
  <c r="T130"/>
  <c r="J130"/>
  <c r="N130"/>
  <c r="U129"/>
  <c r="T129"/>
  <c r="J129"/>
  <c r="N129"/>
  <c r="U128"/>
  <c r="T128"/>
  <c r="J128"/>
  <c r="N128"/>
  <c r="U127"/>
  <c r="T127"/>
  <c r="J127"/>
  <c r="N127"/>
  <c r="J125"/>
  <c r="I124"/>
  <c r="H124"/>
  <c r="H148" s="1"/>
  <c r="F124"/>
  <c r="E124"/>
  <c r="E148" s="1"/>
  <c r="J123"/>
  <c r="R123"/>
  <c r="U122"/>
  <c r="T122"/>
  <c r="J122"/>
  <c r="N122"/>
  <c r="U121"/>
  <c r="T121"/>
  <c r="J121"/>
  <c r="N121"/>
  <c r="U120"/>
  <c r="T120"/>
  <c r="J120"/>
  <c r="N120"/>
  <c r="U119"/>
  <c r="T119"/>
  <c r="J119"/>
  <c r="N119"/>
  <c r="U118"/>
  <c r="T118"/>
  <c r="J118"/>
  <c r="N118"/>
  <c r="U117"/>
  <c r="T117"/>
  <c r="J117"/>
  <c r="N117"/>
  <c r="U116"/>
  <c r="T116"/>
  <c r="J116"/>
  <c r="N116"/>
  <c r="J114"/>
  <c r="R105"/>
  <c r="P105"/>
  <c r="M105"/>
  <c r="I105"/>
  <c r="H105"/>
  <c r="F105"/>
  <c r="E105"/>
  <c r="J104"/>
  <c r="I103"/>
  <c r="H103"/>
  <c r="F103"/>
  <c r="E103"/>
  <c r="U101"/>
  <c r="T101"/>
  <c r="J101"/>
  <c r="N101"/>
  <c r="U100"/>
  <c r="T100"/>
  <c r="J100"/>
  <c r="N100"/>
  <c r="J98"/>
  <c r="I97"/>
  <c r="H97"/>
  <c r="F97"/>
  <c r="E97"/>
  <c r="J96"/>
  <c r="R96"/>
  <c r="U95"/>
  <c r="T95"/>
  <c r="J95"/>
  <c r="N95"/>
  <c r="U94"/>
  <c r="T94"/>
  <c r="J94"/>
  <c r="N94"/>
  <c r="U93"/>
  <c r="T93"/>
  <c r="J93"/>
  <c r="N93"/>
  <c r="J91"/>
  <c r="G97"/>
  <c r="I90"/>
  <c r="I113" s="1"/>
  <c r="H90"/>
  <c r="H113" s="1"/>
  <c r="F90"/>
  <c r="F113" s="1"/>
  <c r="E90"/>
  <c r="E113" s="1"/>
  <c r="J89"/>
  <c r="R89"/>
  <c r="U88"/>
  <c r="T88"/>
  <c r="J88"/>
  <c r="N88"/>
  <c r="U87"/>
  <c r="T87"/>
  <c r="J87"/>
  <c r="N87"/>
  <c r="U85"/>
  <c r="T85"/>
  <c r="J85"/>
  <c r="N85"/>
  <c r="U84"/>
  <c r="T84"/>
  <c r="J84"/>
  <c r="N84"/>
  <c r="U83"/>
  <c r="T83"/>
  <c r="J83"/>
  <c r="N83"/>
  <c r="R72"/>
  <c r="P72"/>
  <c r="M72"/>
  <c r="I72"/>
  <c r="H72"/>
  <c r="F72"/>
  <c r="E72"/>
  <c r="O72"/>
  <c r="I70"/>
  <c r="H70"/>
  <c r="F70"/>
  <c r="E70"/>
  <c r="R69"/>
  <c r="P69"/>
  <c r="U69"/>
  <c r="U68"/>
  <c r="T68"/>
  <c r="J68"/>
  <c r="N68"/>
  <c r="J66"/>
  <c r="I65"/>
  <c r="H65"/>
  <c r="F65"/>
  <c r="E65"/>
  <c r="J64"/>
  <c r="T64" s="1"/>
  <c r="U64" s="1"/>
  <c r="R64"/>
  <c r="U63"/>
  <c r="T63"/>
  <c r="J63"/>
  <c r="N63"/>
  <c r="U62"/>
  <c r="T62"/>
  <c r="J62"/>
  <c r="N62"/>
  <c r="U61"/>
  <c r="T61"/>
  <c r="J61"/>
  <c r="N61"/>
  <c r="J57"/>
  <c r="T57" s="1"/>
  <c r="U57" s="1"/>
  <c r="I56"/>
  <c r="H56"/>
  <c r="H80" s="1"/>
  <c r="F56"/>
  <c r="E56"/>
  <c r="E80" s="1"/>
  <c r="R55"/>
  <c r="P55"/>
  <c r="J55"/>
  <c r="T55" s="1"/>
  <c r="U55" s="1"/>
  <c r="U54"/>
  <c r="T54"/>
  <c r="J54"/>
  <c r="N54"/>
  <c r="U52"/>
  <c r="T52"/>
  <c r="J52"/>
  <c r="N52"/>
  <c r="U51"/>
  <c r="T51"/>
  <c r="J51"/>
  <c r="N51"/>
  <c r="U50"/>
  <c r="T50"/>
  <c r="J50"/>
  <c r="N50"/>
  <c r="U49"/>
  <c r="T49"/>
  <c r="J49"/>
  <c r="N49"/>
  <c r="J47"/>
  <c r="R38"/>
  <c r="P38"/>
  <c r="M38"/>
  <c r="I38"/>
  <c r="H38"/>
  <c r="F38"/>
  <c r="E38"/>
  <c r="J37"/>
  <c r="U34"/>
  <c r="T34"/>
  <c r="U33"/>
  <c r="T33"/>
  <c r="J33"/>
  <c r="G33"/>
  <c r="O33" s="1"/>
  <c r="N33" s="1"/>
  <c r="J31"/>
  <c r="P31"/>
  <c r="P36" s="1"/>
  <c r="I30"/>
  <c r="H30"/>
  <c r="F30"/>
  <c r="E30"/>
  <c r="J29"/>
  <c r="R29"/>
  <c r="U28"/>
  <c r="T28"/>
  <c r="J28"/>
  <c r="N28"/>
  <c r="U27"/>
  <c r="T27"/>
  <c r="J27"/>
  <c r="N27"/>
  <c r="U26"/>
  <c r="T26"/>
  <c r="J26"/>
  <c r="N26"/>
  <c r="J24"/>
  <c r="T24" s="1"/>
  <c r="U24" s="1"/>
  <c r="I23"/>
  <c r="H23"/>
  <c r="F23"/>
  <c r="E23"/>
  <c r="E46" s="1"/>
  <c r="J22"/>
  <c r="T22" s="1"/>
  <c r="U22" s="1"/>
  <c r="U21"/>
  <c r="T21"/>
  <c r="J21"/>
  <c r="N21"/>
  <c r="U20"/>
  <c r="T20"/>
  <c r="J20"/>
  <c r="N20"/>
  <c r="U19"/>
  <c r="T19"/>
  <c r="J19"/>
  <c r="N19"/>
  <c r="U18"/>
  <c r="T18"/>
  <c r="J18"/>
  <c r="N18"/>
  <c r="U17"/>
  <c r="T17"/>
  <c r="J17"/>
  <c r="N17"/>
  <c r="U16"/>
  <c r="T16"/>
  <c r="J16"/>
  <c r="N16"/>
  <c r="U15"/>
  <c r="T15"/>
  <c r="J15"/>
  <c r="N15"/>
  <c r="U14"/>
  <c r="T14"/>
  <c r="J14"/>
  <c r="N14"/>
  <c r="J12"/>
  <c r="Q102" i="3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F148" i="4" l="1"/>
  <c r="F46"/>
  <c r="F80"/>
  <c r="T197"/>
  <c r="G178"/>
  <c r="G38"/>
  <c r="H46"/>
  <c r="I46"/>
  <c r="I186"/>
  <c r="I80"/>
  <c r="I148"/>
  <c r="R22"/>
  <c r="R36"/>
  <c r="R66"/>
  <c r="R70" s="1"/>
  <c r="G124"/>
  <c r="G138"/>
  <c r="R134"/>
  <c r="R138" s="1"/>
  <c r="P134"/>
  <c r="G160"/>
  <c r="G23"/>
  <c r="G72"/>
  <c r="R98"/>
  <c r="R103" s="1"/>
  <c r="G105"/>
  <c r="G140"/>
  <c r="N176"/>
  <c r="T176" s="1"/>
  <c r="T178" s="1"/>
  <c r="U178" s="1"/>
  <c r="P201"/>
  <c r="P203" s="1"/>
  <c r="G210"/>
  <c r="G90"/>
  <c r="N81"/>
  <c r="N55"/>
  <c r="P96"/>
  <c r="P103"/>
  <c r="T159"/>
  <c r="O195"/>
  <c r="R195"/>
  <c r="R56"/>
  <c r="J69"/>
  <c r="T69"/>
  <c r="N196"/>
  <c r="R203"/>
  <c r="G30"/>
  <c r="P29"/>
  <c r="G65"/>
  <c r="P64"/>
  <c r="P70"/>
  <c r="G70"/>
  <c r="G103"/>
  <c r="G133"/>
  <c r="P132"/>
  <c r="O137"/>
  <c r="P158"/>
  <c r="G169"/>
  <c r="P167"/>
  <c r="T168"/>
  <c r="P170"/>
  <c r="P195"/>
  <c r="N206"/>
  <c r="O178"/>
  <c r="N207"/>
  <c r="G56"/>
  <c r="P56"/>
  <c r="P22"/>
  <c r="P23" s="1"/>
  <c r="P24"/>
  <c r="O36"/>
  <c r="P138"/>
  <c r="T65"/>
  <c r="T102"/>
  <c r="U102"/>
  <c r="R24"/>
  <c r="R30" s="1"/>
  <c r="P57"/>
  <c r="O69"/>
  <c r="N69" s="1"/>
  <c r="R90"/>
  <c r="P89"/>
  <c r="P90" s="1"/>
  <c r="P91"/>
  <c r="P97" s="1"/>
  <c r="N104"/>
  <c r="R124"/>
  <c r="P123"/>
  <c r="P125"/>
  <c r="P133" s="1"/>
  <c r="J137"/>
  <c r="P160"/>
  <c r="R161"/>
  <c r="R169" s="1"/>
  <c r="P162"/>
  <c r="P169" s="1"/>
  <c r="R170"/>
  <c r="U174"/>
  <c r="N187"/>
  <c r="N204"/>
  <c r="T204" s="1"/>
  <c r="R57"/>
  <c r="R65" s="1"/>
  <c r="R91"/>
  <c r="R97" s="1"/>
  <c r="R125"/>
  <c r="R133" s="1"/>
  <c r="R160"/>
  <c r="O201"/>
  <c r="U241" i="3"/>
  <c r="T241"/>
  <c r="R218" i="4" l="1"/>
  <c r="P218"/>
  <c r="N123"/>
  <c r="T123" s="1"/>
  <c r="U123" s="1"/>
  <c r="N64"/>
  <c r="U197"/>
  <c r="T208"/>
  <c r="U204"/>
  <c r="T196"/>
  <c r="U196" s="1"/>
  <c r="N195"/>
  <c r="P113"/>
  <c r="U81"/>
  <c r="R23"/>
  <c r="R46" s="1"/>
  <c r="U188"/>
  <c r="R80"/>
  <c r="N178"/>
  <c r="U176"/>
  <c r="U187"/>
  <c r="V187"/>
  <c r="N171"/>
  <c r="T171" s="1"/>
  <c r="R148"/>
  <c r="R113"/>
  <c r="W113" s="1"/>
  <c r="N162"/>
  <c r="T162" s="1"/>
  <c r="U162" s="1"/>
  <c r="R175"/>
  <c r="R186" s="1"/>
  <c r="N132"/>
  <c r="T132" s="1"/>
  <c r="N96"/>
  <c r="T96" s="1"/>
  <c r="U96" s="1"/>
  <c r="P30"/>
  <c r="P46" s="1"/>
  <c r="G80"/>
  <c r="N167"/>
  <c r="T167" s="1"/>
  <c r="U167" s="1"/>
  <c r="G46"/>
  <c r="Y177"/>
  <c r="Z177" s="1"/>
  <c r="Z178" s="1"/>
  <c r="N12"/>
  <c r="G148"/>
  <c r="N105"/>
  <c r="T105" s="1"/>
  <c r="U105" s="1"/>
  <c r="T104"/>
  <c r="U104" s="1"/>
  <c r="N208"/>
  <c r="U208"/>
  <c r="P175"/>
  <c r="P186" s="1"/>
  <c r="N158"/>
  <c r="T158" s="1"/>
  <c r="U158" s="1"/>
  <c r="P124"/>
  <c r="P148" s="1"/>
  <c r="P65"/>
  <c r="P80" s="1"/>
  <c r="N29"/>
  <c r="N71"/>
  <c r="O208"/>
  <c r="N201"/>
  <c r="T201" s="1"/>
  <c r="U201" s="1"/>
  <c r="N89"/>
  <c r="O133"/>
  <c r="N125"/>
  <c r="T125" s="1"/>
  <c r="U125" s="1"/>
  <c r="O175"/>
  <c r="N170"/>
  <c r="T170" s="1"/>
  <c r="U170" s="1"/>
  <c r="N114"/>
  <c r="O124"/>
  <c r="O90"/>
  <c r="O97"/>
  <c r="N91"/>
  <c r="N209"/>
  <c r="O210"/>
  <c r="O169"/>
  <c r="N161"/>
  <c r="T161" s="1"/>
  <c r="U161" s="1"/>
  <c r="N139"/>
  <c r="O140"/>
  <c r="N134"/>
  <c r="T134" s="1"/>
  <c r="O138"/>
  <c r="N98"/>
  <c r="T98" s="1"/>
  <c r="O70"/>
  <c r="N66"/>
  <c r="T66" s="1"/>
  <c r="O38"/>
  <c r="N37"/>
  <c r="N31"/>
  <c r="O23"/>
  <c r="O203"/>
  <c r="O218" s="1"/>
  <c r="N218" s="1"/>
  <c r="N22"/>
  <c r="U65"/>
  <c r="O160"/>
  <c r="N149"/>
  <c r="O65"/>
  <c r="N57"/>
  <c r="N65" s="1"/>
  <c r="U137"/>
  <c r="T137"/>
  <c r="O30"/>
  <c r="N24"/>
  <c r="O56"/>
  <c r="N47"/>
  <c r="N22" i="3"/>
  <c r="X113" i="4" l="1"/>
  <c r="U169"/>
  <c r="T124"/>
  <c r="W148"/>
  <c r="X148" s="1"/>
  <c r="W23"/>
  <c r="N90"/>
  <c r="T89"/>
  <c r="N97"/>
  <c r="T91"/>
  <c r="O80"/>
  <c r="N80" s="1"/>
  <c r="N186"/>
  <c r="U195"/>
  <c r="T203"/>
  <c r="U132"/>
  <c r="U133" s="1"/>
  <c r="T133"/>
  <c r="T29"/>
  <c r="U29" s="1"/>
  <c r="U30" s="1"/>
  <c r="N36"/>
  <c r="T31"/>
  <c r="T36" s="1"/>
  <c r="T169"/>
  <c r="U171"/>
  <c r="U175" s="1"/>
  <c r="O148"/>
  <c r="N148" s="1"/>
  <c r="O46"/>
  <c r="N46" s="1"/>
  <c r="N210"/>
  <c r="T210" s="1"/>
  <c r="U210" s="1"/>
  <c r="T209"/>
  <c r="U209" s="1"/>
  <c r="T195"/>
  <c r="N175"/>
  <c r="N133"/>
  <c r="N169"/>
  <c r="P219"/>
  <c r="W218"/>
  <c r="X218" s="1"/>
  <c r="U12"/>
  <c r="U23" s="1"/>
  <c r="T23"/>
  <c r="W46"/>
  <c r="X46" s="1"/>
  <c r="N160"/>
  <c r="N140"/>
  <c r="T140" s="1"/>
  <c r="U140" s="1"/>
  <c r="T139"/>
  <c r="U139" s="1"/>
  <c r="N124"/>
  <c r="U114"/>
  <c r="N72"/>
  <c r="T72" s="1"/>
  <c r="U72" s="1"/>
  <c r="T71"/>
  <c r="U71" s="1"/>
  <c r="N56"/>
  <c r="N70"/>
  <c r="N23"/>
  <c r="N38"/>
  <c r="T37"/>
  <c r="N30"/>
  <c r="N138"/>
  <c r="U134"/>
  <c r="U138" s="1"/>
  <c r="N203"/>
  <c r="U255" i="3"/>
  <c r="T255"/>
  <c r="T259" s="1"/>
  <c r="Q255"/>
  <c r="Q259" s="1"/>
  <c r="U248"/>
  <c r="T248"/>
  <c r="Q248"/>
  <c r="U247"/>
  <c r="T247"/>
  <c r="Q247"/>
  <c r="N219" i="4" l="1"/>
  <c r="T30"/>
  <c r="U91"/>
  <c r="U97" s="1"/>
  <c r="T97"/>
  <c r="U89"/>
  <c r="T90"/>
  <c r="U90" s="1"/>
  <c r="T175"/>
  <c r="R219"/>
  <c r="W186"/>
  <c r="X186" s="1"/>
  <c r="V141"/>
  <c r="U149"/>
  <c r="U160" s="1"/>
  <c r="U186" s="1"/>
  <c r="T160"/>
  <c r="U47"/>
  <c r="U56" s="1"/>
  <c r="T56"/>
  <c r="U98"/>
  <c r="U103" s="1"/>
  <c r="T103"/>
  <c r="U66"/>
  <c r="U70" s="1"/>
  <c r="T70"/>
  <c r="U31"/>
  <c r="U36" s="1"/>
  <c r="U37"/>
  <c r="U38" s="1"/>
  <c r="T38"/>
  <c r="T46" s="1"/>
  <c r="W34" s="1"/>
  <c r="O219"/>
  <c r="T138"/>
  <c r="U242" i="3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U113" i="4" l="1"/>
  <c r="U219" s="1"/>
  <c r="T113"/>
  <c r="U46"/>
  <c r="T186"/>
  <c r="W176" s="1"/>
  <c r="T80"/>
  <c r="U80"/>
  <c r="T148"/>
  <c r="W140" s="1"/>
  <c r="W80"/>
  <c r="X80" s="1"/>
  <c r="U124"/>
  <c r="U148" s="1"/>
  <c r="Q14" i="3"/>
  <c r="N14"/>
  <c r="G257"/>
  <c r="U257" s="1"/>
  <c r="J268"/>
  <c r="J267"/>
  <c r="W103" i="4" l="1"/>
  <c r="T219"/>
  <c r="W69"/>
  <c r="Z186"/>
  <c r="V257" i="3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8" i="4" l="1"/>
  <c r="U203"/>
  <c r="U218" s="1"/>
  <c r="M15" i="11"/>
  <c r="N15" s="1"/>
  <c r="M11"/>
  <c r="N11" s="1"/>
  <c r="W209" i="4" l="1"/>
  <c r="N17" i="11" l="1"/>
  <c r="O17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<sst xmlns="http://schemas.openxmlformats.org/spreadsheetml/2006/main" count="3843" uniqueCount="369">
  <si>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</si>
  <si>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</si>
  <si>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</si>
  <si>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</si>
  <si>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</si>
  <si>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</si>
  <si>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</si>
  <si>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</si>
  <si>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</si>
  <si>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</si>
  <si>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</si>
  <si>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</si>
  <si>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</si>
  <si>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</si>
  <si>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</si>
  <si>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</si>
  <si>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</si>
  <si>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</si>
  <si>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</si>
  <si>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</si>
  <si>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</si>
  <si>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</si>
  <si>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</si>
  <si>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</si>
  <si>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</si>
  <si>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</si>
  <si>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</si>
  <si>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</si>
  <si>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</si>
  <si>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</si>
  <si>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</si>
  <si>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</si>
  <si>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</si>
  <si>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</si>
  <si>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</si>
  <si>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</si>
  <si>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</si>
  <si>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</si>
  <si>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</si>
  <si>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</si>
  <si>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</si>
  <si>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</si>
  <si>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</si>
  <si>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</si>
  <si>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</si>
  <si>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</si>
  <si>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</si>
  <si>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</si>
  <si>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</si>
  <si>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</si>
  <si>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</si>
  <si>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</si>
  <si>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</si>
  <si>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</si>
  <si>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</si>
  <si>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</si>
  <si>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</si>
  <si>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</si>
  <si>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</si>
  <si>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</si>
  <si>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</si>
  <si>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</si>
  <si>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</si>
  <si>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</si>
  <si>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</si>
  <si>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</si>
  <si>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</si>
  <si>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</si>
  <si>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</si>
  <si>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</si>
  <si>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</si>
  <si>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</si>
  <si>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</si>
  <si>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</si>
  <si>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</si>
  <si>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</si>
  <si>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</si>
  <si>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</si>
  <si>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</si>
  <si>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</si>
  <si>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</si>
  <si>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</si>
  <si>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</si>
  <si>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</si>
  <si>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</si>
  <si>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</si>
  <si>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</si>
  <si>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</si>
  <si>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</si>
  <si>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</si>
  <si>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</si>
  <si>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</si>
  <si>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</si>
  <si>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</si>
  <si>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</si>
  <si>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</si>
  <si>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</si>
  <si>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</si>
  <si>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</si>
  <si>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</si>
  <si>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</si>
  <si>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</si>
  <si>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</si>
  <si>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</si>
  <si>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</si>
  <si>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</si>
  <si>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</si>
  <si>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</si>
  <si>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</si>
  <si>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</si>
  <si>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</si>
  <si>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</si>
  <si>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</si>
  <si>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</si>
  <si>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</si>
  <si>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</si>
  <si>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</si>
  <si>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</si>
  <si>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</si>
  <si>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</si>
  <si>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</si>
  <si>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</si>
  <si>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</si>
  <si>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</si>
  <si>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</si>
  <si>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</si>
  <si>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</si>
  <si>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</si>
  <si>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</si>
  <si>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</si>
  <si>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</si>
  <si>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</si>
  <si>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</si>
  <si>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</si>
  <si>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</si>
  <si>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</si>
  <si>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</si>
  <si>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</si>
  <si>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</si>
  <si>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</si>
  <si>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</si>
  <si>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</si>
  <si>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</si>
  <si>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</si>
  <si>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</si>
  <si>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</si>
  <si>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</si>
  <si>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</si>
  <si>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</si>
  <si>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</si>
  <si>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</si>
  <si>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</si>
  <si>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</si>
  <si>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</si>
  <si>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</si>
  <si>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</si>
  <si>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</si>
  <si>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</si>
  <si>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</si>
  <si>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</si>
  <si>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</si>
  <si>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</si>
  <si>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</si>
  <si>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</si>
  <si>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</si>
  <si>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</si>
  <si>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</si>
  <si>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</si>
  <si>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</si>
  <si>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</si>
  <si>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</si>
  <si>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</si>
  <si>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</si>
  <si>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</si>
  <si>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</si>
  <si>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</si>
  <si>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</si>
  <si>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</si>
  <si>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</si>
  <si>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</si>
  <si>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</si>
  <si>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</si>
  <si>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</si>
  <si>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</si>
  <si>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</si>
  <si>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</si>
  <si>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</si>
  <si>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</si>
  <si>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</si>
  <si>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</si>
  <si>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</si>
  <si>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</si>
  <si>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</si>
  <si>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</si>
  <si>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</si>
  <si>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</si>
  <si>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</si>
  <si>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</si>
  <si>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</si>
  <si>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</si>
  <si>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</si>
  <si>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</si>
  <si>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</si>
  <si>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</si>
  <si>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</si>
  <si>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</si>
  <si>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</si>
  <si>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</si>
  <si>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</si>
  <si>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</si>
  <si>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</si>
  <si>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</si>
  <si>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</si>
  <si>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</si>
  <si>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</si>
  <si>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</si>
  <si>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</si>
  <si>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</si>
  <si>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</si>
  <si>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</si>
  <si>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</si>
  <si>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</si>
  <si>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</si>
  <si>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</si>
  <si>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</si>
  <si>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</si>
  <si>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</si>
  <si>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</si>
  <si>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</si>
  <si>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</si>
  <si>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</si>
  <si>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</si>
  <si>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</si>
  <si>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</si>
  <si>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</si>
  <si>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</si>
  <si>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</si>
  <si>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</si>
  <si>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</si>
  <si>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</si>
  <si>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</si>
  <si>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</si>
  <si>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</si>
  <si>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</si>
  <si>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</si>
  <si>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</si>
  <si>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</si>
  <si>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</si>
  <si>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</si>
  <si>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</si>
  <si>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</si>
  <si>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</si>
  <si>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</si>
  <si>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</si>
  <si>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</si>
  <si>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</si>
  <si>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</si>
  <si>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</si>
  <si>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</si>
  <si>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</si>
  <si>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</si>
  <si>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</si>
  <si>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</si>
  <si>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</si>
  <si>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</si>
  <si>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</si>
  <si>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</si>
  <si>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</si>
  <si>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</si>
  <si>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</si>
  <si>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</si>
  <si>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</si>
  <si>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</si>
  <si>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</si>
  <si>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</si>
  <si>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</si>
  <si>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</si>
  <si>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</si>
  <si>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</si>
  <si>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</si>
  <si>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</si>
  <si>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</si>
  <si>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</si>
  <si>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</si>
  <si>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</si>
  <si>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</si>
  <si>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</si>
  <si>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</si>
  <si>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</si>
  <si>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</si>
  <si>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</si>
  <si>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1\17</t>
  </si>
  <si>
    <t>4\85</t>
  </si>
  <si>
    <t>3\72</t>
  </si>
  <si>
    <t>3\44</t>
  </si>
  <si>
    <t>Приложение № 1</t>
  </si>
  <si>
    <t>Доплата до МРОТ разница</t>
  </si>
  <si>
    <t>2022год</t>
  </si>
  <si>
    <t>Краевая доплата пед.работ.</t>
  </si>
  <si>
    <t>к Приказу от 09.01.2020 г. № 1</t>
  </si>
  <si>
    <t>к Приказу от 09.01.2020 г. №  1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</si>
  <si>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</si>
  <si>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</si>
  <si>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</si>
  <si>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</si>
  <si>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</si>
  <si>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</si>
  <si>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</si>
  <si>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</si>
  <si>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</si>
  <si>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</si>
  <si>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</si>
  <si>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</si>
  <si>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</si>
  <si>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</si>
  <si>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</si>
  <si>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</si>
  <si>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</si>
  <si>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</si>
  <si>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668575,57- на 1 класс+ 3817,68- на 1 человека</t>
  </si>
  <si>
    <t>628912,16- на 1 класс+ 3817,68 на 1 человека</t>
  </si>
  <si>
    <t>787313,28- на 1 класс+4110,78 на 1 человека</t>
  </si>
  <si>
    <t>841148,96 на 1 класс+4454,15 на 1 человека</t>
  </si>
  <si>
    <t>668575,57- на 1 класс+25816,26 на 1 человека</t>
  </si>
  <si>
    <t>628912,16- на 1 класс+25816,26 на 1 человека</t>
  </si>
  <si>
    <t>787313,28- на 1 класс+ 26109,36 на 1 человека</t>
  </si>
  <si>
    <t>841148,96 на 1 класс+ 26452,73 на 1 человека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</si>
  <si>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</si>
  <si>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</si>
  <si>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</si>
  <si>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</si>
  <si>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</si>
  <si>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</si>
  <si>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</si>
  <si>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</si>
  <si>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</si>
  <si>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</si>
  <si>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</si>
  <si>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</si>
  <si>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</si>
  <si>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</si>
  <si>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10567,42- на 1 человека</t>
  </si>
  <si>
    <t>на 01.01.2020 год</t>
  </si>
  <si>
    <t>t=11</t>
  </si>
  <si>
    <t xml:space="preserve"> c 01.09.2020 год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</si>
  <si>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</si>
  <si>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</si>
  <si>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</si>
  <si>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3\59</t>
  </si>
  <si>
    <t>2\27</t>
  </si>
  <si>
    <t>5\92</t>
  </si>
  <si>
    <t>5\87</t>
  </si>
  <si>
    <t>4\62</t>
  </si>
  <si>
    <t>3\63</t>
  </si>
  <si>
    <t>3\50</t>
  </si>
  <si>
    <t>6\108</t>
  </si>
  <si>
    <t>993246,1- на 1 класс+ 26109,36 на 1 человека</t>
  </si>
  <si>
    <t>993246,1- на 1 класс+ 4110,78 на 1 человека</t>
  </si>
  <si>
    <t>2\18</t>
  </si>
  <si>
    <t>к Приказу от 06.11.2020 г. № 169</t>
  </si>
  <si>
    <t>22234,76- на 1 человека</t>
  </si>
  <si>
    <t>к Приказу от 06.11.2020 г. №169</t>
  </si>
  <si>
    <t>Реализация дополнительных общеразвивающих программ (Персонифицированное финансиррвание) (социально-педагогическое направление) 804200О.99.0.ББ52АЖ24000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</si>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</sst>
</file>

<file path=xl/styles.xml><?xml version="1.0" encoding="utf-8"?>
<styleSheet xmlns="http://schemas.openxmlformats.org/spreadsheetml/2006/main">
  <numFmts count="8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  <numFmt numFmtId="170" formatCode="#,##0.00000"/>
    <numFmt numFmtId="171" formatCode="#,##0.0000"/>
  </numFmts>
  <fonts count="25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78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4" fillId="0" borderId="4" xfId="0" applyFont="1" applyFill="1" applyBorder="1" applyAlignment="1">
      <alignment horizontal="center" vertical="center" wrapText="1" readingOrder="1"/>
    </xf>
    <xf numFmtId="0" fontId="7" fillId="0" borderId="4" xfId="2" applyFont="1" applyFill="1" applyBorder="1" applyAlignment="1">
      <alignment horizontal="center" vertical="top" wrapText="1"/>
    </xf>
    <xf numFmtId="0" fontId="7" fillId="0" borderId="4" xfId="2" applyFont="1" applyFill="1" applyBorder="1" applyAlignment="1">
      <alignment horizontal="center" vertical="top" wrapText="1"/>
    </xf>
    <xf numFmtId="4" fontId="2" fillId="0" borderId="0" xfId="0" applyNumberFormat="1" applyFont="1" applyFill="1"/>
    <xf numFmtId="3" fontId="1" fillId="0" borderId="0" xfId="0" applyNumberFormat="1" applyFont="1" applyFill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0" xfId="0" applyNumberFormat="1" applyFont="1" applyFill="1"/>
    <xf numFmtId="4" fontId="1" fillId="3" borderId="3" xfId="0" applyNumberFormat="1" applyFont="1" applyFill="1" applyBorder="1"/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/>
    </xf>
    <xf numFmtId="0" fontId="1" fillId="3" borderId="3" xfId="0" applyFont="1" applyFill="1" applyBorder="1"/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164" fontId="1" fillId="3" borderId="4" xfId="0" applyNumberFormat="1" applyFont="1" applyFill="1" applyBorder="1" applyAlignment="1">
      <alignment horizontal="right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0" fontId="1" fillId="3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4" xfId="0" applyFont="1" applyFill="1" applyBorder="1"/>
    <xf numFmtId="0" fontId="1" fillId="3" borderId="7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/>
    </xf>
    <xf numFmtId="4" fontId="1" fillId="3" borderId="4" xfId="0" applyNumberFormat="1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indent="2"/>
    </xf>
    <xf numFmtId="0" fontId="1" fillId="8" borderId="0" xfId="0" applyFont="1" applyFill="1"/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/>
    <xf numFmtId="2" fontId="1" fillId="3" borderId="3" xfId="0" applyNumberFormat="1" applyFont="1" applyFill="1" applyBorder="1"/>
    <xf numFmtId="3" fontId="1" fillId="3" borderId="4" xfId="0" applyNumberFormat="1" applyFont="1" applyFill="1" applyBorder="1"/>
    <xf numFmtId="3" fontId="23" fillId="3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2" fontId="1" fillId="3" borderId="0" xfId="0" applyNumberFormat="1" applyFont="1" applyFill="1"/>
    <xf numFmtId="4" fontId="1" fillId="8" borderId="0" xfId="0" applyNumberFormat="1" applyFont="1" applyFill="1"/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4" fontId="1" fillId="5" borderId="0" xfId="0" applyNumberFormat="1" applyFont="1" applyFill="1"/>
    <xf numFmtId="0" fontId="1" fillId="3" borderId="4" xfId="0" applyFont="1" applyFill="1" applyBorder="1" applyAlignment="1">
      <alignment horizontal="center" vertical="center" wrapText="1"/>
    </xf>
    <xf numFmtId="3" fontId="21" fillId="3" borderId="3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171" fontId="1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3" fontId="11" fillId="5" borderId="4" xfId="0" applyNumberFormat="1" applyFont="1" applyFill="1" applyBorder="1" applyAlignment="1"/>
    <xf numFmtId="0" fontId="1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3" fontId="11" fillId="6" borderId="4" xfId="0" applyNumberFormat="1" applyFont="1" applyFill="1" applyBorder="1" applyAlignment="1"/>
    <xf numFmtId="0" fontId="1" fillId="3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/>
    <xf numFmtId="0" fontId="2" fillId="0" borderId="4" xfId="0" applyFont="1" applyFill="1" applyBorder="1" applyAlignment="1">
      <alignment horizontal="right"/>
    </xf>
    <xf numFmtId="2" fontId="2" fillId="0" borderId="4" xfId="0" applyNumberFormat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4" fillId="0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1" fillId="0" borderId="7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325" t="s">
        <v>1</v>
      </c>
      <c r="B3" s="325"/>
      <c r="C3" s="326"/>
      <c r="D3" s="325"/>
      <c r="E3" s="325"/>
      <c r="F3" s="325"/>
      <c r="G3" s="325"/>
      <c r="H3" s="325"/>
      <c r="I3" s="326"/>
      <c r="J3" s="325"/>
      <c r="K3" s="325"/>
      <c r="L3" s="325"/>
      <c r="M3" s="325"/>
      <c r="N3" s="326"/>
      <c r="O3" s="325"/>
      <c r="P3" s="325"/>
      <c r="Q3" s="325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319" t="s">
        <v>5</v>
      </c>
      <c r="F6" s="319"/>
      <c r="G6" s="319"/>
      <c r="H6" s="320" t="s">
        <v>6</v>
      </c>
      <c r="I6" s="320"/>
      <c r="J6" s="320"/>
      <c r="K6" s="320"/>
      <c r="L6" s="320" t="s">
        <v>7</v>
      </c>
      <c r="M6" s="320"/>
      <c r="N6" s="320"/>
      <c r="O6" s="320"/>
      <c r="P6" s="320"/>
      <c r="Q6" s="320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324" t="s">
        <v>8</v>
      </c>
      <c r="M7" s="324"/>
      <c r="N7" s="324"/>
      <c r="O7" s="324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328" t="s">
        <v>154</v>
      </c>
      <c r="B96" s="328"/>
      <c r="C96" s="328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327" t="s">
        <v>3</v>
      </c>
      <c r="B97" s="327" t="s">
        <v>86</v>
      </c>
      <c r="C97" s="7" t="s">
        <v>87</v>
      </c>
      <c r="D97" s="327" t="s">
        <v>4</v>
      </c>
      <c r="E97" s="327" t="s">
        <v>5</v>
      </c>
      <c r="F97" s="327"/>
      <c r="G97" s="327"/>
      <c r="H97" s="327" t="s">
        <v>6</v>
      </c>
      <c r="I97" s="327"/>
      <c r="J97" s="327"/>
      <c r="K97" s="327"/>
      <c r="L97" s="327" t="s">
        <v>7</v>
      </c>
      <c r="M97" s="327"/>
      <c r="N97" s="327"/>
      <c r="O97" s="327"/>
      <c r="P97" s="327"/>
      <c r="Q97" s="327"/>
    </row>
    <row r="98" spans="1:17" ht="110.4">
      <c r="A98" s="327"/>
      <c r="B98" s="327"/>
      <c r="C98" s="7"/>
      <c r="D98" s="327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323" t="s">
        <v>98</v>
      </c>
      <c r="B100" s="321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323"/>
      <c r="B101" s="321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323"/>
      <c r="B102" s="321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323"/>
      <c r="B103" s="321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323"/>
      <c r="B104" s="321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323"/>
      <c r="B105" s="321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323"/>
      <c r="B106" s="321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323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323"/>
      <c r="B108" s="321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323"/>
      <c r="B109" s="321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323"/>
      <c r="B110" s="321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323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323"/>
      <c r="B112" s="322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323"/>
      <c r="B113" s="322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323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323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323" t="s">
        <v>113</v>
      </c>
      <c r="B116" s="321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323"/>
      <c r="B117" s="321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323"/>
      <c r="B118" s="321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323"/>
      <c r="B119" s="321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323"/>
      <c r="B120" s="321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323"/>
      <c r="B121" s="321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323"/>
      <c r="B122" s="321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323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323"/>
      <c r="B124" s="321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323"/>
      <c r="B125" s="321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323"/>
      <c r="B126" s="321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323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323"/>
      <c r="B128" s="322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323"/>
      <c r="B129" s="322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323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323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323" t="s">
        <v>114</v>
      </c>
      <c r="B132" s="321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323"/>
      <c r="B133" s="321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323"/>
      <c r="B134" s="321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323"/>
      <c r="B135" s="321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323"/>
      <c r="B136" s="321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323"/>
      <c r="B137" s="321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323"/>
      <c r="B138" s="321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323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323"/>
      <c r="B140" s="321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323"/>
      <c r="B141" s="321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323"/>
      <c r="B142" s="321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323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323"/>
      <c r="B144" s="322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323"/>
      <c r="B145" s="322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323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323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323" t="s">
        <v>115</v>
      </c>
      <c r="B148" s="321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323"/>
      <c r="B149" s="321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323"/>
      <c r="B150" s="321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323"/>
      <c r="B151" s="321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323"/>
      <c r="B152" s="321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323"/>
      <c r="B153" s="321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323"/>
      <c r="B154" s="321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323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323"/>
      <c r="B156" s="321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323"/>
      <c r="B157" s="321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323"/>
      <c r="B158" s="321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323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323"/>
      <c r="B160" s="322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323"/>
      <c r="B161" s="322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323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323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323" t="s">
        <v>116</v>
      </c>
      <c r="B164" s="321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323"/>
      <c r="B165" s="321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323"/>
      <c r="B166" s="321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323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323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323"/>
      <c r="B169" s="321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323"/>
      <c r="B170" s="321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323"/>
      <c r="B171" s="321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323"/>
      <c r="B172" s="321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323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323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323"/>
      <c r="B175" s="321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323"/>
      <c r="B176" s="321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323"/>
      <c r="B177" s="321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323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323"/>
      <c r="B179" s="322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323"/>
      <c r="B180" s="322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323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323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323" t="s">
        <v>119</v>
      </c>
      <c r="B183" s="321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323"/>
      <c r="B184" s="321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323"/>
      <c r="B185" s="321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323"/>
      <c r="B186" s="321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323"/>
      <c r="B187" s="321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323"/>
      <c r="B188" s="321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323"/>
      <c r="B189" s="321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323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323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323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323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323"/>
      <c r="B194" s="322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323"/>
      <c r="B195" s="322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323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323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317" t="s">
        <v>5</v>
      </c>
      <c r="E199" s="317"/>
      <c r="F199" s="317"/>
      <c r="G199" s="318" t="s">
        <v>6</v>
      </c>
      <c r="H199" s="318" t="s">
        <v>7</v>
      </c>
      <c r="I199" s="318"/>
      <c r="J199" s="318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318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315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316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330" t="s">
        <v>207</v>
      </c>
      <c r="B5" s="330"/>
      <c r="C5" s="331"/>
      <c r="D5" s="330"/>
      <c r="E5" s="330"/>
      <c r="F5" s="331"/>
      <c r="G5" s="331"/>
      <c r="H5" s="330"/>
      <c r="I5" s="330"/>
      <c r="J5" s="330"/>
      <c r="K5" s="331"/>
      <c r="L5" s="330"/>
      <c r="M5" s="330"/>
      <c r="N5" s="330"/>
      <c r="O5" s="330"/>
      <c r="P5" s="331"/>
      <c r="Q5" s="331"/>
      <c r="R5" s="331"/>
      <c r="S5" s="331"/>
      <c r="T5" s="330"/>
      <c r="U5" s="330"/>
      <c r="V5" s="330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32" t="s">
        <v>6</v>
      </c>
      <c r="K8" s="333"/>
      <c r="L8" s="333"/>
      <c r="M8" s="334"/>
      <c r="N8" s="335" t="s">
        <v>7</v>
      </c>
      <c r="O8" s="335"/>
      <c r="P8" s="335"/>
      <c r="Q8" s="335"/>
      <c r="R8" s="335"/>
      <c r="S8" s="335"/>
      <c r="T8" s="335"/>
      <c r="U8" s="335"/>
      <c r="V8" s="335"/>
    </row>
    <row r="9" spans="1:24">
      <c r="A9" s="109"/>
      <c r="B9" s="109"/>
      <c r="C9" s="109"/>
      <c r="D9" s="109"/>
      <c r="E9" s="338"/>
      <c r="F9" s="339"/>
      <c r="G9" s="340"/>
      <c r="H9" s="108"/>
      <c r="I9" s="108"/>
      <c r="J9" s="142"/>
      <c r="K9" s="142"/>
      <c r="L9" s="142"/>
      <c r="M9" s="142"/>
      <c r="N9" s="332"/>
      <c r="O9" s="343"/>
      <c r="P9" s="343"/>
      <c r="Q9" s="343"/>
      <c r="R9" s="343"/>
      <c r="S9" s="343"/>
      <c r="T9" s="344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36" t="s">
        <v>176</v>
      </c>
      <c r="O10" s="336"/>
      <c r="P10" s="336"/>
      <c r="Q10" s="336"/>
      <c r="R10" s="336"/>
      <c r="S10" s="336"/>
      <c r="T10" s="336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345" t="s">
        <v>78</v>
      </c>
      <c r="D68" s="347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346"/>
      <c r="D69" s="348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337" t="s">
        <v>154</v>
      </c>
      <c r="B104" s="337"/>
      <c r="C104" s="337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341" t="s">
        <v>3</v>
      </c>
      <c r="B105" s="341" t="s">
        <v>86</v>
      </c>
      <c r="C105" s="114" t="s">
        <v>87</v>
      </c>
      <c r="D105" s="341" t="s">
        <v>4</v>
      </c>
      <c r="E105" s="342" t="s">
        <v>5</v>
      </c>
      <c r="F105" s="342"/>
      <c r="G105" s="342"/>
      <c r="H105" s="342"/>
      <c r="I105" s="342"/>
      <c r="J105" s="329" t="s">
        <v>6</v>
      </c>
      <c r="K105" s="329"/>
      <c r="L105" s="329"/>
      <c r="M105" s="329"/>
      <c r="N105" s="329" t="s">
        <v>7</v>
      </c>
      <c r="O105" s="329"/>
      <c r="P105" s="329"/>
      <c r="Q105" s="329"/>
      <c r="R105" s="329"/>
      <c r="S105" s="329"/>
      <c r="T105" s="329"/>
      <c r="U105" s="329"/>
      <c r="V105" s="329"/>
    </row>
    <row r="106" spans="1:22" ht="110.4">
      <c r="A106" s="341"/>
      <c r="B106" s="341"/>
      <c r="C106" s="114"/>
      <c r="D106" s="341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349" t="s">
        <v>98</v>
      </c>
      <c r="B108" s="351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349"/>
      <c r="B109" s="352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349"/>
      <c r="B110" s="352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349"/>
      <c r="B111" s="352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349"/>
      <c r="B112" s="352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349"/>
      <c r="B113" s="352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349"/>
      <c r="B114" s="352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349"/>
      <c r="B115" s="352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349"/>
      <c r="B116" s="352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349"/>
      <c r="B117" s="352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349"/>
      <c r="B118" s="352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349"/>
      <c r="B119" s="353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349"/>
      <c r="B120" s="350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349"/>
      <c r="B121" s="350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349"/>
      <c r="B122" s="350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349"/>
      <c r="B123" s="350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349"/>
      <c r="B124" s="350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349"/>
      <c r="B125" s="350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349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349"/>
      <c r="B127" s="350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349"/>
      <c r="B128" s="350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349"/>
      <c r="B129" s="350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349"/>
      <c r="B130" s="350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349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349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349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349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349" t="s">
        <v>113</v>
      </c>
      <c r="B135" s="350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349"/>
      <c r="B136" s="350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349"/>
      <c r="B137" s="350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349"/>
      <c r="B138" s="350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349"/>
      <c r="B139" s="350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349"/>
      <c r="B140" s="350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349"/>
      <c r="B141" s="350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349"/>
      <c r="B142" s="350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349"/>
      <c r="B143" s="350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349"/>
      <c r="B144" s="350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349"/>
      <c r="B145" s="350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349"/>
      <c r="B146" s="350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349"/>
      <c r="B147" s="350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349"/>
      <c r="B148" s="350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349"/>
      <c r="B149" s="350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349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349"/>
      <c r="B151" s="350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349"/>
      <c r="B152" s="350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349"/>
      <c r="B153" s="350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349"/>
      <c r="B154" s="350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349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349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349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349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349" t="s">
        <v>114</v>
      </c>
      <c r="B159" s="350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349"/>
      <c r="B160" s="350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349"/>
      <c r="B161" s="350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349"/>
      <c r="B162" s="350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349"/>
      <c r="B163" s="350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349"/>
      <c r="B164" s="350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349"/>
      <c r="B165" s="350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349"/>
      <c r="B166" s="350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349"/>
      <c r="B167" s="350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349"/>
      <c r="B168" s="350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349"/>
      <c r="B169" s="350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349"/>
      <c r="B170" s="350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349"/>
      <c r="B171" s="350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349"/>
      <c r="B172" s="350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349"/>
      <c r="B173" s="350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349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349"/>
      <c r="B175" s="350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349"/>
      <c r="B176" s="350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349"/>
      <c r="B177" s="350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349"/>
      <c r="B178" s="350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349"/>
      <c r="B179" s="350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349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349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349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349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349" t="s">
        <v>115</v>
      </c>
      <c r="B184" s="350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349"/>
      <c r="B185" s="350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349"/>
      <c r="B186" s="350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349"/>
      <c r="B187" s="350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349"/>
      <c r="B188" s="350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349"/>
      <c r="B189" s="350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349"/>
      <c r="B190" s="350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349"/>
      <c r="B191" s="350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349"/>
      <c r="B192" s="350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349"/>
      <c r="B193" s="350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349"/>
      <c r="B194" s="350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349"/>
      <c r="B195" s="350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349"/>
      <c r="B196" s="350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349"/>
      <c r="B197" s="350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349"/>
      <c r="B198" s="350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349"/>
      <c r="B199" s="350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349"/>
      <c r="B200" s="350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349"/>
      <c r="B201" s="350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349"/>
      <c r="B202" s="350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349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349"/>
      <c r="B204" s="350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349"/>
      <c r="B205" s="350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349"/>
      <c r="B206" s="350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349"/>
      <c r="B207" s="350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349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349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349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349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349" t="s">
        <v>116</v>
      </c>
      <c r="B212" s="351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349"/>
      <c r="B213" s="352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349"/>
      <c r="B214" s="352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349"/>
      <c r="B215" s="352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349"/>
      <c r="B216" s="352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349"/>
      <c r="B217" s="352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349"/>
      <c r="B218" s="352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349"/>
      <c r="B219" s="352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349"/>
      <c r="B220" s="352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349"/>
      <c r="B221" s="352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349"/>
      <c r="B222" s="353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349"/>
      <c r="B223" s="351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349"/>
      <c r="B224" s="352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349"/>
      <c r="B225" s="352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349"/>
      <c r="B226" s="352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349"/>
      <c r="B227" s="352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349"/>
      <c r="B228" s="352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349"/>
      <c r="B229" s="352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349"/>
      <c r="B230" s="352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349"/>
      <c r="B231" s="353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349"/>
      <c r="B232" s="351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349"/>
      <c r="B233" s="352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349"/>
      <c r="B234" s="352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349"/>
      <c r="B235" s="352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349"/>
      <c r="B236" s="352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349"/>
      <c r="B237" s="353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349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349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349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349" t="s">
        <v>119</v>
      </c>
      <c r="B241" s="350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349"/>
      <c r="B242" s="350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349"/>
      <c r="B243" s="350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349"/>
      <c r="B244" s="350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349"/>
      <c r="B245" s="350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349"/>
      <c r="B246" s="350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193.2">
      <c r="A247" s="349"/>
      <c r="B247" s="350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349"/>
      <c r="B248" s="350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349"/>
      <c r="B249" s="350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349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349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349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349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349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349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349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349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349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349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349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349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349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354" t="s">
        <v>5</v>
      </c>
      <c r="E264" s="354"/>
      <c r="F264" s="354"/>
      <c r="G264" s="354"/>
      <c r="H264" s="354"/>
      <c r="I264" s="335" t="s">
        <v>6</v>
      </c>
      <c r="J264" s="335" t="s">
        <v>7</v>
      </c>
      <c r="K264" s="335"/>
      <c r="L264" s="335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35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505"/>
  <sheetViews>
    <sheetView tabSelected="1" zoomScale="70" zoomScaleNormal="70" workbookViewId="0">
      <selection activeCell="O226" sqref="O226"/>
    </sheetView>
  </sheetViews>
  <sheetFormatPr defaultColWidth="9.109375" defaultRowHeight="13.8"/>
  <cols>
    <col min="1" max="1" width="19.44140625" style="80" customWidth="1"/>
    <col min="2" max="2" width="28.6640625" style="80" customWidth="1"/>
    <col min="3" max="3" width="24.5546875" style="80" customWidth="1"/>
    <col min="4" max="4" width="8.6640625" style="80" customWidth="1"/>
    <col min="5" max="5" width="18.33203125" style="190" customWidth="1"/>
    <col min="6" max="6" width="13.33203125" style="190" customWidth="1"/>
    <col min="7" max="7" width="11.6640625" style="190" bestFit="1" customWidth="1"/>
    <col min="8" max="8" width="12.88671875" style="80" bestFit="1" customWidth="1"/>
    <col min="9" max="9" width="12.109375" style="80" bestFit="1" customWidth="1"/>
    <col min="10" max="10" width="17.33203125" style="80" customWidth="1"/>
    <col min="11" max="11" width="16" style="80" customWidth="1"/>
    <col min="12" max="12" width="13.88671875" style="190" customWidth="1"/>
    <col min="13" max="13" width="13.5546875" style="190" customWidth="1"/>
    <col min="14" max="14" width="16.6640625" style="190" customWidth="1"/>
    <col min="15" max="15" width="22.109375" style="190" customWidth="1"/>
    <col min="16" max="16" width="14.6640625" style="190" customWidth="1"/>
    <col min="17" max="17" width="21.88671875" style="190" hidden="1" customWidth="1"/>
    <col min="18" max="18" width="18.109375" style="190" customWidth="1"/>
    <col min="19" max="19" width="18.5546875" style="190" hidden="1" customWidth="1"/>
    <col min="20" max="20" width="18.6640625" style="190" customWidth="1"/>
    <col min="21" max="21" width="19" style="190" customWidth="1"/>
    <col min="22" max="22" width="15.33203125" style="80" hidden="1" customWidth="1"/>
    <col min="23" max="23" width="20.33203125" style="80" hidden="1" customWidth="1"/>
    <col min="24" max="24" width="22" style="80" hidden="1" customWidth="1"/>
    <col min="25" max="25" width="18" style="80" hidden="1" customWidth="1"/>
    <col min="26" max="26" width="18.44140625" style="80" hidden="1" customWidth="1"/>
    <col min="27" max="29" width="9.109375" style="80" customWidth="1"/>
    <col min="30" max="16384" width="9.109375" style="80"/>
  </cols>
  <sheetData>
    <row r="1" spans="1:21">
      <c r="T1" s="193" t="s">
        <v>295</v>
      </c>
    </row>
    <row r="2" spans="1:21">
      <c r="T2" s="193" t="s">
        <v>359</v>
      </c>
    </row>
    <row r="3" spans="1:21">
      <c r="R3" s="193"/>
      <c r="S3" s="193"/>
      <c r="T3" s="193" t="s">
        <v>175</v>
      </c>
    </row>
    <row r="4" spans="1:21">
      <c r="R4" s="193"/>
      <c r="S4" s="193"/>
      <c r="T4" s="193" t="s">
        <v>300</v>
      </c>
    </row>
    <row r="5" spans="1:21" hidden="1">
      <c r="R5" s="193" t="s">
        <v>175</v>
      </c>
      <c r="S5" s="193"/>
    </row>
    <row r="6" spans="1:21" hidden="1">
      <c r="R6" s="193" t="s">
        <v>189</v>
      </c>
      <c r="S6" s="193"/>
    </row>
    <row r="7" spans="1:21">
      <c r="A7" s="330" t="s">
        <v>261</v>
      </c>
      <c r="B7" s="330"/>
      <c r="C7" s="331"/>
      <c r="D7" s="330"/>
      <c r="E7" s="330"/>
      <c r="F7" s="331"/>
      <c r="G7" s="331"/>
      <c r="H7" s="330"/>
      <c r="I7" s="330"/>
      <c r="J7" s="330"/>
      <c r="K7" s="331"/>
      <c r="L7" s="330"/>
      <c r="M7" s="330"/>
      <c r="N7" s="330"/>
      <c r="O7" s="330"/>
      <c r="P7" s="331"/>
      <c r="Q7" s="331"/>
      <c r="R7" s="330"/>
      <c r="S7" s="331"/>
      <c r="T7" s="330"/>
      <c r="U7" s="330"/>
    </row>
    <row r="8" spans="1:21">
      <c r="A8" s="337" t="s">
        <v>154</v>
      </c>
      <c r="B8" s="337"/>
      <c r="C8" s="337"/>
      <c r="D8" s="86"/>
      <c r="E8" s="197"/>
      <c r="F8" s="197"/>
      <c r="G8" s="197"/>
      <c r="H8" s="87"/>
      <c r="I8" s="87"/>
      <c r="J8" s="75"/>
      <c r="K8" s="75"/>
      <c r="L8" s="46"/>
      <c r="M8" s="46"/>
      <c r="N8" s="46"/>
      <c r="O8" s="46"/>
      <c r="P8" s="46"/>
      <c r="Q8" s="46"/>
      <c r="R8" s="46"/>
      <c r="S8" s="46"/>
      <c r="T8" s="46"/>
      <c r="U8" s="46"/>
    </row>
    <row r="9" spans="1:21" ht="27.6">
      <c r="A9" s="341" t="s">
        <v>3</v>
      </c>
      <c r="B9" s="341" t="s">
        <v>86</v>
      </c>
      <c r="C9" s="185" t="s">
        <v>87</v>
      </c>
      <c r="D9" s="341" t="s">
        <v>4</v>
      </c>
      <c r="E9" s="342" t="s">
        <v>5</v>
      </c>
      <c r="F9" s="342"/>
      <c r="G9" s="342"/>
      <c r="H9" s="342"/>
      <c r="I9" s="342"/>
      <c r="J9" s="329" t="s">
        <v>6</v>
      </c>
      <c r="K9" s="329"/>
      <c r="L9" s="329"/>
      <c r="M9" s="329"/>
      <c r="N9" s="359" t="s">
        <v>7</v>
      </c>
      <c r="O9" s="359"/>
      <c r="P9" s="359"/>
      <c r="Q9" s="359"/>
      <c r="R9" s="359"/>
      <c r="S9" s="359"/>
      <c r="T9" s="359"/>
      <c r="U9" s="359"/>
    </row>
    <row r="10" spans="1:21" ht="110.4">
      <c r="A10" s="341"/>
      <c r="B10" s="341"/>
      <c r="C10" s="185"/>
      <c r="D10" s="341"/>
      <c r="E10" s="288" t="s">
        <v>342</v>
      </c>
      <c r="F10" s="288" t="s">
        <v>266</v>
      </c>
      <c r="G10" s="288" t="s">
        <v>263</v>
      </c>
      <c r="H10" s="258" t="s">
        <v>205</v>
      </c>
      <c r="I10" s="258" t="s">
        <v>262</v>
      </c>
      <c r="J10" s="257" t="s">
        <v>88</v>
      </c>
      <c r="K10" s="257" t="s">
        <v>89</v>
      </c>
      <c r="L10" s="277" t="s">
        <v>90</v>
      </c>
      <c r="M10" s="299" t="s">
        <v>309</v>
      </c>
      <c r="N10" s="310" t="s">
        <v>264</v>
      </c>
      <c r="O10" s="310" t="s">
        <v>93</v>
      </c>
      <c r="P10" s="310" t="s">
        <v>94</v>
      </c>
      <c r="Q10" s="310" t="s">
        <v>222</v>
      </c>
      <c r="R10" s="310" t="s">
        <v>95</v>
      </c>
      <c r="S10" s="310" t="s">
        <v>223</v>
      </c>
      <c r="T10" s="310" t="s">
        <v>210</v>
      </c>
      <c r="U10" s="310" t="s">
        <v>265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89" t="s">
        <v>16</v>
      </c>
      <c r="F11" s="289" t="s">
        <v>16</v>
      </c>
      <c r="G11" s="289"/>
      <c r="H11" s="99" t="s">
        <v>16</v>
      </c>
      <c r="I11" s="99" t="s">
        <v>16</v>
      </c>
      <c r="J11" s="257" t="s">
        <v>17</v>
      </c>
      <c r="K11" s="257" t="s">
        <v>17</v>
      </c>
      <c r="L11" s="277" t="s">
        <v>17</v>
      </c>
      <c r="M11" s="299" t="s">
        <v>17</v>
      </c>
      <c r="N11" s="310" t="s">
        <v>17</v>
      </c>
      <c r="O11" s="310" t="s">
        <v>17</v>
      </c>
      <c r="P11" s="310" t="s">
        <v>17</v>
      </c>
      <c r="Q11" s="310"/>
      <c r="R11" s="310" t="s">
        <v>17</v>
      </c>
      <c r="S11" s="310"/>
      <c r="T11" s="310" t="s">
        <v>17</v>
      </c>
      <c r="U11" s="310" t="s">
        <v>17</v>
      </c>
    </row>
    <row r="12" spans="1:21" ht="82.8">
      <c r="A12" s="349" t="s">
        <v>98</v>
      </c>
      <c r="B12" s="351" t="s">
        <v>237</v>
      </c>
      <c r="C12" s="61" t="s">
        <v>100</v>
      </c>
      <c r="D12" s="62" t="s">
        <v>101</v>
      </c>
      <c r="E12" s="123">
        <v>286</v>
      </c>
      <c r="F12" s="123">
        <v>309</v>
      </c>
      <c r="G12" s="123">
        <f>((E12*8)+(F12*4))/12</f>
        <v>293.66666666666669</v>
      </c>
      <c r="H12" s="59">
        <v>286</v>
      </c>
      <c r="I12" s="59">
        <v>286</v>
      </c>
      <c r="J12" s="107">
        <f>SUM(K12:M12)</f>
        <v>50479.110934353994</v>
      </c>
      <c r="K12" s="107">
        <f>23119.12+1351.63+426.3995626</f>
        <v>24897.1495626</v>
      </c>
      <c r="L12" s="278">
        <f>4001.99*2.457553+524.427881534</f>
        <v>10359.530412004</v>
      </c>
      <c r="M12" s="278">
        <f>7790.73-12.84104938+5531.48+63.0324074+50.92592593+36.9177348+1762.185941</f>
        <v>15222.430959749998</v>
      </c>
      <c r="N12" s="267">
        <f>SUM(O12:R12)</f>
        <v>14563774.487340895</v>
      </c>
      <c r="O12" s="267">
        <f>G12*K12*0.964404559+0.02</f>
        <v>7051208.1945024719</v>
      </c>
      <c r="P12" s="267">
        <f>G12*L12+0.01</f>
        <v>3042248.7743251747</v>
      </c>
      <c r="Q12" s="267"/>
      <c r="R12" s="46">
        <f>G12*M12-3.04</f>
        <v>4470317.5185132492</v>
      </c>
      <c r="S12" s="46"/>
      <c r="T12" s="46">
        <f>N12+961005.91-97767.69-218125.3</f>
        <v>15208887.407340895</v>
      </c>
      <c r="U12" s="46">
        <f>T12</f>
        <v>15208887.407340895</v>
      </c>
    </row>
    <row r="13" spans="1:21" ht="82.8">
      <c r="A13" s="349"/>
      <c r="B13" s="352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59" t="s">
        <v>104</v>
      </c>
      <c r="L13" s="191" t="s">
        <v>104</v>
      </c>
      <c r="M13" s="191" t="s">
        <v>104</v>
      </c>
      <c r="N13" s="310"/>
      <c r="O13" s="267"/>
      <c r="P13" s="191" t="s">
        <v>104</v>
      </c>
      <c r="Q13" s="191"/>
      <c r="R13" s="191" t="s">
        <v>104</v>
      </c>
      <c r="S13" s="191"/>
      <c r="T13" s="268"/>
      <c r="U13" s="268"/>
    </row>
    <row r="14" spans="1:21">
      <c r="A14" s="349"/>
      <c r="B14" s="352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25589.72</v>
      </c>
      <c r="K14" s="75">
        <v>25589.72</v>
      </c>
      <c r="L14" s="191" t="s">
        <v>104</v>
      </c>
      <c r="M14" s="191" t="s">
        <v>104</v>
      </c>
      <c r="N14" s="310">
        <f>O14</f>
        <v>0</v>
      </c>
      <c r="O14" s="267">
        <f>G14*K14*0.964404559</f>
        <v>0</v>
      </c>
      <c r="P14" s="191" t="s">
        <v>104</v>
      </c>
      <c r="Q14" s="191"/>
      <c r="R14" s="191" t="s">
        <v>104</v>
      </c>
      <c r="S14" s="191"/>
      <c r="T14" s="268">
        <f>H14*K14</f>
        <v>0</v>
      </c>
      <c r="U14" s="268">
        <f>I14*K14</f>
        <v>0</v>
      </c>
    </row>
    <row r="15" spans="1:21">
      <c r="A15" s="349"/>
      <c r="B15" s="352"/>
      <c r="C15" s="63" t="s">
        <v>169</v>
      </c>
      <c r="D15" s="64"/>
      <c r="E15" s="123">
        <v>9</v>
      </c>
      <c r="F15" s="123">
        <v>11</v>
      </c>
      <c r="G15" s="123">
        <f t="shared" ref="G15:G31" si="0">((E15*8)+(F15*4))/12</f>
        <v>9.6666666666666661</v>
      </c>
      <c r="H15" s="59">
        <v>9</v>
      </c>
      <c r="I15" s="59">
        <v>9</v>
      </c>
      <c r="J15" s="71">
        <f>K15</f>
        <v>69362.66</v>
      </c>
      <c r="K15" s="71">
        <v>69362.66</v>
      </c>
      <c r="L15" s="191" t="s">
        <v>104</v>
      </c>
      <c r="M15" s="191" t="s">
        <v>104</v>
      </c>
      <c r="N15" s="310">
        <f>O15</f>
        <v>646638.76677421376</v>
      </c>
      <c r="O15" s="267">
        <f t="shared" ref="O15:O21" si="1">G15*K15*0.964404559</f>
        <v>646638.76677421376</v>
      </c>
      <c r="P15" s="191" t="s">
        <v>104</v>
      </c>
      <c r="Q15" s="191"/>
      <c r="R15" s="191" t="s">
        <v>104</v>
      </c>
      <c r="S15" s="191"/>
      <c r="T15" s="268">
        <f>H15*K15</f>
        <v>624263.94000000006</v>
      </c>
      <c r="U15" s="268">
        <f>I15*K15</f>
        <v>624263.94000000006</v>
      </c>
    </row>
    <row r="16" spans="1:21">
      <c r="A16" s="349"/>
      <c r="B16" s="352"/>
      <c r="C16" s="63" t="s">
        <v>165</v>
      </c>
      <c r="D16" s="64"/>
      <c r="E16" s="123">
        <v>2</v>
      </c>
      <c r="F16" s="123">
        <v>1</v>
      </c>
      <c r="G16" s="123">
        <f t="shared" si="0"/>
        <v>1.6666666666666667</v>
      </c>
      <c r="H16" s="59">
        <v>2</v>
      </c>
      <c r="I16" s="59">
        <v>2</v>
      </c>
      <c r="J16" s="71">
        <f t="shared" ref="J16:J21" si="2">K16</f>
        <v>92468.25</v>
      </c>
      <c r="K16" s="75">
        <v>92468.25</v>
      </c>
      <c r="L16" s="191" t="s">
        <v>104</v>
      </c>
      <c r="M16" s="191" t="s">
        <v>104</v>
      </c>
      <c r="N16" s="310">
        <f t="shared" ref="N16:N21" si="3">O16</f>
        <v>148628.00310458624</v>
      </c>
      <c r="O16" s="267">
        <f t="shared" si="1"/>
        <v>148628.00310458624</v>
      </c>
      <c r="P16" s="191" t="s">
        <v>104</v>
      </c>
      <c r="Q16" s="191"/>
      <c r="R16" s="191" t="s">
        <v>104</v>
      </c>
      <c r="S16" s="191"/>
      <c r="T16" s="268">
        <f t="shared" ref="T16:T21" si="4">H16*K16</f>
        <v>184936.5</v>
      </c>
      <c r="U16" s="268">
        <f t="shared" ref="U16:U21" si="5">I16*K16</f>
        <v>184936.5</v>
      </c>
    </row>
    <row r="17" spans="1:24">
      <c r="A17" s="349"/>
      <c r="B17" s="352"/>
      <c r="C17" s="63" t="s">
        <v>166</v>
      </c>
      <c r="D17" s="64"/>
      <c r="E17" s="123">
        <v>22</v>
      </c>
      <c r="F17" s="123">
        <v>34</v>
      </c>
      <c r="G17" s="123">
        <f t="shared" si="0"/>
        <v>26</v>
      </c>
      <c r="H17" s="59">
        <v>22</v>
      </c>
      <c r="I17" s="59">
        <v>22</v>
      </c>
      <c r="J17" s="71">
        <f t="shared" si="2"/>
        <v>66361.320000000007</v>
      </c>
      <c r="K17" s="75">
        <v>66361.320000000007</v>
      </c>
      <c r="L17" s="191" t="s">
        <v>104</v>
      </c>
      <c r="M17" s="191" t="s">
        <v>104</v>
      </c>
      <c r="N17" s="310">
        <f t="shared" si="3"/>
        <v>1663978.1482807051</v>
      </c>
      <c r="O17" s="267">
        <f t="shared" si="1"/>
        <v>1663978.1482807051</v>
      </c>
      <c r="P17" s="191" t="s">
        <v>104</v>
      </c>
      <c r="Q17" s="191"/>
      <c r="R17" s="191" t="s">
        <v>104</v>
      </c>
      <c r="S17" s="191"/>
      <c r="T17" s="268">
        <f t="shared" si="4"/>
        <v>1459949.04</v>
      </c>
      <c r="U17" s="268">
        <f t="shared" si="5"/>
        <v>1459949.04</v>
      </c>
    </row>
    <row r="18" spans="1:24">
      <c r="A18" s="349"/>
      <c r="B18" s="352"/>
      <c r="C18" s="63" t="s">
        <v>167</v>
      </c>
      <c r="D18" s="64"/>
      <c r="E18" s="123">
        <v>2</v>
      </c>
      <c r="F18" s="123"/>
      <c r="G18" s="123">
        <f t="shared" si="0"/>
        <v>1.3333333333333333</v>
      </c>
      <c r="H18" s="59">
        <v>2</v>
      </c>
      <c r="I18" s="59">
        <v>2</v>
      </c>
      <c r="J18" s="71">
        <f t="shared" si="2"/>
        <v>174890.83</v>
      </c>
      <c r="K18" s="75">
        <v>174890.83</v>
      </c>
      <c r="L18" s="191" t="s">
        <v>104</v>
      </c>
      <c r="M18" s="191" t="s">
        <v>104</v>
      </c>
      <c r="N18" s="310">
        <f t="shared" si="3"/>
        <v>224887.35170572528</v>
      </c>
      <c r="O18" s="267">
        <f t="shared" si="1"/>
        <v>224887.35170572528</v>
      </c>
      <c r="P18" s="191" t="s">
        <v>104</v>
      </c>
      <c r="Q18" s="191"/>
      <c r="R18" s="191" t="s">
        <v>104</v>
      </c>
      <c r="S18" s="191"/>
      <c r="T18" s="268">
        <f t="shared" si="4"/>
        <v>349781.66</v>
      </c>
      <c r="U18" s="268">
        <f t="shared" si="5"/>
        <v>349781.66</v>
      </c>
    </row>
    <row r="19" spans="1:24">
      <c r="A19" s="349"/>
      <c r="B19" s="352"/>
      <c r="C19" s="63" t="s">
        <v>190</v>
      </c>
      <c r="D19" s="64"/>
      <c r="E19" s="123"/>
      <c r="F19" s="123"/>
      <c r="G19" s="123">
        <f t="shared" si="0"/>
        <v>0</v>
      </c>
      <c r="H19" s="59"/>
      <c r="I19" s="59"/>
      <c r="J19" s="71">
        <f t="shared" si="2"/>
        <v>178794.98</v>
      </c>
      <c r="K19" s="75">
        <v>178794.98</v>
      </c>
      <c r="L19" s="191"/>
      <c r="M19" s="191"/>
      <c r="N19" s="310">
        <f t="shared" si="3"/>
        <v>0</v>
      </c>
      <c r="O19" s="267">
        <f t="shared" si="1"/>
        <v>0</v>
      </c>
      <c r="P19" s="191" t="s">
        <v>104</v>
      </c>
      <c r="Q19" s="191"/>
      <c r="R19" s="191" t="s">
        <v>104</v>
      </c>
      <c r="S19" s="191"/>
      <c r="T19" s="268">
        <f t="shared" si="4"/>
        <v>0</v>
      </c>
      <c r="U19" s="268">
        <f t="shared" si="5"/>
        <v>0</v>
      </c>
    </row>
    <row r="20" spans="1:24">
      <c r="A20" s="349"/>
      <c r="B20" s="352"/>
      <c r="C20" s="63" t="s">
        <v>170</v>
      </c>
      <c r="D20" s="64"/>
      <c r="E20" s="123">
        <v>1</v>
      </c>
      <c r="F20" s="123"/>
      <c r="G20" s="123">
        <f t="shared" si="0"/>
        <v>0.66666666666666663</v>
      </c>
      <c r="H20" s="59">
        <v>1</v>
      </c>
      <c r="I20" s="59">
        <v>1</v>
      </c>
      <c r="J20" s="71">
        <f t="shared" si="2"/>
        <v>99648.29</v>
      </c>
      <c r="K20" s="75">
        <v>99648.29</v>
      </c>
      <c r="L20" s="191" t="s">
        <v>104</v>
      </c>
      <c r="M20" s="191" t="s">
        <v>104</v>
      </c>
      <c r="N20" s="310">
        <f t="shared" si="3"/>
        <v>64067.510115036072</v>
      </c>
      <c r="O20" s="267">
        <f t="shared" si="1"/>
        <v>64067.510115036072</v>
      </c>
      <c r="P20" s="191" t="s">
        <v>104</v>
      </c>
      <c r="Q20" s="191"/>
      <c r="R20" s="191" t="s">
        <v>104</v>
      </c>
      <c r="S20" s="191"/>
      <c r="T20" s="268">
        <f t="shared" si="4"/>
        <v>99648.29</v>
      </c>
      <c r="U20" s="268">
        <f t="shared" si="5"/>
        <v>99648.29</v>
      </c>
    </row>
    <row r="21" spans="1:24">
      <c r="A21" s="349"/>
      <c r="B21" s="352"/>
      <c r="C21" s="63" t="s">
        <v>168</v>
      </c>
      <c r="D21" s="64"/>
      <c r="E21" s="123">
        <v>1</v>
      </c>
      <c r="F21" s="123">
        <v>2</v>
      </c>
      <c r="G21" s="123">
        <f t="shared" si="0"/>
        <v>1.3333333333333333</v>
      </c>
      <c r="H21" s="59">
        <v>1</v>
      </c>
      <c r="I21" s="59">
        <v>1</v>
      </c>
      <c r="J21" s="71">
        <f t="shared" si="2"/>
        <v>23553.439999999999</v>
      </c>
      <c r="K21" s="75">
        <v>23553.439999999999</v>
      </c>
      <c r="L21" s="191" t="s">
        <v>104</v>
      </c>
      <c r="M21" s="191" t="s">
        <v>104</v>
      </c>
      <c r="N21" s="310">
        <f t="shared" si="3"/>
        <v>30286.726554843943</v>
      </c>
      <c r="O21" s="267">
        <f t="shared" si="1"/>
        <v>30286.726554843943</v>
      </c>
      <c r="P21" s="191" t="s">
        <v>104</v>
      </c>
      <c r="Q21" s="191"/>
      <c r="R21" s="191" t="s">
        <v>104</v>
      </c>
      <c r="S21" s="191"/>
      <c r="T21" s="268">
        <f t="shared" si="4"/>
        <v>23553.439999999999</v>
      </c>
      <c r="U21" s="268">
        <f t="shared" si="5"/>
        <v>23553.439999999999</v>
      </c>
    </row>
    <row r="22" spans="1:24" ht="82.8">
      <c r="A22" s="349"/>
      <c r="B22" s="352"/>
      <c r="C22" s="61" t="s">
        <v>105</v>
      </c>
      <c r="D22" s="64" t="s">
        <v>101</v>
      </c>
      <c r="E22" s="123">
        <v>3</v>
      </c>
      <c r="F22" s="123">
        <v>5</v>
      </c>
      <c r="G22" s="123">
        <f t="shared" si="0"/>
        <v>3.6666666666666665</v>
      </c>
      <c r="H22" s="59">
        <v>3</v>
      </c>
      <c r="I22" s="59">
        <v>3</v>
      </c>
      <c r="J22" s="75">
        <f>SUM(K22:M22)</f>
        <v>148772.910934354</v>
      </c>
      <c r="K22" s="75">
        <f>121412.92+1351.63+426.3995626</f>
        <v>123190.9495626</v>
      </c>
      <c r="L22" s="278">
        <f>4001.99*2.457553+524.427881534</f>
        <v>10359.530412004</v>
      </c>
      <c r="M22" s="278">
        <f>7790.73-12.84104938+5531.48+63.0324074+50.92592593+36.9177348+1762.185941</f>
        <v>15222.430959749998</v>
      </c>
      <c r="N22" s="267">
        <f>SUM(O22:R22)</f>
        <v>529422.2074440365</v>
      </c>
      <c r="O22" s="267">
        <f>G22*K22*0.964404559</f>
        <v>435621.68241427181</v>
      </c>
      <c r="P22" s="267">
        <f>G22*L22</f>
        <v>37984.944844014666</v>
      </c>
      <c r="Q22" s="267"/>
      <c r="R22" s="46">
        <f>G22*M22</f>
        <v>55815.58018574999</v>
      </c>
      <c r="S22" s="46"/>
      <c r="T22" s="268">
        <f>H22*J22+10080.48</f>
        <v>456399.21280306199</v>
      </c>
      <c r="U22" s="268">
        <f>T22</f>
        <v>456399.21280306199</v>
      </c>
    </row>
    <row r="23" spans="1:24">
      <c r="A23" s="349"/>
      <c r="B23" s="353"/>
      <c r="C23" s="66" t="s">
        <v>106</v>
      </c>
      <c r="D23" s="67"/>
      <c r="E23" s="123">
        <f>E12+E22</f>
        <v>289</v>
      </c>
      <c r="F23" s="123">
        <f>F12+F22</f>
        <v>314</v>
      </c>
      <c r="G23" s="123">
        <f>G12+G22</f>
        <v>297.33333333333337</v>
      </c>
      <c r="H23" s="59">
        <f>H12+H22</f>
        <v>289</v>
      </c>
      <c r="I23" s="59">
        <f>I12+I22</f>
        <v>289</v>
      </c>
      <c r="J23" s="71" t="s">
        <v>104</v>
      </c>
      <c r="K23" s="71" t="s">
        <v>104</v>
      </c>
      <c r="L23" s="267" t="s">
        <v>104</v>
      </c>
      <c r="M23" s="267" t="s">
        <v>104</v>
      </c>
      <c r="N23" s="267">
        <f>SUM(N12:N22)</f>
        <v>17871683.201320045</v>
      </c>
      <c r="O23" s="267">
        <f>SUM(O12:O22)</f>
        <v>10265316.383451853</v>
      </c>
      <c r="P23" s="267">
        <f>SUM(P12:P22)</f>
        <v>3080233.7191691892</v>
      </c>
      <c r="Q23" s="267"/>
      <c r="R23" s="267">
        <f>SUM(R12:R22)</f>
        <v>4526133.0986989988</v>
      </c>
      <c r="S23" s="267"/>
      <c r="T23" s="46">
        <f>SUM(T12:T22)</f>
        <v>18407419.490143958</v>
      </c>
      <c r="U23" s="46">
        <f>SUM(U12:U22)</f>
        <v>18407419.490143958</v>
      </c>
      <c r="W23" s="85">
        <f>R23+R30+R36+R42</f>
        <v>10041727.249781748</v>
      </c>
    </row>
    <row r="24" spans="1:24" ht="82.8">
      <c r="A24" s="349"/>
      <c r="B24" s="350" t="s">
        <v>238</v>
      </c>
      <c r="C24" s="61" t="s">
        <v>100</v>
      </c>
      <c r="D24" s="62" t="s">
        <v>101</v>
      </c>
      <c r="E24" s="123">
        <v>242</v>
      </c>
      <c r="F24" s="123">
        <v>279</v>
      </c>
      <c r="G24" s="123">
        <f t="shared" si="0"/>
        <v>254.33333333333334</v>
      </c>
      <c r="H24" s="59">
        <v>242</v>
      </c>
      <c r="I24" s="59">
        <v>242</v>
      </c>
      <c r="J24" s="107">
        <f>SUM(K24:M24)</f>
        <v>62004.060934354005</v>
      </c>
      <c r="K24" s="107">
        <f>34346.05+1649.65+426.3995626</f>
        <v>36422.099562600008</v>
      </c>
      <c r="L24" s="278">
        <f>4001.99*2.457553+524.427881534</f>
        <v>10359.530412004</v>
      </c>
      <c r="M24" s="278">
        <f>7790.73-12.84104938+5531.48+63.0324074+50.92592593+36.9177348+1762.185941</f>
        <v>15222.430959749998</v>
      </c>
      <c r="N24" s="267">
        <f>SUM(O24:R24)</f>
        <v>15439966.327268541</v>
      </c>
      <c r="O24" s="267">
        <f>G24*K24*0.964404559</f>
        <v>8933620.8183857724</v>
      </c>
      <c r="P24" s="269">
        <f>G24*L24</f>
        <v>2634773.9014530173</v>
      </c>
      <c r="Q24" s="269"/>
      <c r="R24" s="46">
        <f>G24*M24</f>
        <v>3871571.6074297498</v>
      </c>
      <c r="S24" s="46"/>
      <c r="T24" s="46">
        <f>H24*J24+813158.84-415950</f>
        <v>15402191.586113669</v>
      </c>
      <c r="U24" s="46">
        <f>T24</f>
        <v>15402191.586113669</v>
      </c>
      <c r="X24" s="85"/>
    </row>
    <row r="25" spans="1:24" ht="111.75" customHeight="1">
      <c r="A25" s="349"/>
      <c r="B25" s="350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123" t="s">
        <v>104</v>
      </c>
      <c r="M25" s="123" t="s">
        <v>104</v>
      </c>
      <c r="N25" s="267"/>
      <c r="O25" s="267"/>
      <c r="P25" s="123" t="s">
        <v>104</v>
      </c>
      <c r="Q25" s="123"/>
      <c r="R25" s="123" t="s">
        <v>104</v>
      </c>
      <c r="S25" s="123"/>
      <c r="T25" s="46"/>
      <c r="U25" s="46"/>
    </row>
    <row r="26" spans="1:24" ht="20.25" customHeight="1">
      <c r="A26" s="349"/>
      <c r="B26" s="350"/>
      <c r="C26" s="63" t="s">
        <v>165</v>
      </c>
      <c r="D26" s="64" t="s">
        <v>101</v>
      </c>
      <c r="E26" s="122">
        <v>3</v>
      </c>
      <c r="F26" s="122">
        <v>4</v>
      </c>
      <c r="G26" s="123">
        <f t="shared" si="0"/>
        <v>3.3333333333333335</v>
      </c>
      <c r="H26" s="60">
        <v>3</v>
      </c>
      <c r="I26" s="60">
        <v>3</v>
      </c>
      <c r="J26" s="71">
        <f>K26</f>
        <v>92468.25</v>
      </c>
      <c r="K26" s="75">
        <v>92468.25</v>
      </c>
      <c r="L26" s="123" t="s">
        <v>104</v>
      </c>
      <c r="M26" s="123" t="s">
        <v>104</v>
      </c>
      <c r="N26" s="267">
        <f>O26</f>
        <v>297256.00620917248</v>
      </c>
      <c r="O26" s="267">
        <f>G26*K26*0.964404559</f>
        <v>297256.00620917248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46">
        <f>I26*K26</f>
        <v>277404.75</v>
      </c>
    </row>
    <row r="27" spans="1:24" ht="21" customHeight="1">
      <c r="A27" s="349"/>
      <c r="B27" s="350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0"/>
        <v>2</v>
      </c>
      <c r="H27" s="60">
        <v>2</v>
      </c>
      <c r="I27" s="60">
        <v>2</v>
      </c>
      <c r="J27" s="71">
        <f>K27</f>
        <v>266106.15000000002</v>
      </c>
      <c r="K27" s="75">
        <v>266106.15000000002</v>
      </c>
      <c r="L27" s="123" t="s">
        <v>104</v>
      </c>
      <c r="M27" s="123" t="s">
        <v>104</v>
      </c>
      <c r="N27" s="267">
        <f>O27</f>
        <v>513267.96847587574</v>
      </c>
      <c r="O27" s="267">
        <f>G27*K27*0.964404559</f>
        <v>513267.96847587574</v>
      </c>
      <c r="P27" s="123" t="s">
        <v>104</v>
      </c>
      <c r="Q27" s="123"/>
      <c r="R27" s="123" t="s">
        <v>104</v>
      </c>
      <c r="S27" s="123"/>
      <c r="T27" s="46">
        <f>H27*K27</f>
        <v>532212.30000000005</v>
      </c>
      <c r="U27" s="46">
        <f>I27*K27</f>
        <v>532212.30000000005</v>
      </c>
    </row>
    <row r="28" spans="1:24" ht="21" customHeight="1">
      <c r="A28" s="349"/>
      <c r="B28" s="350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0"/>
        <v>1</v>
      </c>
      <c r="H28" s="60">
        <v>1</v>
      </c>
      <c r="I28" s="60">
        <v>1</v>
      </c>
      <c r="J28" s="71">
        <f>K28</f>
        <v>23553.439999999999</v>
      </c>
      <c r="K28" s="75">
        <v>23553.439999999999</v>
      </c>
      <c r="L28" s="123" t="s">
        <v>104</v>
      </c>
      <c r="M28" s="123" t="s">
        <v>104</v>
      </c>
      <c r="N28" s="267">
        <f>O28</f>
        <v>22715.04491613296</v>
      </c>
      <c r="O28" s="267">
        <f>G28*K28*0.964404559</f>
        <v>22715.04491613296</v>
      </c>
      <c r="P28" s="123" t="s">
        <v>104</v>
      </c>
      <c r="Q28" s="123"/>
      <c r="R28" s="123" t="s">
        <v>104</v>
      </c>
      <c r="S28" s="123"/>
      <c r="T28" s="46">
        <f>H28*K28</f>
        <v>23553.439999999999</v>
      </c>
      <c r="U28" s="46">
        <f>I28*K28</f>
        <v>23553.439999999999</v>
      </c>
    </row>
    <row r="29" spans="1:24" ht="82.8">
      <c r="A29" s="349"/>
      <c r="B29" s="350"/>
      <c r="C29" s="61" t="s">
        <v>105</v>
      </c>
      <c r="D29" s="64" t="s">
        <v>101</v>
      </c>
      <c r="E29" s="122">
        <v>2</v>
      </c>
      <c r="F29" s="122">
        <v>2</v>
      </c>
      <c r="G29" s="290">
        <f t="shared" si="0"/>
        <v>2</v>
      </c>
      <c r="H29" s="60">
        <v>2</v>
      </c>
      <c r="I29" s="60">
        <v>2</v>
      </c>
      <c r="J29" s="71">
        <f>K29</f>
        <v>153483.67956260001</v>
      </c>
      <c r="K29" s="73">
        <f>151407.63+1649.65+426.3995626</f>
        <v>153483.67956260001</v>
      </c>
      <c r="L29" s="278">
        <f>4001.99*2.457553+524.427881534</f>
        <v>10359.530412004</v>
      </c>
      <c r="M29" s="278">
        <f>7790.73-12.84104938+5531.48+63.0324074+50.92592593+36.9177348+1762.185941</f>
        <v>15222.430959749998</v>
      </c>
      <c r="N29" s="267">
        <f>SUM(O29:R29)</f>
        <v>347204.64334804117</v>
      </c>
      <c r="O29" s="267">
        <f>G29*K29*0.964404559</f>
        <v>296040.72060453315</v>
      </c>
      <c r="P29" s="269">
        <f>G29*L29</f>
        <v>20719.060824008</v>
      </c>
      <c r="Q29" s="269"/>
      <c r="R29" s="46">
        <f>G29*M29</f>
        <v>30444.861919499996</v>
      </c>
      <c r="S29" s="46"/>
      <c r="T29" s="46">
        <f>N29+6720.32</f>
        <v>353924.96334804117</v>
      </c>
      <c r="U29" s="46">
        <f>T29</f>
        <v>353924.96334804117</v>
      </c>
    </row>
    <row r="30" spans="1:24">
      <c r="A30" s="349"/>
      <c r="B30" s="186"/>
      <c r="C30" s="66" t="s">
        <v>106</v>
      </c>
      <c r="D30" s="64"/>
      <c r="E30" s="122">
        <f>E24+E29</f>
        <v>244</v>
      </c>
      <c r="F30" s="122">
        <f>F24+F29</f>
        <v>281</v>
      </c>
      <c r="G30" s="122">
        <f>G24+G29</f>
        <v>256.33333333333337</v>
      </c>
      <c r="H30" s="60">
        <f>H24+H29</f>
        <v>244</v>
      </c>
      <c r="I30" s="60">
        <f>I24+I29</f>
        <v>244</v>
      </c>
      <c r="J30" s="59" t="s">
        <v>104</v>
      </c>
      <c r="K30" s="59" t="s">
        <v>104</v>
      </c>
      <c r="L30" s="123" t="s">
        <v>104</v>
      </c>
      <c r="M30" s="123" t="s">
        <v>104</v>
      </c>
      <c r="N30" s="192">
        <f>SUM(N24:N29)</f>
        <v>16620409.990217764</v>
      </c>
      <c r="O30" s="192">
        <f t="shared" ref="O30:U30" si="6">SUM(O24:O29)</f>
        <v>10062900.558591487</v>
      </c>
      <c r="P30" s="192">
        <f t="shared" si="6"/>
        <v>2655492.9622770255</v>
      </c>
      <c r="Q30" s="192"/>
      <c r="R30" s="192">
        <f t="shared" si="6"/>
        <v>3902016.4693492497</v>
      </c>
      <c r="S30" s="192"/>
      <c r="T30" s="192">
        <f t="shared" si="6"/>
        <v>16589287.03946171</v>
      </c>
      <c r="U30" s="192">
        <f t="shared" si="6"/>
        <v>16589287.03946171</v>
      </c>
    </row>
    <row r="31" spans="1:24" ht="82.95" customHeight="1">
      <c r="A31" s="349"/>
      <c r="B31" s="351" t="s">
        <v>239</v>
      </c>
      <c r="C31" s="61" t="s">
        <v>100</v>
      </c>
      <c r="D31" s="62" t="s">
        <v>101</v>
      </c>
      <c r="E31" s="122">
        <v>46</v>
      </c>
      <c r="F31" s="122">
        <v>23</v>
      </c>
      <c r="G31" s="123">
        <f t="shared" si="0"/>
        <v>38.333333333333336</v>
      </c>
      <c r="H31" s="60">
        <v>46</v>
      </c>
      <c r="I31" s="60">
        <v>46</v>
      </c>
      <c r="J31" s="107">
        <f>SUM(K31:M31)</f>
        <v>69112.26093435401</v>
      </c>
      <c r="K31" s="107">
        <f>41105.12+1998.78+426.3995626</f>
        <v>43530.299562600005</v>
      </c>
      <c r="L31" s="278">
        <f>4001.99*2.457553+524.427881534</f>
        <v>10359.530412004</v>
      </c>
      <c r="M31" s="278">
        <f>7790.73-12.84104938+5531.48+63.0324074+50.92592593+36.9177348+1762.185941</f>
        <v>15222.430959749998</v>
      </c>
      <c r="N31" s="269">
        <f>SUM(O31:R31)</f>
        <v>2589906.6844415111</v>
      </c>
      <c r="O31" s="269">
        <f>G31*K31*0.964404559</f>
        <v>1609264.7418576076</v>
      </c>
      <c r="P31" s="269">
        <f>G31*L31+0.09</f>
        <v>397115.42246015341</v>
      </c>
      <c r="Q31" s="269"/>
      <c r="R31" s="46">
        <f>G31*M31</f>
        <v>583526.52012374997</v>
      </c>
      <c r="S31" s="46"/>
      <c r="T31" s="46">
        <f>N31+154567.38</f>
        <v>2744474.0644415109</v>
      </c>
      <c r="U31" s="46">
        <f>T31</f>
        <v>2744474.0644415109</v>
      </c>
    </row>
    <row r="32" spans="1:24" ht="82.8">
      <c r="A32" s="349"/>
      <c r="B32" s="352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123" t="s">
        <v>104</v>
      </c>
      <c r="M32" s="123" t="s">
        <v>104</v>
      </c>
      <c r="N32" s="267"/>
      <c r="O32" s="267"/>
      <c r="P32" s="123" t="s">
        <v>104</v>
      </c>
      <c r="Q32" s="123"/>
      <c r="R32" s="123" t="s">
        <v>104</v>
      </c>
      <c r="S32" s="123"/>
      <c r="T32" s="46"/>
      <c r="U32" s="46"/>
    </row>
    <row r="33" spans="1:24">
      <c r="A33" s="349"/>
      <c r="B33" s="352"/>
      <c r="C33" s="63" t="s">
        <v>168</v>
      </c>
      <c r="D33" s="64" t="s">
        <v>101</v>
      </c>
      <c r="E33" s="123"/>
      <c r="F33" s="123"/>
      <c r="G33" s="123">
        <f>((E33*8)+(F33*4))/12</f>
        <v>0</v>
      </c>
      <c r="H33" s="59"/>
      <c r="I33" s="59"/>
      <c r="J33" s="71">
        <f>K33</f>
        <v>23553.439999999999</v>
      </c>
      <c r="K33" s="75">
        <v>23553.439999999999</v>
      </c>
      <c r="L33" s="123" t="s">
        <v>104</v>
      </c>
      <c r="M33" s="123" t="s">
        <v>104</v>
      </c>
      <c r="N33" s="267">
        <f>O33</f>
        <v>0</v>
      </c>
      <c r="O33" s="267">
        <f>G33*K33</f>
        <v>0</v>
      </c>
      <c r="P33" s="123" t="s">
        <v>104</v>
      </c>
      <c r="Q33" s="123"/>
      <c r="R33" s="123" t="s">
        <v>104</v>
      </c>
      <c r="S33" s="123"/>
      <c r="T33" s="46">
        <f>H33*K33</f>
        <v>0</v>
      </c>
      <c r="U33" s="46">
        <f>I33*K33</f>
        <v>0</v>
      </c>
      <c r="W33" s="80">
        <v>44402583.039999999</v>
      </c>
    </row>
    <row r="34" spans="1:24" ht="82.8">
      <c r="A34" s="349"/>
      <c r="B34" s="352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73"/>
      <c r="L34" s="192"/>
      <c r="M34" s="269"/>
      <c r="N34" s="269"/>
      <c r="O34" s="269"/>
      <c r="P34" s="269"/>
      <c r="Q34" s="269"/>
      <c r="R34" s="269"/>
      <c r="S34" s="269"/>
      <c r="T34" s="46">
        <f>H34*J34</f>
        <v>0</v>
      </c>
      <c r="U34" s="46">
        <f>I34*J34</f>
        <v>0</v>
      </c>
      <c r="W34" s="85">
        <f>T46-W33</f>
        <v>-2.1904632449150085E-3</v>
      </c>
    </row>
    <row r="35" spans="1:24" ht="92.4" customHeight="1">
      <c r="A35" s="349"/>
      <c r="B35" s="353"/>
      <c r="C35" s="166" t="s">
        <v>253</v>
      </c>
      <c r="D35" s="167" t="s">
        <v>101</v>
      </c>
      <c r="E35" s="122">
        <v>69</v>
      </c>
      <c r="F35" s="122">
        <v>65</v>
      </c>
      <c r="G35" s="123">
        <f>((E35*8)+(F35*4))/12</f>
        <v>67.666666666666671</v>
      </c>
      <c r="H35" s="60">
        <v>69</v>
      </c>
      <c r="I35" s="60">
        <v>69</v>
      </c>
      <c r="J35" s="73">
        <f>K35+L35</f>
        <v>45108.539974604006</v>
      </c>
      <c r="K35" s="73">
        <f>32323.83+1998.78+426.3995626</f>
        <v>34749.009562600004</v>
      </c>
      <c r="L35" s="278">
        <f>4001.99*2.457553+524.427881534</f>
        <v>10359.530412004</v>
      </c>
      <c r="M35" s="278">
        <f>7790.73-12.84104938+5531.48+63.0324074+50.92592593+36.9177348+1762.185941</f>
        <v>15222.430959749998</v>
      </c>
      <c r="N35" s="269">
        <f>SUM(O35:R35)</f>
        <v>3998698.3722586622</v>
      </c>
      <c r="O35" s="269">
        <f>G35*K35*0.964404559</f>
        <v>2267652.3194366419</v>
      </c>
      <c r="P35" s="269">
        <f>G35*L35</f>
        <v>700994.89121227071</v>
      </c>
      <c r="Q35" s="123" t="s">
        <v>104</v>
      </c>
      <c r="R35" s="267">
        <f>M35*G35</f>
        <v>1030051.1616097499</v>
      </c>
      <c r="S35" s="123" t="s">
        <v>104</v>
      </c>
      <c r="T35" s="46">
        <f>N35+231851.07</f>
        <v>4230549.4422586625</v>
      </c>
      <c r="U35" s="46">
        <f>T35</f>
        <v>4230549.4422586625</v>
      </c>
    </row>
    <row r="36" spans="1:24">
      <c r="A36" s="349"/>
      <c r="B36" s="186"/>
      <c r="C36" s="66" t="s">
        <v>106</v>
      </c>
      <c r="D36" s="64"/>
      <c r="E36" s="122">
        <f>E31+E35</f>
        <v>115</v>
      </c>
      <c r="F36" s="122">
        <f>F31+F35</f>
        <v>88</v>
      </c>
      <c r="G36" s="122">
        <f>G31+G35</f>
        <v>106</v>
      </c>
      <c r="H36" s="60">
        <f>H31+H35</f>
        <v>115</v>
      </c>
      <c r="I36" s="60">
        <f>I31+I35</f>
        <v>115</v>
      </c>
      <c r="J36" s="73" t="s">
        <v>104</v>
      </c>
      <c r="K36" s="73" t="s">
        <v>104</v>
      </c>
      <c r="L36" s="269" t="s">
        <v>104</v>
      </c>
      <c r="M36" s="269" t="s">
        <v>104</v>
      </c>
      <c r="N36" s="192">
        <f>SUM(N31:N35)</f>
        <v>6588605.0567001738</v>
      </c>
      <c r="O36" s="192">
        <f>SUM(O31:O35)</f>
        <v>3876917.0612942493</v>
      </c>
      <c r="P36" s="192">
        <f>SUM(P31:P35)</f>
        <v>1098110.3136724241</v>
      </c>
      <c r="Q36" s="192"/>
      <c r="R36" s="192">
        <f>SUM(R31:R35)</f>
        <v>1613577.6817334997</v>
      </c>
      <c r="S36" s="192"/>
      <c r="T36" s="192">
        <f>SUM(T31:T35)</f>
        <v>6975023.506700173</v>
      </c>
      <c r="U36" s="192">
        <f>SUM(U31:U35)</f>
        <v>6975023.506700173</v>
      </c>
    </row>
    <row r="37" spans="1:24" ht="100.95" customHeight="1">
      <c r="A37" s="349"/>
      <c r="B37" s="137" t="s">
        <v>240</v>
      </c>
      <c r="C37" s="61" t="s">
        <v>187</v>
      </c>
      <c r="D37" s="64" t="s">
        <v>101</v>
      </c>
      <c r="E37" s="122">
        <v>915</v>
      </c>
      <c r="F37" s="122">
        <v>749</v>
      </c>
      <c r="G37" s="123">
        <f>((E37*8)+(F37*4))/12</f>
        <v>859.66666666666663</v>
      </c>
      <c r="H37" s="60">
        <v>693</v>
      </c>
      <c r="I37" s="60">
        <v>693</v>
      </c>
      <c r="J37" s="75">
        <f>K37</f>
        <v>3978.76</v>
      </c>
      <c r="K37" s="75">
        <v>3978.76</v>
      </c>
      <c r="L37" s="269" t="s">
        <v>104</v>
      </c>
      <c r="M37" s="269" t="s">
        <v>104</v>
      </c>
      <c r="N37" s="269">
        <f>SUM(O37:R37)</f>
        <v>2430853.0015036897</v>
      </c>
      <c r="O37" s="269">
        <f>J37*G37*0.710691083</f>
        <v>2430853.0015036897</v>
      </c>
      <c r="P37" s="269" t="s">
        <v>104</v>
      </c>
      <c r="Q37" s="269"/>
      <c r="R37" s="269" t="s">
        <v>104</v>
      </c>
      <c r="S37" s="269"/>
      <c r="T37" s="46">
        <f>N37</f>
        <v>2430853.0015036897</v>
      </c>
      <c r="U37" s="46">
        <f>T37</f>
        <v>2430853.0015036897</v>
      </c>
    </row>
    <row r="38" spans="1:24">
      <c r="A38" s="349"/>
      <c r="B38" s="69"/>
      <c r="C38" s="66" t="s">
        <v>106</v>
      </c>
      <c r="D38" s="69"/>
      <c r="E38" s="122">
        <f>SUM(E37:E37)</f>
        <v>915</v>
      </c>
      <c r="F38" s="122">
        <f>SUM(F37:F37)</f>
        <v>749</v>
      </c>
      <c r="G38" s="123">
        <f>G37</f>
        <v>859.66666666666663</v>
      </c>
      <c r="H38" s="60">
        <f>SUM(H37:H37)</f>
        <v>693</v>
      </c>
      <c r="I38" s="60">
        <f>SUM(I37:I37)</f>
        <v>693</v>
      </c>
      <c r="J38" s="73" t="s">
        <v>104</v>
      </c>
      <c r="K38" s="73" t="s">
        <v>104</v>
      </c>
      <c r="L38" s="269" t="s">
        <v>104</v>
      </c>
      <c r="M38" s="192">
        <f t="shared" ref="M38:U38" si="7">SUM(M37:M37)</f>
        <v>0</v>
      </c>
      <c r="N38" s="192">
        <f t="shared" si="7"/>
        <v>2430853.0015036897</v>
      </c>
      <c r="O38" s="192">
        <f t="shared" si="7"/>
        <v>2430853.0015036897</v>
      </c>
      <c r="P38" s="192">
        <f t="shared" si="7"/>
        <v>0</v>
      </c>
      <c r="Q38" s="192"/>
      <c r="R38" s="192">
        <f t="shared" si="7"/>
        <v>0</v>
      </c>
      <c r="S38" s="192"/>
      <c r="T38" s="192">
        <f t="shared" si="7"/>
        <v>2430853.0015036897</v>
      </c>
      <c r="U38" s="192">
        <f t="shared" si="7"/>
        <v>2430853.0015036897</v>
      </c>
    </row>
    <row r="39" spans="1:24" ht="27" hidden="1" customHeight="1">
      <c r="A39" s="349"/>
      <c r="B39" s="211" t="s">
        <v>290</v>
      </c>
      <c r="C39" s="183" t="s">
        <v>226</v>
      </c>
      <c r="D39" s="69"/>
      <c r="E39" s="122"/>
      <c r="F39" s="122"/>
      <c r="G39" s="123"/>
      <c r="H39" s="60"/>
      <c r="I39" s="60"/>
      <c r="J39" s="73"/>
      <c r="K39" s="73"/>
      <c r="L39" s="269"/>
      <c r="M39" s="192"/>
      <c r="N39" s="192">
        <f>P39</f>
        <v>0</v>
      </c>
      <c r="O39" s="192"/>
      <c r="P39" s="192"/>
      <c r="Q39" s="192"/>
      <c r="R39" s="192"/>
      <c r="S39" s="192"/>
      <c r="T39" s="192">
        <f>P39</f>
        <v>0</v>
      </c>
      <c r="U39" s="192">
        <f>T39</f>
        <v>0</v>
      </c>
    </row>
    <row r="40" spans="1:24" hidden="1">
      <c r="A40" s="349"/>
      <c r="B40" s="89" t="s">
        <v>225</v>
      </c>
      <c r="C40" s="183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73"/>
      <c r="L40" s="269"/>
      <c r="M40" s="192"/>
      <c r="N40" s="192">
        <f>S40</f>
        <v>0</v>
      </c>
      <c r="O40" s="192"/>
      <c r="P40" s="192"/>
      <c r="Q40" s="192"/>
      <c r="R40" s="192"/>
      <c r="S40" s="192"/>
      <c r="T40" s="192">
        <f>S40</f>
        <v>0</v>
      </c>
      <c r="U40" s="192">
        <f>T40</f>
        <v>0</v>
      </c>
    </row>
    <row r="41" spans="1:24" hidden="1">
      <c r="A41" s="349"/>
      <c r="B41" s="89" t="s">
        <v>225</v>
      </c>
      <c r="C41" s="183" t="s">
        <v>226</v>
      </c>
      <c r="D41" s="64" t="s">
        <v>101</v>
      </c>
      <c r="E41" s="122"/>
      <c r="F41" s="122"/>
      <c r="G41" s="123"/>
      <c r="H41" s="60"/>
      <c r="I41" s="60"/>
      <c r="J41" s="73"/>
      <c r="K41" s="73"/>
      <c r="L41" s="269"/>
      <c r="M41" s="192"/>
      <c r="N41" s="192"/>
      <c r="O41" s="192"/>
      <c r="P41" s="192"/>
      <c r="Q41" s="192"/>
      <c r="R41" s="192"/>
      <c r="S41" s="192"/>
      <c r="T41" s="192">
        <f>Q41</f>
        <v>0</v>
      </c>
      <c r="U41" s="192">
        <f>T41</f>
        <v>0</v>
      </c>
    </row>
    <row r="42" spans="1:24" hidden="1">
      <c r="A42" s="349"/>
      <c r="B42" s="89" t="s">
        <v>289</v>
      </c>
      <c r="C42" s="183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73"/>
      <c r="L42" s="269"/>
      <c r="M42" s="192"/>
      <c r="N42" s="192">
        <f>S42</f>
        <v>0</v>
      </c>
      <c r="O42" s="192"/>
      <c r="P42" s="192"/>
      <c r="Q42" s="192"/>
      <c r="R42" s="192"/>
      <c r="S42" s="192"/>
      <c r="T42" s="192"/>
      <c r="U42" s="192"/>
    </row>
    <row r="43" spans="1:24">
      <c r="A43" s="349"/>
      <c r="B43" s="89" t="s">
        <v>305</v>
      </c>
      <c r="C43" s="183" t="s">
        <v>226</v>
      </c>
      <c r="D43" s="64"/>
      <c r="E43" s="122"/>
      <c r="F43" s="122"/>
      <c r="G43" s="123">
        <v>27</v>
      </c>
      <c r="H43" s="59">
        <v>26</v>
      </c>
      <c r="I43" s="59">
        <v>26</v>
      </c>
      <c r="J43" s="73"/>
      <c r="K43" s="73"/>
      <c r="L43" s="269"/>
      <c r="M43" s="192"/>
      <c r="N43" s="192">
        <f>O43</f>
        <v>1054620</v>
      </c>
      <c r="O43" s="192">
        <v>1054620</v>
      </c>
      <c r="P43" s="192"/>
      <c r="Q43" s="192"/>
      <c r="R43" s="192"/>
      <c r="S43" s="192"/>
      <c r="T43" s="192"/>
      <c r="U43" s="192">
        <f>T43</f>
        <v>0</v>
      </c>
    </row>
    <row r="44" spans="1:24" hidden="1">
      <c r="A44" s="349"/>
      <c r="B44" s="89" t="s">
        <v>258</v>
      </c>
      <c r="C44" s="183" t="s">
        <v>226</v>
      </c>
      <c r="D44" s="64"/>
      <c r="E44" s="122"/>
      <c r="F44" s="122"/>
      <c r="G44" s="123"/>
      <c r="H44" s="60"/>
      <c r="I44" s="60"/>
      <c r="J44" s="73"/>
      <c r="K44" s="73"/>
      <c r="L44" s="269"/>
      <c r="M44" s="192"/>
      <c r="N44" s="192">
        <f>O44</f>
        <v>0</v>
      </c>
      <c r="O44" s="192"/>
      <c r="P44" s="192"/>
      <c r="Q44" s="192"/>
      <c r="R44" s="192"/>
      <c r="S44" s="192"/>
      <c r="T44" s="192">
        <f>O44</f>
        <v>0</v>
      </c>
      <c r="U44" s="192">
        <f>T44</f>
        <v>0</v>
      </c>
    </row>
    <row r="45" spans="1:24" hidden="1">
      <c r="A45" s="349"/>
      <c r="B45" s="89" t="s">
        <v>306</v>
      </c>
      <c r="C45" s="183" t="s">
        <v>226</v>
      </c>
      <c r="D45" s="64"/>
      <c r="E45" s="122"/>
      <c r="F45" s="122"/>
      <c r="G45" s="123"/>
      <c r="H45" s="60"/>
      <c r="I45" s="60"/>
      <c r="J45" s="73"/>
      <c r="K45" s="73"/>
      <c r="L45" s="269"/>
      <c r="M45" s="192"/>
      <c r="N45" s="192">
        <f>P45</f>
        <v>0</v>
      </c>
      <c r="O45" s="192"/>
      <c r="P45" s="192"/>
      <c r="Q45" s="192"/>
      <c r="R45" s="192"/>
      <c r="S45" s="192"/>
      <c r="T45" s="192"/>
      <c r="U45" s="192">
        <f>T45</f>
        <v>0</v>
      </c>
    </row>
    <row r="46" spans="1:24">
      <c r="A46" s="349"/>
      <c r="B46" s="101" t="s">
        <v>112</v>
      </c>
      <c r="C46" s="101"/>
      <c r="D46" s="69"/>
      <c r="E46" s="291">
        <f>E23+E30+E36</f>
        <v>648</v>
      </c>
      <c r="F46" s="297">
        <f>F23+F30+F36</f>
        <v>683</v>
      </c>
      <c r="G46" s="291">
        <f>G23+G30+G36</f>
        <v>659.66666666666674</v>
      </c>
      <c r="H46" s="102">
        <f>H23+H30+H36</f>
        <v>648</v>
      </c>
      <c r="I46" s="102">
        <f>I23+I30+I36</f>
        <v>648</v>
      </c>
      <c r="J46" s="104"/>
      <c r="K46" s="104"/>
      <c r="L46" s="138"/>
      <c r="M46" s="138"/>
      <c r="N46" s="138">
        <f>SUM(O46:S46)</f>
        <v>44566171.249741673</v>
      </c>
      <c r="O46" s="138">
        <f>O23+O30+O36+O38+O43+O44</f>
        <v>27690607.004841283</v>
      </c>
      <c r="P46" s="138">
        <f>P23+P30+P36+P38+P39+P40+P41+P45</f>
        <v>6833836.9951186394</v>
      </c>
      <c r="Q46" s="138">
        <f>Q23+Q30+Q36+Q38+Q39+Q40+Q41</f>
        <v>0</v>
      </c>
      <c r="R46" s="138">
        <f>R23+R30+R36+R38+R39+R40+R41+R42</f>
        <v>10041727.249781748</v>
      </c>
      <c r="S46" s="138">
        <f>S23+S30+S36+S38+S39+S40+S41+S42</f>
        <v>0</v>
      </c>
      <c r="T46" s="138">
        <f>T23+T30+T36+T38+T39+T40+T41+T42+T43+T44+T45</f>
        <v>44402583.037809536</v>
      </c>
      <c r="U46" s="138">
        <f>U23+U30+U36+U38+U39+U40+U41+U42+U43+U44+U45</f>
        <v>44402583.037809536</v>
      </c>
      <c r="V46" s="80">
        <v>10041727.25</v>
      </c>
      <c r="W46" s="85">
        <f>V46-R46</f>
        <v>2.1825172007083893E-4</v>
      </c>
      <c r="X46" s="80">
        <f>W46/G46</f>
        <v>3.3085152107757285E-7</v>
      </c>
    </row>
    <row r="47" spans="1:24" ht="82.8">
      <c r="A47" s="358" t="s">
        <v>113</v>
      </c>
      <c r="B47" s="350" t="s">
        <v>237</v>
      </c>
      <c r="C47" s="61" t="s">
        <v>100</v>
      </c>
      <c r="D47" s="62" t="s">
        <v>101</v>
      </c>
      <c r="E47" s="123">
        <v>261</v>
      </c>
      <c r="F47" s="123">
        <v>256</v>
      </c>
      <c r="G47" s="123">
        <f>((E47*8)+(F47*4))/12</f>
        <v>259.33333333333331</v>
      </c>
      <c r="H47" s="59">
        <v>261</v>
      </c>
      <c r="I47" s="59">
        <v>261</v>
      </c>
      <c r="J47" s="107">
        <f>SUM(K47:M47)</f>
        <v>54674.19059056</v>
      </c>
      <c r="K47" s="107">
        <f>23119.12+1351.63+60.80988017</f>
        <v>24531.55988017</v>
      </c>
      <c r="L47" s="278">
        <f>4001.99*2.457553+2084.7121839</f>
        <v>11919.814714370001</v>
      </c>
      <c r="M47" s="278">
        <f>7790.73-12.75568182+7807.95+18.93939394+305.0706629+2312.881621</f>
        <v>18222.815996019999</v>
      </c>
      <c r="N47" s="267">
        <f>SUM(O47:R47)</f>
        <v>13952384.314268462</v>
      </c>
      <c r="O47" s="267">
        <f>G47*K47*0.964404559</f>
        <v>6135398.2967073228</v>
      </c>
      <c r="P47" s="267">
        <f>G47*L47-2.28</f>
        <v>3091203.0025932868</v>
      </c>
      <c r="Q47" s="267"/>
      <c r="R47" s="46">
        <f>G47*M47-0.6</f>
        <v>4725783.0149678532</v>
      </c>
      <c r="S47" s="46"/>
      <c r="T47" s="46">
        <f>N47+827983.95-171077.31-803695.83</f>
        <v>13805595.124268461</v>
      </c>
      <c r="U47" s="46">
        <f>T47</f>
        <v>13805595.124268461</v>
      </c>
    </row>
    <row r="48" spans="1:24" ht="82.8">
      <c r="A48" s="358"/>
      <c r="B48" s="350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59" t="s">
        <v>104</v>
      </c>
      <c r="L48" s="123" t="s">
        <v>104</v>
      </c>
      <c r="M48" s="123" t="s">
        <v>104</v>
      </c>
      <c r="N48" s="267"/>
      <c r="O48" s="267"/>
      <c r="P48" s="123" t="s">
        <v>104</v>
      </c>
      <c r="Q48" s="123"/>
      <c r="R48" s="123" t="s">
        <v>104</v>
      </c>
      <c r="S48" s="123"/>
      <c r="T48" s="46"/>
      <c r="U48" s="46"/>
    </row>
    <row r="49" spans="1:21">
      <c r="A49" s="358"/>
      <c r="B49" s="350"/>
      <c r="C49" s="63" t="s">
        <v>169</v>
      </c>
      <c r="D49" s="64" t="s">
        <v>101</v>
      </c>
      <c r="E49" s="123">
        <v>5</v>
      </c>
      <c r="F49" s="123">
        <v>7</v>
      </c>
      <c r="G49" s="123">
        <f>((E49*8)+(F49*4))/12</f>
        <v>5.666666666666667</v>
      </c>
      <c r="H49" s="59">
        <v>5</v>
      </c>
      <c r="I49" s="59">
        <v>5</v>
      </c>
      <c r="J49" s="75">
        <f t="shared" ref="J49:J54" si="8">K49</f>
        <v>69362.66</v>
      </c>
      <c r="K49" s="71">
        <v>69362.66</v>
      </c>
      <c r="L49" s="123" t="s">
        <v>104</v>
      </c>
      <c r="M49" s="123" t="s">
        <v>104</v>
      </c>
      <c r="N49" s="267">
        <f t="shared" ref="N49:N54" si="9">O49</f>
        <v>379064.104660746</v>
      </c>
      <c r="O49" s="267">
        <f t="shared" ref="O49:O55" si="10">G49*K49*0.964404559</f>
        <v>379064.104660746</v>
      </c>
      <c r="P49" s="123" t="s">
        <v>104</v>
      </c>
      <c r="Q49" s="123"/>
      <c r="R49" s="123" t="s">
        <v>104</v>
      </c>
      <c r="S49" s="123"/>
      <c r="T49" s="46">
        <f t="shared" ref="T49:T54" si="11">H49*K49</f>
        <v>346813.30000000005</v>
      </c>
      <c r="U49" s="46">
        <f t="shared" ref="U49:U54" si="12">I49*K49</f>
        <v>346813.30000000005</v>
      </c>
    </row>
    <row r="50" spans="1:21">
      <c r="A50" s="358"/>
      <c r="B50" s="350"/>
      <c r="C50" s="63" t="s">
        <v>166</v>
      </c>
      <c r="D50" s="64" t="s">
        <v>101</v>
      </c>
      <c r="E50" s="123">
        <v>17</v>
      </c>
      <c r="F50" s="123">
        <v>15</v>
      </c>
      <c r="G50" s="123">
        <f t="shared" ref="G50:G68" si="13">((E50*8)+(F50*4))/12</f>
        <v>16.333333333333332</v>
      </c>
      <c r="H50" s="59">
        <v>17</v>
      </c>
      <c r="I50" s="59">
        <v>17</v>
      </c>
      <c r="J50" s="75">
        <f t="shared" si="8"/>
        <v>66361.320000000007</v>
      </c>
      <c r="K50" s="75">
        <v>66361.320000000007</v>
      </c>
      <c r="L50" s="123" t="s">
        <v>104</v>
      </c>
      <c r="M50" s="123" t="s">
        <v>104</v>
      </c>
      <c r="N50" s="267">
        <f>O50</f>
        <v>1045319.605971212</v>
      </c>
      <c r="O50" s="267">
        <f t="shared" si="10"/>
        <v>1045319.605971212</v>
      </c>
      <c r="P50" s="123" t="s">
        <v>104</v>
      </c>
      <c r="Q50" s="123"/>
      <c r="R50" s="123" t="s">
        <v>104</v>
      </c>
      <c r="S50" s="123"/>
      <c r="T50" s="46">
        <f t="shared" si="11"/>
        <v>1128142.4400000002</v>
      </c>
      <c r="U50" s="46">
        <f t="shared" si="12"/>
        <v>1128142.4400000002</v>
      </c>
    </row>
    <row r="51" spans="1:21">
      <c r="A51" s="358"/>
      <c r="B51" s="350"/>
      <c r="C51" s="63" t="s">
        <v>167</v>
      </c>
      <c r="D51" s="64" t="s">
        <v>101</v>
      </c>
      <c r="E51" s="123">
        <v>3</v>
      </c>
      <c r="F51" s="123">
        <v>3</v>
      </c>
      <c r="G51" s="123">
        <f t="shared" si="13"/>
        <v>3</v>
      </c>
      <c r="H51" s="59">
        <v>3</v>
      </c>
      <c r="I51" s="59">
        <v>3</v>
      </c>
      <c r="J51" s="75">
        <f t="shared" si="8"/>
        <v>174890.83</v>
      </c>
      <c r="K51" s="75">
        <v>174890.83</v>
      </c>
      <c r="L51" s="123" t="s">
        <v>104</v>
      </c>
      <c r="M51" s="123" t="s">
        <v>104</v>
      </c>
      <c r="N51" s="267">
        <f t="shared" si="9"/>
        <v>505996.54133788188</v>
      </c>
      <c r="O51" s="267">
        <f t="shared" si="10"/>
        <v>505996.54133788188</v>
      </c>
      <c r="P51" s="123" t="s">
        <v>104</v>
      </c>
      <c r="Q51" s="123"/>
      <c r="R51" s="123" t="s">
        <v>104</v>
      </c>
      <c r="S51" s="123"/>
      <c r="T51" s="46">
        <f t="shared" si="11"/>
        <v>524672.49</v>
      </c>
      <c r="U51" s="46">
        <f t="shared" si="12"/>
        <v>524672.49</v>
      </c>
    </row>
    <row r="52" spans="1:21">
      <c r="A52" s="358"/>
      <c r="B52" s="350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3"/>
        <v>2</v>
      </c>
      <c r="H52" s="59">
        <v>5</v>
      </c>
      <c r="I52" s="59">
        <v>5</v>
      </c>
      <c r="J52" s="75">
        <f t="shared" si="8"/>
        <v>99648.29</v>
      </c>
      <c r="K52" s="75">
        <v>99648.29</v>
      </c>
      <c r="L52" s="123" t="s">
        <v>104</v>
      </c>
      <c r="M52" s="123" t="s">
        <v>104</v>
      </c>
      <c r="N52" s="267">
        <f t="shared" si="9"/>
        <v>192202.53034510821</v>
      </c>
      <c r="O52" s="267">
        <f t="shared" si="10"/>
        <v>192202.53034510821</v>
      </c>
      <c r="P52" s="123" t="s">
        <v>104</v>
      </c>
      <c r="Q52" s="123"/>
      <c r="R52" s="123" t="s">
        <v>104</v>
      </c>
      <c r="S52" s="123"/>
      <c r="T52" s="46">
        <f t="shared" si="11"/>
        <v>498241.44999999995</v>
      </c>
      <c r="U52" s="46">
        <f t="shared" si="12"/>
        <v>498241.44999999995</v>
      </c>
    </row>
    <row r="53" spans="1:21">
      <c r="A53" s="358"/>
      <c r="B53" s="350"/>
      <c r="C53" s="63" t="s">
        <v>343</v>
      </c>
      <c r="D53" s="64" t="s">
        <v>101</v>
      </c>
      <c r="E53" s="123">
        <v>3</v>
      </c>
      <c r="F53" s="123">
        <v>5</v>
      </c>
      <c r="G53" s="123">
        <f t="shared" si="13"/>
        <v>3.6666666666666665</v>
      </c>
      <c r="H53" s="59"/>
      <c r="I53" s="59"/>
      <c r="J53" s="75">
        <f t="shared" si="8"/>
        <v>297562.42</v>
      </c>
      <c r="K53" s="75">
        <v>297562.42</v>
      </c>
      <c r="L53" s="123" t="s">
        <v>104</v>
      </c>
      <c r="M53" s="123" t="s">
        <v>104</v>
      </c>
      <c r="N53" s="267">
        <f t="shared" si="9"/>
        <v>1052225.3662619335</v>
      </c>
      <c r="O53" s="267">
        <f t="shared" si="10"/>
        <v>1052225.3662619335</v>
      </c>
      <c r="P53" s="123"/>
      <c r="Q53" s="123"/>
      <c r="R53" s="123"/>
      <c r="S53" s="123"/>
      <c r="T53" s="46"/>
      <c r="U53" s="46"/>
    </row>
    <row r="54" spans="1:21">
      <c r="A54" s="358"/>
      <c r="B54" s="350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8"/>
        <v>23553.439999999999</v>
      </c>
      <c r="K54" s="75">
        <v>23553.439999999999</v>
      </c>
      <c r="L54" s="123" t="s">
        <v>104</v>
      </c>
      <c r="M54" s="123" t="s">
        <v>104</v>
      </c>
      <c r="N54" s="267">
        <f t="shared" si="9"/>
        <v>0</v>
      </c>
      <c r="O54" s="267">
        <f t="shared" si="10"/>
        <v>0</v>
      </c>
      <c r="P54" s="123" t="s">
        <v>104</v>
      </c>
      <c r="Q54" s="123"/>
      <c r="R54" s="123" t="s">
        <v>104</v>
      </c>
      <c r="S54" s="123"/>
      <c r="T54" s="46">
        <f t="shared" si="11"/>
        <v>0</v>
      </c>
      <c r="U54" s="46">
        <f t="shared" si="12"/>
        <v>0</v>
      </c>
    </row>
    <row r="55" spans="1:21" ht="82.8">
      <c r="A55" s="358"/>
      <c r="B55" s="350"/>
      <c r="C55" s="61" t="s">
        <v>105</v>
      </c>
      <c r="D55" s="64" t="s">
        <v>101</v>
      </c>
      <c r="E55" s="123">
        <v>2</v>
      </c>
      <c r="F55" s="123">
        <v>1</v>
      </c>
      <c r="G55" s="123">
        <f t="shared" si="13"/>
        <v>1.6666666666666667</v>
      </c>
      <c r="H55" s="59">
        <v>2</v>
      </c>
      <c r="I55" s="59">
        <v>2</v>
      </c>
      <c r="J55" s="75">
        <f>SUM(K55:M55)</f>
        <v>152967.99059056002</v>
      </c>
      <c r="K55" s="75">
        <f>121412.92+1351.63+60.80988017</f>
        <v>122825.35988017</v>
      </c>
      <c r="L55" s="278">
        <f>4001.99*2.457553+2084.7121839</f>
        <v>11919.814714370001</v>
      </c>
      <c r="M55" s="278">
        <f>7790.73-12.75568182+7807.95+18.93939394+305.0706629+2312.881621</f>
        <v>18222.815996019999</v>
      </c>
      <c r="N55" s="267">
        <f>SUM(O55:R55)</f>
        <v>247659.94623273608</v>
      </c>
      <c r="O55" s="267">
        <f t="shared" si="10"/>
        <v>197422.22838208606</v>
      </c>
      <c r="P55" s="267">
        <f>G55*L55</f>
        <v>19866.357857283336</v>
      </c>
      <c r="Q55" s="267"/>
      <c r="R55" s="46">
        <f>G55*M55</f>
        <v>30371.359993366666</v>
      </c>
      <c r="S55" s="46"/>
      <c r="T55" s="46">
        <f>H55*J55+6344.7</f>
        <v>312280.68118112005</v>
      </c>
      <c r="U55" s="46">
        <f>T55</f>
        <v>312280.68118112005</v>
      </c>
    </row>
    <row r="56" spans="1:21">
      <c r="A56" s="358"/>
      <c r="B56" s="350"/>
      <c r="C56" s="66" t="s">
        <v>106</v>
      </c>
      <c r="D56" s="67"/>
      <c r="E56" s="123">
        <f>E47+E55</f>
        <v>263</v>
      </c>
      <c r="F56" s="123">
        <f>F47+F55</f>
        <v>257</v>
      </c>
      <c r="G56" s="123">
        <f>G47+G55</f>
        <v>261</v>
      </c>
      <c r="H56" s="59">
        <f>H47+H55</f>
        <v>263</v>
      </c>
      <c r="I56" s="59">
        <f>I47+I55</f>
        <v>263</v>
      </c>
      <c r="J56" s="71" t="s">
        <v>104</v>
      </c>
      <c r="K56" s="71" t="s">
        <v>104</v>
      </c>
      <c r="L56" s="267" t="s">
        <v>104</v>
      </c>
      <c r="M56" s="267" t="s">
        <v>104</v>
      </c>
      <c r="N56" s="267">
        <f>SUM(N47:N55)</f>
        <v>17374852.40907808</v>
      </c>
      <c r="O56" s="267">
        <f>SUM(O47:O55)</f>
        <v>9507628.6736662909</v>
      </c>
      <c r="P56" s="267">
        <f>SUM(P47:P55)</f>
        <v>3111069.36045057</v>
      </c>
      <c r="Q56" s="267"/>
      <c r="R56" s="267">
        <f>SUM(R47:R55)</f>
        <v>4756154.3749612197</v>
      </c>
      <c r="S56" s="267"/>
      <c r="T56" s="46">
        <f>SUM(T47:T55)</f>
        <v>16615745.48544958</v>
      </c>
      <c r="U56" s="46">
        <f>SUM(U47:U55)</f>
        <v>16615745.48544958</v>
      </c>
    </row>
    <row r="57" spans="1:21" ht="82.8">
      <c r="A57" s="358"/>
      <c r="B57" s="350" t="s">
        <v>238</v>
      </c>
      <c r="C57" s="61" t="s">
        <v>100</v>
      </c>
      <c r="D57" s="62" t="s">
        <v>101</v>
      </c>
      <c r="E57" s="123">
        <v>219</v>
      </c>
      <c r="F57" s="123">
        <v>206</v>
      </c>
      <c r="G57" s="123">
        <f t="shared" si="13"/>
        <v>214.66666666666666</v>
      </c>
      <c r="H57" s="59">
        <v>219</v>
      </c>
      <c r="I57" s="59">
        <v>219</v>
      </c>
      <c r="J57" s="107">
        <f>SUM(K57:M57)</f>
        <v>66199.140590560011</v>
      </c>
      <c r="K57" s="107">
        <f>34346.05+1649.65+60.80988017</f>
        <v>36056.509880170008</v>
      </c>
      <c r="L57" s="278">
        <f>4001.99*2.457553+2084.7121839</f>
        <v>11919.814714370001</v>
      </c>
      <c r="M57" s="278">
        <f>7790.73-12.75568182+7807.95+18.93939394+305.0706629+2312.881621</f>
        <v>18222.815996019999</v>
      </c>
      <c r="N57" s="267">
        <f>SUM(O57:R57)</f>
        <v>13935235.477990899</v>
      </c>
      <c r="O57" s="267">
        <f>G57*K57*0.964404559</f>
        <v>7464617.4188271789</v>
      </c>
      <c r="P57" s="267">
        <f>G57*L57</f>
        <v>2558786.8920180933</v>
      </c>
      <c r="Q57" s="267"/>
      <c r="R57" s="46">
        <f>G57*M57</f>
        <v>3911831.1671456262</v>
      </c>
      <c r="S57" s="46"/>
      <c r="T57" s="46">
        <f>H57*J57+694745.15-315850</f>
        <v>14876506.939332644</v>
      </c>
      <c r="U57" s="46">
        <f>T57</f>
        <v>14876506.939332644</v>
      </c>
    </row>
    <row r="58" spans="1:21" ht="82.8">
      <c r="A58" s="358"/>
      <c r="B58" s="350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59" t="s">
        <v>191</v>
      </c>
      <c r="L58" s="123" t="s">
        <v>104</v>
      </c>
      <c r="M58" s="123" t="s">
        <v>104</v>
      </c>
      <c r="N58" s="267"/>
      <c r="O58" s="267"/>
      <c r="P58" s="123" t="s">
        <v>104</v>
      </c>
      <c r="Q58" s="123"/>
      <c r="R58" s="123" t="s">
        <v>104</v>
      </c>
      <c r="S58" s="123"/>
      <c r="T58" s="46"/>
      <c r="U58" s="46"/>
    </row>
    <row r="59" spans="1:21">
      <c r="A59" s="358"/>
      <c r="B59" s="350"/>
      <c r="C59" s="63" t="s">
        <v>165</v>
      </c>
      <c r="D59" s="64" t="s">
        <v>101</v>
      </c>
      <c r="E59" s="123"/>
      <c r="F59" s="123">
        <v>1</v>
      </c>
      <c r="G59" s="123">
        <f t="shared" si="13"/>
        <v>0.33333333333333331</v>
      </c>
      <c r="H59" s="59"/>
      <c r="I59" s="59"/>
      <c r="J59" s="75">
        <f>K59</f>
        <v>92468.25</v>
      </c>
      <c r="K59" s="71">
        <v>92468.25</v>
      </c>
      <c r="L59" s="123" t="s">
        <v>104</v>
      </c>
      <c r="M59" s="123" t="s">
        <v>104</v>
      </c>
      <c r="N59" s="267">
        <f>O59</f>
        <v>29725.600620917248</v>
      </c>
      <c r="O59" s="267">
        <f t="shared" ref="O59:O64" si="14">G59*K59*0.964404559</f>
        <v>29725.600620917248</v>
      </c>
      <c r="P59" s="123"/>
      <c r="Q59" s="123"/>
      <c r="R59" s="123"/>
      <c r="S59" s="123"/>
      <c r="T59" s="46"/>
      <c r="U59" s="46"/>
    </row>
    <row r="60" spans="1:21">
      <c r="A60" s="358"/>
      <c r="B60" s="350"/>
      <c r="C60" s="63" t="s">
        <v>167</v>
      </c>
      <c r="D60" s="64" t="s">
        <v>101</v>
      </c>
      <c r="E60" s="123">
        <v>1</v>
      </c>
      <c r="F60" s="123">
        <v>2</v>
      </c>
      <c r="G60" s="123">
        <f t="shared" si="13"/>
        <v>1.3333333333333333</v>
      </c>
      <c r="H60" s="59"/>
      <c r="I60" s="59"/>
      <c r="J60" s="75">
        <f>K60</f>
        <v>266106.15000000002</v>
      </c>
      <c r="K60" s="71">
        <v>266106.15000000002</v>
      </c>
      <c r="L60" s="123" t="s">
        <v>104</v>
      </c>
      <c r="M60" s="123" t="s">
        <v>104</v>
      </c>
      <c r="N60" s="267">
        <f>O60</f>
        <v>342178.64565058379</v>
      </c>
      <c r="O60" s="267">
        <f t="shared" si="14"/>
        <v>342178.64565058379</v>
      </c>
      <c r="P60" s="123"/>
      <c r="Q60" s="123"/>
      <c r="R60" s="123"/>
      <c r="S60" s="123"/>
      <c r="T60" s="46"/>
      <c r="U60" s="46"/>
    </row>
    <row r="61" spans="1:21">
      <c r="A61" s="358"/>
      <c r="B61" s="350"/>
      <c r="C61" s="63" t="s">
        <v>190</v>
      </c>
      <c r="D61" s="64" t="s">
        <v>101</v>
      </c>
      <c r="E61" s="122">
        <v>1</v>
      </c>
      <c r="F61" s="122"/>
      <c r="G61" s="123">
        <f t="shared" si="13"/>
        <v>0.66666666666666663</v>
      </c>
      <c r="H61" s="60">
        <v>1</v>
      </c>
      <c r="I61" s="60">
        <v>1</v>
      </c>
      <c r="J61" s="75">
        <f>K61</f>
        <v>165500.54</v>
      </c>
      <c r="K61" s="75">
        <v>165500.54</v>
      </c>
      <c r="L61" s="123" t="s">
        <v>104</v>
      </c>
      <c r="M61" s="123" t="s">
        <v>104</v>
      </c>
      <c r="N61" s="267">
        <f>O61</f>
        <v>106406.31686197457</v>
      </c>
      <c r="O61" s="267">
        <f t="shared" si="14"/>
        <v>106406.31686197457</v>
      </c>
      <c r="P61" s="123" t="s">
        <v>104</v>
      </c>
      <c r="Q61" s="123"/>
      <c r="R61" s="123" t="s">
        <v>104</v>
      </c>
      <c r="S61" s="123"/>
      <c r="T61" s="46">
        <f>H61*K61</f>
        <v>165500.54</v>
      </c>
      <c r="U61" s="46">
        <f>I61*K61</f>
        <v>165500.54</v>
      </c>
    </row>
    <row r="62" spans="1:21">
      <c r="A62" s="358"/>
      <c r="B62" s="350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3"/>
        <v>1</v>
      </c>
      <c r="H62" s="60">
        <v>2</v>
      </c>
      <c r="I62" s="60">
        <v>2</v>
      </c>
      <c r="J62" s="75">
        <f>K62</f>
        <v>32769.75</v>
      </c>
      <c r="K62" s="75">
        <v>32769.75</v>
      </c>
      <c r="L62" s="123" t="s">
        <v>104</v>
      </c>
      <c r="M62" s="123" t="s">
        <v>104</v>
      </c>
      <c r="N62" s="267">
        <f>O62</f>
        <v>31603.29629729025</v>
      </c>
      <c r="O62" s="267">
        <f t="shared" si="14"/>
        <v>31603.29629729025</v>
      </c>
      <c r="P62" s="123" t="s">
        <v>104</v>
      </c>
      <c r="Q62" s="123"/>
      <c r="R62" s="123" t="s">
        <v>104</v>
      </c>
      <c r="S62" s="123"/>
      <c r="T62" s="46">
        <f>H62*K62</f>
        <v>65539.5</v>
      </c>
      <c r="U62" s="46">
        <f>I62*K62</f>
        <v>65539.5</v>
      </c>
    </row>
    <row r="63" spans="1:21">
      <c r="A63" s="358"/>
      <c r="B63" s="350"/>
      <c r="C63" s="63" t="s">
        <v>168</v>
      </c>
      <c r="D63" s="64" t="s">
        <v>101</v>
      </c>
      <c r="E63" s="122">
        <v>4</v>
      </c>
      <c r="F63" s="122">
        <v>2</v>
      </c>
      <c r="G63" s="123">
        <f t="shared" si="13"/>
        <v>3.3333333333333335</v>
      </c>
      <c r="H63" s="60">
        <v>4</v>
      </c>
      <c r="I63" s="60">
        <v>4</v>
      </c>
      <c r="J63" s="75">
        <f>K63</f>
        <v>23553.439999999999</v>
      </c>
      <c r="K63" s="75">
        <v>23553.439999999999</v>
      </c>
      <c r="L63" s="123" t="s">
        <v>104</v>
      </c>
      <c r="M63" s="123" t="s">
        <v>104</v>
      </c>
      <c r="N63" s="267">
        <f>O63</f>
        <v>75716.816387109866</v>
      </c>
      <c r="O63" s="267">
        <f t="shared" si="14"/>
        <v>75716.816387109866</v>
      </c>
      <c r="P63" s="123" t="s">
        <v>104</v>
      </c>
      <c r="Q63" s="123"/>
      <c r="R63" s="123" t="s">
        <v>104</v>
      </c>
      <c r="S63" s="123"/>
      <c r="T63" s="46">
        <f>H63*K63</f>
        <v>94213.759999999995</v>
      </c>
      <c r="U63" s="46">
        <f>I63*K63</f>
        <v>94213.759999999995</v>
      </c>
    </row>
    <row r="64" spans="1:21" ht="82.8">
      <c r="A64" s="358"/>
      <c r="B64" s="350"/>
      <c r="C64" s="61" t="s">
        <v>105</v>
      </c>
      <c r="D64" s="64" t="s">
        <v>101</v>
      </c>
      <c r="E64" s="122">
        <v>2</v>
      </c>
      <c r="F64" s="122">
        <v>1</v>
      </c>
      <c r="G64" s="123">
        <f t="shared" si="13"/>
        <v>1.6666666666666667</v>
      </c>
      <c r="H64" s="60">
        <v>2</v>
      </c>
      <c r="I64" s="60">
        <v>2</v>
      </c>
      <c r="J64" s="75">
        <f>SUM(K64:M64)</f>
        <v>183260.72059056</v>
      </c>
      <c r="K64" s="75">
        <f>151407.63+1649.65+60.80988017</f>
        <v>153118.08988017001</v>
      </c>
      <c r="L64" s="278">
        <f>4001.99*2.457553+2084.7121839</f>
        <v>11919.814714370001</v>
      </c>
      <c r="M64" s="278">
        <f>7790.73-12.75568182+7807.95+18.93939394+305.0706629+2312.881621</f>
        <v>18222.815996019999</v>
      </c>
      <c r="N64" s="267">
        <f>SUM(O64:R64)</f>
        <v>296350.69109366287</v>
      </c>
      <c r="O64" s="267">
        <f t="shared" si="14"/>
        <v>246112.97324301288</v>
      </c>
      <c r="P64" s="269">
        <f>G64*L64</f>
        <v>19866.357857283336</v>
      </c>
      <c r="Q64" s="269"/>
      <c r="R64" s="46">
        <f>G64*M64</f>
        <v>30371.359993366666</v>
      </c>
      <c r="S64" s="46"/>
      <c r="T64" s="46">
        <f>H64*J64+6344.7</f>
        <v>372866.14118112001</v>
      </c>
      <c r="U64" s="46">
        <f>T64</f>
        <v>372866.14118112001</v>
      </c>
    </row>
    <row r="65" spans="1:24">
      <c r="A65" s="358"/>
      <c r="B65" s="186"/>
      <c r="C65" s="66" t="s">
        <v>106</v>
      </c>
      <c r="D65" s="64"/>
      <c r="E65" s="122">
        <f>E57+E64</f>
        <v>221</v>
      </c>
      <c r="F65" s="122">
        <f>F57+F64</f>
        <v>207</v>
      </c>
      <c r="G65" s="122">
        <f>G57+G64</f>
        <v>216.33333333333331</v>
      </c>
      <c r="H65" s="60">
        <f>H57+H64</f>
        <v>221</v>
      </c>
      <c r="I65" s="60">
        <f>I57+I64</f>
        <v>221</v>
      </c>
      <c r="J65" s="73" t="s">
        <v>104</v>
      </c>
      <c r="K65" s="73" t="s">
        <v>104</v>
      </c>
      <c r="L65" s="192" t="s">
        <v>104</v>
      </c>
      <c r="M65" s="192" t="s">
        <v>104</v>
      </c>
      <c r="N65" s="192">
        <f t="shared" ref="N65:U65" si="15">SUM(N57:N64)</f>
        <v>14817216.844902437</v>
      </c>
      <c r="O65" s="192">
        <f t="shared" si="15"/>
        <v>8296361.067888068</v>
      </c>
      <c r="P65" s="192">
        <f t="shared" si="15"/>
        <v>2578653.2498753765</v>
      </c>
      <c r="Q65" s="192"/>
      <c r="R65" s="192">
        <f t="shared" si="15"/>
        <v>3942202.5271389927</v>
      </c>
      <c r="S65" s="192"/>
      <c r="T65" s="46">
        <f t="shared" si="15"/>
        <v>15574626.880513763</v>
      </c>
      <c r="U65" s="46">
        <f t="shared" si="15"/>
        <v>15574626.880513763</v>
      </c>
    </row>
    <row r="66" spans="1:24" ht="82.8">
      <c r="A66" s="358"/>
      <c r="B66" s="350" t="s">
        <v>239</v>
      </c>
      <c r="C66" s="61" t="s">
        <v>100</v>
      </c>
      <c r="D66" s="62" t="s">
        <v>101</v>
      </c>
      <c r="E66" s="122">
        <v>44</v>
      </c>
      <c r="F66" s="122">
        <v>46</v>
      </c>
      <c r="G66" s="123">
        <f t="shared" si="13"/>
        <v>44.666666666666664</v>
      </c>
      <c r="H66" s="60">
        <v>44</v>
      </c>
      <c r="I66" s="60">
        <v>44</v>
      </c>
      <c r="J66" s="107">
        <f>SUM(K66:M66)</f>
        <v>73307.340590560008</v>
      </c>
      <c r="K66" s="107">
        <f>41105.12+1998.78+60.80988017</f>
        <v>43164.709880170005</v>
      </c>
      <c r="L66" s="278">
        <f>4001.99*2.457553+2084.7121839</f>
        <v>11919.814714370001</v>
      </c>
      <c r="M66" s="278">
        <f>7790.73-12.75568182+7807.95+18.93939394+305.0706629+2312.881621</f>
        <v>18222.815996019999</v>
      </c>
      <c r="N66" s="269">
        <f>SUM(O66:R66)</f>
        <v>3205765.6922343108</v>
      </c>
      <c r="O66" s="269">
        <f>G66*K66*0.964404559</f>
        <v>1859394.8538368905</v>
      </c>
      <c r="P66" s="269">
        <f>G66*L66</f>
        <v>532418.39057519333</v>
      </c>
      <c r="Q66" s="269"/>
      <c r="R66" s="46">
        <f>G66*M66</f>
        <v>813952.44782222656</v>
      </c>
      <c r="S66" s="46"/>
      <c r="T66" s="46">
        <f>N66+139583.5</f>
        <v>3345349.1922343108</v>
      </c>
      <c r="U66" s="46">
        <f>T66</f>
        <v>3345349.1922343108</v>
      </c>
    </row>
    <row r="67" spans="1:24" ht="82.8">
      <c r="A67" s="358"/>
      <c r="B67" s="350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59" t="s">
        <v>104</v>
      </c>
      <c r="L67" s="123" t="s">
        <v>104</v>
      </c>
      <c r="M67" s="123" t="s">
        <v>104</v>
      </c>
      <c r="N67" s="267"/>
      <c r="O67" s="267"/>
      <c r="P67" s="123" t="s">
        <v>104</v>
      </c>
      <c r="Q67" s="123"/>
      <c r="R67" s="123" t="s">
        <v>104</v>
      </c>
      <c r="S67" s="123"/>
      <c r="T67" s="46"/>
      <c r="U67" s="46"/>
    </row>
    <row r="68" spans="1:24">
      <c r="A68" s="358"/>
      <c r="B68" s="350"/>
      <c r="C68" s="63" t="s">
        <v>168</v>
      </c>
      <c r="D68" s="64" t="s">
        <v>101</v>
      </c>
      <c r="E68" s="122">
        <v>2</v>
      </c>
      <c r="F68" s="122">
        <v>1</v>
      </c>
      <c r="G68" s="123">
        <f t="shared" si="13"/>
        <v>1.6666666666666667</v>
      </c>
      <c r="H68" s="60">
        <v>2</v>
      </c>
      <c r="I68" s="60">
        <v>2</v>
      </c>
      <c r="J68" s="75">
        <f>K68</f>
        <v>23553.439999999999</v>
      </c>
      <c r="K68" s="75">
        <v>23553.439999999999</v>
      </c>
      <c r="L68" s="123" t="s">
        <v>104</v>
      </c>
      <c r="M68" s="123" t="s">
        <v>104</v>
      </c>
      <c r="N68" s="267">
        <f>O68</f>
        <v>37858.408193554933</v>
      </c>
      <c r="O68" s="267">
        <f>G68*K68*0.964404559</f>
        <v>37858.408193554933</v>
      </c>
      <c r="P68" s="123" t="s">
        <v>104</v>
      </c>
      <c r="Q68" s="123"/>
      <c r="R68" s="123" t="s">
        <v>104</v>
      </c>
      <c r="S68" s="123"/>
      <c r="T68" s="46">
        <f>H68*K68</f>
        <v>47106.879999999997</v>
      </c>
      <c r="U68" s="46">
        <f>I68*K68</f>
        <v>47106.879999999997</v>
      </c>
      <c r="W68" s="80">
        <v>38189469.439999998</v>
      </c>
    </row>
    <row r="69" spans="1:24" ht="82.8">
      <c r="A69" s="358"/>
      <c r="B69" s="350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183461.93988017002</v>
      </c>
      <c r="K69" s="73">
        <f>181402.35+1998.78+60.80988017</f>
        <v>183461.93988017002</v>
      </c>
      <c r="L69" s="278">
        <f>4001.99*2.457553+2084.7121839</f>
        <v>11919.814714370001</v>
      </c>
      <c r="M69" s="278">
        <f>7790.73-12.75568182+7807.95+18.93939394+305.0706629+2312.881621</f>
        <v>18222.815996019999</v>
      </c>
      <c r="N69" s="267">
        <f>SUM(O69:R69)</f>
        <v>0</v>
      </c>
      <c r="O69" s="269">
        <f>G69*K69</f>
        <v>0</v>
      </c>
      <c r="P69" s="269">
        <f>E69*L69</f>
        <v>0</v>
      </c>
      <c r="Q69" s="269"/>
      <c r="R69" s="46">
        <f>G69*M69</f>
        <v>0</v>
      </c>
      <c r="S69" s="46"/>
      <c r="T69" s="46">
        <f>H69*K69</f>
        <v>0</v>
      </c>
      <c r="U69" s="46">
        <f>I69*K69</f>
        <v>0</v>
      </c>
      <c r="W69" s="85">
        <f>T80-W68</f>
        <v>-2.6179999113082886E-3</v>
      </c>
    </row>
    <row r="70" spans="1:24">
      <c r="A70" s="358"/>
      <c r="B70" s="186"/>
      <c r="C70" s="66" t="s">
        <v>106</v>
      </c>
      <c r="D70" s="64"/>
      <c r="E70" s="122">
        <f>E66+E69</f>
        <v>44</v>
      </c>
      <c r="F70" s="122">
        <f>F66+F69</f>
        <v>46</v>
      </c>
      <c r="G70" s="122">
        <f>G66+G69</f>
        <v>44.666666666666664</v>
      </c>
      <c r="H70" s="60">
        <f>H66+H69</f>
        <v>44</v>
      </c>
      <c r="I70" s="60">
        <f>I66+I69</f>
        <v>44</v>
      </c>
      <c r="J70" s="73" t="s">
        <v>104</v>
      </c>
      <c r="K70" s="73" t="s">
        <v>104</v>
      </c>
      <c r="L70" s="192" t="s">
        <v>104</v>
      </c>
      <c r="M70" s="192" t="s">
        <v>104</v>
      </c>
      <c r="N70" s="192">
        <f>SUM(N66:N69)</f>
        <v>3243624.1004278655</v>
      </c>
      <c r="O70" s="192">
        <f>SUM(O66:O69)</f>
        <v>1897253.2620304455</v>
      </c>
      <c r="P70" s="192">
        <f>SUM(P66:P69)</f>
        <v>532418.39057519333</v>
      </c>
      <c r="Q70" s="192"/>
      <c r="R70" s="192">
        <f>SUM(R66:R69)</f>
        <v>813952.44782222656</v>
      </c>
      <c r="S70" s="192"/>
      <c r="T70" s="46">
        <f>SUM(T66:T69)</f>
        <v>3392456.0722343107</v>
      </c>
      <c r="U70" s="46">
        <f>SUM(U66:U69)</f>
        <v>3392456.0722343107</v>
      </c>
    </row>
    <row r="71" spans="1:24" ht="100.95" customHeight="1">
      <c r="A71" s="358"/>
      <c r="B71" s="137" t="s">
        <v>240</v>
      </c>
      <c r="C71" s="61" t="s">
        <v>187</v>
      </c>
      <c r="D71" s="64" t="s">
        <v>101</v>
      </c>
      <c r="E71" s="122">
        <v>778</v>
      </c>
      <c r="F71" s="122">
        <v>879</v>
      </c>
      <c r="G71" s="123">
        <f>((E71*8)+(F71*4))/12</f>
        <v>811.66666666666663</v>
      </c>
      <c r="H71" s="60">
        <v>777</v>
      </c>
      <c r="I71" s="60">
        <v>777</v>
      </c>
      <c r="J71" s="75">
        <f>K71</f>
        <v>3978.76</v>
      </c>
      <c r="K71" s="75">
        <v>3978.76</v>
      </c>
      <c r="L71" s="191" t="s">
        <v>104</v>
      </c>
      <c r="M71" s="191" t="s">
        <v>104</v>
      </c>
      <c r="N71" s="269">
        <f>SUM(O71:R71)</f>
        <v>2606640.9991843374</v>
      </c>
      <c r="O71" s="269">
        <f>K71*G71*0.807152819</f>
        <v>2606640.9991843374</v>
      </c>
      <c r="P71" s="269" t="s">
        <v>104</v>
      </c>
      <c r="Q71" s="269"/>
      <c r="R71" s="269" t="s">
        <v>104</v>
      </c>
      <c r="S71" s="269"/>
      <c r="T71" s="46">
        <f>N71</f>
        <v>2606640.9991843374</v>
      </c>
      <c r="U71" s="46">
        <f t="shared" ref="U71:U78" si="16">T71</f>
        <v>2606640.9991843374</v>
      </c>
    </row>
    <row r="72" spans="1:24">
      <c r="A72" s="358"/>
      <c r="B72" s="69"/>
      <c r="C72" s="66" t="s">
        <v>106</v>
      </c>
      <c r="D72" s="69"/>
      <c r="E72" s="122">
        <f>SUM(E71:E71)</f>
        <v>778</v>
      </c>
      <c r="F72" s="122">
        <f>SUM(F71:F71)</f>
        <v>879</v>
      </c>
      <c r="G72" s="122">
        <f>SUM(G71:G71)</f>
        <v>811.66666666666663</v>
      </c>
      <c r="H72" s="60">
        <f>SUM(H71:H71)</f>
        <v>777</v>
      </c>
      <c r="I72" s="60">
        <f>SUM(I71:I71)</f>
        <v>777</v>
      </c>
      <c r="J72" s="73" t="s">
        <v>104</v>
      </c>
      <c r="K72" s="73" t="s">
        <v>104</v>
      </c>
      <c r="L72" s="192" t="s">
        <v>104</v>
      </c>
      <c r="M72" s="192">
        <f t="shared" ref="M72:R72" si="17">SUM(M71:M71)</f>
        <v>0</v>
      </c>
      <c r="N72" s="192">
        <f t="shared" si="17"/>
        <v>2606640.9991843374</v>
      </c>
      <c r="O72" s="192">
        <f>SUM(O71:O71)</f>
        <v>2606640.9991843374</v>
      </c>
      <c r="P72" s="192">
        <f t="shared" si="17"/>
        <v>0</v>
      </c>
      <c r="Q72" s="192"/>
      <c r="R72" s="192">
        <f t="shared" si="17"/>
        <v>0</v>
      </c>
      <c r="S72" s="192"/>
      <c r="T72" s="46">
        <f>N72</f>
        <v>2606640.9991843374</v>
      </c>
      <c r="U72" s="46">
        <f t="shared" si="16"/>
        <v>2606640.9991843374</v>
      </c>
    </row>
    <row r="73" spans="1:24" hidden="1">
      <c r="A73" s="358"/>
      <c r="B73" s="69" t="s">
        <v>290</v>
      </c>
      <c r="C73" s="183" t="s">
        <v>226</v>
      </c>
      <c r="D73" s="69"/>
      <c r="E73" s="122"/>
      <c r="F73" s="122"/>
      <c r="G73" s="122"/>
      <c r="H73" s="60"/>
      <c r="I73" s="60"/>
      <c r="J73" s="73"/>
      <c r="K73" s="73"/>
      <c r="L73" s="192"/>
      <c r="M73" s="192"/>
      <c r="N73" s="192">
        <f>P73</f>
        <v>0</v>
      </c>
      <c r="O73" s="192"/>
      <c r="P73" s="192"/>
      <c r="Q73" s="192"/>
      <c r="R73" s="192"/>
      <c r="S73" s="192"/>
      <c r="T73" s="46">
        <f>P73</f>
        <v>0</v>
      </c>
      <c r="U73" s="46">
        <f t="shared" si="16"/>
        <v>0</v>
      </c>
    </row>
    <row r="74" spans="1:24" hidden="1">
      <c r="A74" s="358"/>
      <c r="B74" s="89" t="s">
        <v>225</v>
      </c>
      <c r="C74" s="183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73"/>
      <c r="L74" s="192"/>
      <c r="M74" s="192"/>
      <c r="N74" s="192">
        <f>S74</f>
        <v>0</v>
      </c>
      <c r="O74" s="192"/>
      <c r="P74" s="192"/>
      <c r="Q74" s="192"/>
      <c r="R74" s="192"/>
      <c r="S74" s="192"/>
      <c r="T74" s="46">
        <f>S74</f>
        <v>0</v>
      </c>
      <c r="U74" s="46">
        <f t="shared" si="16"/>
        <v>0</v>
      </c>
    </row>
    <row r="75" spans="1:24" hidden="1">
      <c r="A75" s="358"/>
      <c r="B75" s="89" t="s">
        <v>225</v>
      </c>
      <c r="C75" s="183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73"/>
      <c r="L75" s="192"/>
      <c r="M75" s="192"/>
      <c r="N75" s="192">
        <f>Q75</f>
        <v>0</v>
      </c>
      <c r="O75" s="192"/>
      <c r="P75" s="192"/>
      <c r="Q75" s="192"/>
      <c r="R75" s="192"/>
      <c r="S75" s="192"/>
      <c r="T75" s="46"/>
      <c r="U75" s="46">
        <f t="shared" si="16"/>
        <v>0</v>
      </c>
      <c r="V75" s="85">
        <f>Q75-T75</f>
        <v>0</v>
      </c>
    </row>
    <row r="76" spans="1:24" hidden="1">
      <c r="A76" s="358"/>
      <c r="B76" s="89" t="s">
        <v>289</v>
      </c>
      <c r="C76" s="183" t="s">
        <v>219</v>
      </c>
      <c r="D76" s="64"/>
      <c r="E76" s="122"/>
      <c r="F76" s="122"/>
      <c r="G76" s="122"/>
      <c r="H76" s="60"/>
      <c r="I76" s="60"/>
      <c r="J76" s="73"/>
      <c r="K76" s="73"/>
      <c r="L76" s="192"/>
      <c r="M76" s="192"/>
      <c r="N76" s="192">
        <f>S76</f>
        <v>0</v>
      </c>
      <c r="O76" s="192"/>
      <c r="P76" s="192"/>
      <c r="Q76" s="192"/>
      <c r="R76" s="192"/>
      <c r="S76" s="192"/>
      <c r="T76" s="46"/>
      <c r="U76" s="46"/>
    </row>
    <row r="77" spans="1:24">
      <c r="A77" s="358"/>
      <c r="B77" s="89" t="s">
        <v>305</v>
      </c>
      <c r="C77" s="183" t="s">
        <v>226</v>
      </c>
      <c r="D77" s="64"/>
      <c r="E77" s="122"/>
      <c r="F77" s="122">
        <v>22</v>
      </c>
      <c r="G77" s="122">
        <v>22</v>
      </c>
      <c r="H77" s="60">
        <v>21</v>
      </c>
      <c r="I77" s="60">
        <v>21</v>
      </c>
      <c r="J77" s="73"/>
      <c r="K77" s="73"/>
      <c r="L77" s="192"/>
      <c r="M77" s="192"/>
      <c r="N77" s="192">
        <f>O77</f>
        <v>859320</v>
      </c>
      <c r="O77" s="192">
        <v>859320</v>
      </c>
      <c r="P77" s="192"/>
      <c r="Q77" s="192"/>
      <c r="R77" s="192"/>
      <c r="S77" s="192"/>
      <c r="T77" s="46"/>
      <c r="U77" s="46">
        <f>T77</f>
        <v>0</v>
      </c>
    </row>
    <row r="78" spans="1:24" hidden="1">
      <c r="A78" s="358"/>
      <c r="B78" s="89" t="s">
        <v>258</v>
      </c>
      <c r="C78" s="183" t="s">
        <v>226</v>
      </c>
      <c r="D78" s="64"/>
      <c r="E78" s="122"/>
      <c r="F78" s="122"/>
      <c r="G78" s="122"/>
      <c r="H78" s="60"/>
      <c r="I78" s="60"/>
      <c r="J78" s="73"/>
      <c r="K78" s="73"/>
      <c r="L78" s="192"/>
      <c r="M78" s="192"/>
      <c r="N78" s="192">
        <f>O78</f>
        <v>0</v>
      </c>
      <c r="O78" s="192"/>
      <c r="P78" s="192"/>
      <c r="Q78" s="192"/>
      <c r="R78" s="192"/>
      <c r="S78" s="192"/>
      <c r="T78" s="46">
        <f>O78</f>
        <v>0</v>
      </c>
      <c r="U78" s="46">
        <f t="shared" si="16"/>
        <v>0</v>
      </c>
    </row>
    <row r="79" spans="1:24" hidden="1">
      <c r="A79" s="358"/>
      <c r="B79" s="89" t="s">
        <v>306</v>
      </c>
      <c r="C79" s="183" t="s">
        <v>226</v>
      </c>
      <c r="D79" s="64"/>
      <c r="E79" s="122"/>
      <c r="F79" s="122"/>
      <c r="G79" s="122"/>
      <c r="H79" s="60"/>
      <c r="I79" s="60"/>
      <c r="J79" s="73"/>
      <c r="K79" s="73"/>
      <c r="L79" s="192"/>
      <c r="M79" s="192"/>
      <c r="N79" s="192">
        <f>P79</f>
        <v>0</v>
      </c>
      <c r="O79" s="192"/>
      <c r="P79" s="192"/>
      <c r="Q79" s="192"/>
      <c r="R79" s="192"/>
      <c r="S79" s="192"/>
      <c r="T79" s="46"/>
      <c r="U79" s="46">
        <f>T79</f>
        <v>0</v>
      </c>
    </row>
    <row r="80" spans="1:24">
      <c r="A80" s="358"/>
      <c r="B80" s="101" t="s">
        <v>112</v>
      </c>
      <c r="C80" s="101"/>
      <c r="D80" s="69"/>
      <c r="E80" s="291">
        <f>E56+E65+E70</f>
        <v>528</v>
      </c>
      <c r="F80" s="297">
        <f>F56+F65+F70</f>
        <v>510</v>
      </c>
      <c r="G80" s="291">
        <f>G56+G65+G70</f>
        <v>522</v>
      </c>
      <c r="H80" s="102">
        <f>H56+H65+H70</f>
        <v>528</v>
      </c>
      <c r="I80" s="102">
        <f>I56+I65+I70</f>
        <v>528</v>
      </c>
      <c r="J80" s="104"/>
      <c r="K80" s="104"/>
      <c r="L80" s="138"/>
      <c r="M80" s="138"/>
      <c r="N80" s="138">
        <f>SUM(O80:S80)</f>
        <v>38901654.353592716</v>
      </c>
      <c r="O80" s="138">
        <f>O56+O65+O70+O72+O77+O78</f>
        <v>23167204.002769139</v>
      </c>
      <c r="P80" s="138">
        <f>P56+P65+P70+P72+P73+P74+P75+P79</f>
        <v>6222141.0009011403</v>
      </c>
      <c r="Q80" s="138">
        <f>Q56+Q65+Q70+Q72+Q73+Q74+Q75</f>
        <v>0</v>
      </c>
      <c r="R80" s="138">
        <f>R56+R65+R70+R72+R73+R74+R75+R76</f>
        <v>9512309.3499224391</v>
      </c>
      <c r="S80" s="138">
        <f>S56+S65+S70+S72+S73+S74+S75+S76</f>
        <v>0</v>
      </c>
      <c r="T80" s="138">
        <f>T56+T65+T70+T72+T73+T74+T75+T76+T77+T78+T79</f>
        <v>38189469.437381998</v>
      </c>
      <c r="U80" s="138">
        <f>U56+U65+U70+U72+U73+U74+U75+U76+U77+U78+U79</f>
        <v>38189469.437381998</v>
      </c>
      <c r="V80" s="85">
        <v>9512309.3499999996</v>
      </c>
      <c r="W80" s="85">
        <f>V80-R80</f>
        <v>7.7560544013977051E-5</v>
      </c>
      <c r="X80" s="80">
        <f>W80/G80</f>
        <v>1.4858341765129703E-7</v>
      </c>
    </row>
    <row r="81" spans="1:21" ht="82.8">
      <c r="A81" s="349" t="s">
        <v>114</v>
      </c>
      <c r="B81" s="350" t="s">
        <v>237</v>
      </c>
      <c r="C81" s="61" t="s">
        <v>100</v>
      </c>
      <c r="D81" s="62" t="s">
        <v>101</v>
      </c>
      <c r="E81" s="123">
        <v>242</v>
      </c>
      <c r="F81" s="123">
        <v>254</v>
      </c>
      <c r="G81" s="123">
        <f t="shared" ref="G81:G104" si="18">((E81*8)+(F81*4))/12</f>
        <v>246</v>
      </c>
      <c r="H81" s="59">
        <v>242</v>
      </c>
      <c r="I81" s="59">
        <v>242</v>
      </c>
      <c r="J81" s="107">
        <f>SUM(K81:M81)</f>
        <v>47181.03967582</v>
      </c>
      <c r="K81" s="107">
        <f>23119.12+1351.63+75.7703161</f>
        <v>24546.520316099999</v>
      </c>
      <c r="L81" s="278">
        <f>4001.99*2.457553+1117.83092227</f>
        <v>10952.933452739999</v>
      </c>
      <c r="M81" s="278">
        <f>7790.73-13.14656772+2744.41+18.5528757+1141.039599</f>
        <v>11681.585906979999</v>
      </c>
      <c r="N81" s="267">
        <f>SUM(O81:R81)</f>
        <v>11391968.293197626</v>
      </c>
      <c r="O81" s="267">
        <f>G81*K81*0.964404559</f>
        <v>5823502.9207065077</v>
      </c>
      <c r="P81" s="267">
        <f>G81*L81+372.6</f>
        <v>2694794.2293740399</v>
      </c>
      <c r="Q81" s="267"/>
      <c r="R81" s="46">
        <f>G81*M81+1.01</f>
        <v>2873671.1431170795</v>
      </c>
      <c r="S81" s="46"/>
      <c r="T81" s="46">
        <f>N81+840796.01-10000+212976.62</f>
        <v>12435740.923197625</v>
      </c>
      <c r="U81" s="46">
        <f>T81</f>
        <v>12435740.923197625</v>
      </c>
    </row>
    <row r="82" spans="1:21" ht="82.8">
      <c r="A82" s="349"/>
      <c r="B82" s="350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59" t="s">
        <v>104</v>
      </c>
      <c r="L82" s="123" t="s">
        <v>104</v>
      </c>
      <c r="M82" s="123" t="s">
        <v>104</v>
      </c>
      <c r="N82" s="123"/>
      <c r="O82" s="123"/>
      <c r="P82" s="123" t="s">
        <v>104</v>
      </c>
      <c r="Q82" s="123"/>
      <c r="R82" s="123" t="s">
        <v>104</v>
      </c>
      <c r="S82" s="123"/>
      <c r="T82" s="46"/>
      <c r="U82" s="46"/>
    </row>
    <row r="83" spans="1:21">
      <c r="A83" s="349"/>
      <c r="B83" s="350"/>
      <c r="C83" s="63" t="s">
        <v>171</v>
      </c>
      <c r="D83" s="64" t="s">
        <v>101</v>
      </c>
      <c r="E83" s="123">
        <v>1</v>
      </c>
      <c r="F83" s="123"/>
      <c r="G83" s="123">
        <f t="shared" si="18"/>
        <v>0.66666666666666663</v>
      </c>
      <c r="H83" s="59">
        <v>1</v>
      </c>
      <c r="I83" s="59">
        <v>1</v>
      </c>
      <c r="J83" s="75">
        <f t="shared" ref="J83:J88" si="19">K83</f>
        <v>69362.66</v>
      </c>
      <c r="K83" s="75">
        <v>69362.66</v>
      </c>
      <c r="L83" s="123" t="s">
        <v>104</v>
      </c>
      <c r="M83" s="123" t="s">
        <v>104</v>
      </c>
      <c r="N83" s="267">
        <f t="shared" ref="N83:N88" si="20">O83</f>
        <v>44595.777018911293</v>
      </c>
      <c r="O83" s="267">
        <f t="shared" ref="O83:O89" si="21">G83*K83*0.964404559</f>
        <v>44595.777018911293</v>
      </c>
      <c r="P83" s="123" t="s">
        <v>104</v>
      </c>
      <c r="Q83" s="123"/>
      <c r="R83" s="123" t="s">
        <v>104</v>
      </c>
      <c r="S83" s="123"/>
      <c r="T83" s="46">
        <f t="shared" ref="T83:T88" si="22">H83*K83</f>
        <v>69362.66</v>
      </c>
      <c r="U83" s="46">
        <f t="shared" ref="U83:U88" si="23">I83*K83</f>
        <v>69362.66</v>
      </c>
    </row>
    <row r="84" spans="1:21">
      <c r="A84" s="349"/>
      <c r="B84" s="350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8"/>
        <v>3</v>
      </c>
      <c r="H84" s="59">
        <v>3</v>
      </c>
      <c r="I84" s="59">
        <v>3</v>
      </c>
      <c r="J84" s="75">
        <f t="shared" si="19"/>
        <v>25589.72</v>
      </c>
      <c r="K84" s="75">
        <v>25589.72</v>
      </c>
      <c r="L84" s="123" t="s">
        <v>104</v>
      </c>
      <c r="M84" s="123" t="s">
        <v>104</v>
      </c>
      <c r="N84" s="267">
        <f t="shared" si="20"/>
        <v>74036.52789460044</v>
      </c>
      <c r="O84" s="267">
        <f t="shared" si="21"/>
        <v>74036.52789460044</v>
      </c>
      <c r="P84" s="123" t="s">
        <v>104</v>
      </c>
      <c r="Q84" s="123"/>
      <c r="R84" s="123" t="s">
        <v>104</v>
      </c>
      <c r="S84" s="123"/>
      <c r="T84" s="46">
        <f t="shared" si="22"/>
        <v>76769.16</v>
      </c>
      <c r="U84" s="46">
        <f t="shared" si="23"/>
        <v>76769.16</v>
      </c>
    </row>
    <row r="85" spans="1:21">
      <c r="A85" s="349"/>
      <c r="B85" s="350"/>
      <c r="C85" s="63" t="s">
        <v>169</v>
      </c>
      <c r="D85" s="64" t="s">
        <v>101</v>
      </c>
      <c r="E85" s="123">
        <v>18</v>
      </c>
      <c r="F85" s="123">
        <v>17</v>
      </c>
      <c r="G85" s="123">
        <f t="shared" si="18"/>
        <v>17.666666666666668</v>
      </c>
      <c r="H85" s="59">
        <v>18</v>
      </c>
      <c r="I85" s="59">
        <v>18</v>
      </c>
      <c r="J85" s="75">
        <f t="shared" si="19"/>
        <v>69362.66</v>
      </c>
      <c r="K85" s="75">
        <v>69362.66</v>
      </c>
      <c r="L85" s="123" t="s">
        <v>104</v>
      </c>
      <c r="M85" s="123" t="s">
        <v>104</v>
      </c>
      <c r="N85" s="267">
        <f t="shared" si="20"/>
        <v>1181788.0910011493</v>
      </c>
      <c r="O85" s="267">
        <f t="shared" si="21"/>
        <v>1181788.0910011493</v>
      </c>
      <c r="P85" s="123" t="s">
        <v>104</v>
      </c>
      <c r="Q85" s="123"/>
      <c r="R85" s="123" t="s">
        <v>104</v>
      </c>
      <c r="S85" s="123"/>
      <c r="T85" s="46">
        <f t="shared" si="22"/>
        <v>1248527.8800000001</v>
      </c>
      <c r="U85" s="46">
        <f t="shared" si="23"/>
        <v>1248527.8800000001</v>
      </c>
    </row>
    <row r="86" spans="1:21">
      <c r="A86" s="349"/>
      <c r="B86" s="350"/>
      <c r="C86" s="63" t="s">
        <v>165</v>
      </c>
      <c r="D86" s="64" t="s">
        <v>101</v>
      </c>
      <c r="E86" s="123"/>
      <c r="F86" s="123">
        <v>1</v>
      </c>
      <c r="G86" s="123">
        <f t="shared" si="18"/>
        <v>0.33333333333333331</v>
      </c>
      <c r="H86" s="59"/>
      <c r="I86" s="59"/>
      <c r="J86" s="75">
        <f t="shared" si="19"/>
        <v>92468.25</v>
      </c>
      <c r="K86" s="75">
        <v>92468.25</v>
      </c>
      <c r="L86" s="123" t="s">
        <v>104</v>
      </c>
      <c r="M86" s="123" t="s">
        <v>104</v>
      </c>
      <c r="N86" s="267">
        <f t="shared" si="20"/>
        <v>29725.600620917248</v>
      </c>
      <c r="O86" s="267">
        <f t="shared" si="21"/>
        <v>29725.600620917248</v>
      </c>
      <c r="P86" s="123" t="s">
        <v>104</v>
      </c>
      <c r="Q86" s="123"/>
      <c r="R86" s="123" t="s">
        <v>104</v>
      </c>
      <c r="S86" s="123"/>
      <c r="T86" s="46">
        <f t="shared" si="22"/>
        <v>0</v>
      </c>
      <c r="U86" s="46">
        <f t="shared" si="23"/>
        <v>0</v>
      </c>
    </row>
    <row r="87" spans="1:21">
      <c r="A87" s="349"/>
      <c r="B87" s="350"/>
      <c r="C87" s="63" t="s">
        <v>166</v>
      </c>
      <c r="D87" s="64" t="s">
        <v>101</v>
      </c>
      <c r="E87" s="123">
        <v>5</v>
      </c>
      <c r="F87" s="123">
        <v>6</v>
      </c>
      <c r="G87" s="123">
        <f t="shared" si="18"/>
        <v>5.333333333333333</v>
      </c>
      <c r="H87" s="59">
        <v>5</v>
      </c>
      <c r="I87" s="59">
        <v>5</v>
      </c>
      <c r="J87" s="75">
        <f t="shared" si="19"/>
        <v>66361.320000000007</v>
      </c>
      <c r="K87" s="75">
        <v>66361.320000000007</v>
      </c>
      <c r="L87" s="123" t="s">
        <v>104</v>
      </c>
      <c r="M87" s="123" t="s">
        <v>104</v>
      </c>
      <c r="N87" s="267">
        <f t="shared" si="20"/>
        <v>341328.85092937539</v>
      </c>
      <c r="O87" s="267">
        <f t="shared" si="21"/>
        <v>341328.85092937539</v>
      </c>
      <c r="P87" s="123" t="s">
        <v>104</v>
      </c>
      <c r="Q87" s="123"/>
      <c r="R87" s="123" t="s">
        <v>104</v>
      </c>
      <c r="S87" s="123"/>
      <c r="T87" s="46">
        <f t="shared" si="22"/>
        <v>331806.60000000003</v>
      </c>
      <c r="U87" s="46">
        <f t="shared" si="23"/>
        <v>331806.60000000003</v>
      </c>
    </row>
    <row r="88" spans="1:21">
      <c r="A88" s="349"/>
      <c r="B88" s="350"/>
      <c r="C88" s="63" t="s">
        <v>168</v>
      </c>
      <c r="D88" s="64" t="s">
        <v>101</v>
      </c>
      <c r="E88" s="123">
        <v>1</v>
      </c>
      <c r="F88" s="123">
        <v>1</v>
      </c>
      <c r="G88" s="123">
        <f t="shared" si="18"/>
        <v>1</v>
      </c>
      <c r="H88" s="59">
        <v>1</v>
      </c>
      <c r="I88" s="59">
        <v>1</v>
      </c>
      <c r="J88" s="75">
        <f t="shared" si="19"/>
        <v>23553.439999999999</v>
      </c>
      <c r="K88" s="75">
        <v>23553.439999999999</v>
      </c>
      <c r="L88" s="123" t="s">
        <v>104</v>
      </c>
      <c r="M88" s="123" t="s">
        <v>104</v>
      </c>
      <c r="N88" s="267">
        <f t="shared" si="20"/>
        <v>22715.04491613296</v>
      </c>
      <c r="O88" s="267">
        <f t="shared" si="21"/>
        <v>22715.04491613296</v>
      </c>
      <c r="P88" s="123" t="s">
        <v>104</v>
      </c>
      <c r="Q88" s="123"/>
      <c r="R88" s="123" t="s">
        <v>104</v>
      </c>
      <c r="S88" s="123"/>
      <c r="T88" s="46">
        <f t="shared" si="22"/>
        <v>23553.439999999999</v>
      </c>
      <c r="U88" s="46">
        <f t="shared" si="23"/>
        <v>23553.439999999999</v>
      </c>
    </row>
    <row r="89" spans="1:21" ht="82.8">
      <c r="A89" s="349"/>
      <c r="B89" s="350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8"/>
        <v>1</v>
      </c>
      <c r="H89" s="59">
        <v>1</v>
      </c>
      <c r="I89" s="59">
        <v>1</v>
      </c>
      <c r="J89" s="75">
        <f>SUM(K89:M89)</f>
        <v>145474.83967582</v>
      </c>
      <c r="K89" s="75">
        <f>121412.92+1351.63+75.7703161</f>
        <v>122840.3203161</v>
      </c>
      <c r="L89" s="278">
        <f>4001.99*2.457553+1117.83092227</f>
        <v>10952.933452739999</v>
      </c>
      <c r="M89" s="278">
        <f>7790.73-13.14656772+2744.41+18.5528757+1141.039599</f>
        <v>11681.585906979999</v>
      </c>
      <c r="N89" s="267">
        <f>SUM(O89:R89)</f>
        <v>141102.28430158718</v>
      </c>
      <c r="O89" s="267">
        <f t="shared" si="21"/>
        <v>118467.76494186716</v>
      </c>
      <c r="P89" s="267">
        <f>G89*L89</f>
        <v>10952.933452739999</v>
      </c>
      <c r="Q89" s="267"/>
      <c r="R89" s="46">
        <f>G89*M89</f>
        <v>11681.585906979999</v>
      </c>
      <c r="S89" s="46"/>
      <c r="T89" s="46">
        <f>N89+3474.36</f>
        <v>144576.64430158716</v>
      </c>
      <c r="U89" s="46">
        <f>T89</f>
        <v>144576.64430158716</v>
      </c>
    </row>
    <row r="90" spans="1:21">
      <c r="A90" s="349"/>
      <c r="B90" s="350"/>
      <c r="C90" s="66" t="s">
        <v>106</v>
      </c>
      <c r="D90" s="67"/>
      <c r="E90" s="123">
        <f>E81+E89</f>
        <v>243</v>
      </c>
      <c r="F90" s="123">
        <f>F81+F89</f>
        <v>255</v>
      </c>
      <c r="G90" s="123">
        <f>G81+G89</f>
        <v>247</v>
      </c>
      <c r="H90" s="59">
        <f>H81+H89</f>
        <v>243</v>
      </c>
      <c r="I90" s="59">
        <f>I81+I89</f>
        <v>243</v>
      </c>
      <c r="J90" s="71" t="s">
        <v>104</v>
      </c>
      <c r="K90" s="71" t="s">
        <v>104</v>
      </c>
      <c r="L90" s="267" t="s">
        <v>104</v>
      </c>
      <c r="M90" s="267" t="s">
        <v>104</v>
      </c>
      <c r="N90" s="267">
        <f t="shared" ref="N90:T90" si="24">SUM(N81:N89)</f>
        <v>13227260.469880302</v>
      </c>
      <c r="O90" s="267">
        <f t="shared" si="24"/>
        <v>7636160.5780294621</v>
      </c>
      <c r="P90" s="267">
        <f t="shared" si="24"/>
        <v>2705747.1628267798</v>
      </c>
      <c r="Q90" s="267"/>
      <c r="R90" s="267">
        <f t="shared" si="24"/>
        <v>2885352.7290240596</v>
      </c>
      <c r="S90" s="267"/>
      <c r="T90" s="267">
        <f t="shared" si="24"/>
        <v>14330337.307499213</v>
      </c>
      <c r="U90" s="267">
        <f>T90</f>
        <v>14330337.307499213</v>
      </c>
    </row>
    <row r="91" spans="1:21" ht="82.8">
      <c r="A91" s="349"/>
      <c r="B91" s="350" t="s">
        <v>238</v>
      </c>
      <c r="C91" s="61" t="s">
        <v>100</v>
      </c>
      <c r="D91" s="62" t="s">
        <v>101</v>
      </c>
      <c r="E91" s="123">
        <v>224</v>
      </c>
      <c r="F91" s="123">
        <v>211</v>
      </c>
      <c r="G91" s="123">
        <f t="shared" si="18"/>
        <v>219.66666666666666</v>
      </c>
      <c r="H91" s="59">
        <v>224</v>
      </c>
      <c r="I91" s="59">
        <v>224</v>
      </c>
      <c r="J91" s="107">
        <f>SUM(K91:M91)</f>
        <v>58705.989675820005</v>
      </c>
      <c r="K91" s="107">
        <f>34346.05+1649.65+75.7703161</f>
        <v>36071.470316100007</v>
      </c>
      <c r="L91" s="278">
        <f>4001.99*2.457553+1117.83092227</f>
        <v>10952.933452739999</v>
      </c>
      <c r="M91" s="278">
        <f>7790.73-13.14656772+2744.41+18.5528757+1141.039599</f>
        <v>11681.585906979999</v>
      </c>
      <c r="N91" s="267">
        <f>SUM(O91:R91)</f>
        <v>12613701.482200537</v>
      </c>
      <c r="O91" s="267">
        <f>G91*K91*0.964404559</f>
        <v>7641652.0628487105</v>
      </c>
      <c r="P91" s="267">
        <f>G91*L91</f>
        <v>2405994.3817852195</v>
      </c>
      <c r="Q91" s="267"/>
      <c r="R91" s="46">
        <f>G91*M91</f>
        <v>2566055.0375666064</v>
      </c>
      <c r="S91" s="46"/>
      <c r="T91" s="46">
        <f>N91+778257.45-335281</f>
        <v>13056677.932200536</v>
      </c>
      <c r="U91" s="46">
        <f>T91</f>
        <v>13056677.932200536</v>
      </c>
    </row>
    <row r="92" spans="1:21" ht="82.8">
      <c r="A92" s="349"/>
      <c r="B92" s="350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59" t="s">
        <v>104</v>
      </c>
      <c r="L92" s="123" t="s">
        <v>104</v>
      </c>
      <c r="M92" s="123" t="s">
        <v>104</v>
      </c>
      <c r="N92" s="267"/>
      <c r="O92" s="267"/>
      <c r="P92" s="123" t="s">
        <v>104</v>
      </c>
      <c r="Q92" s="123"/>
      <c r="R92" s="123" t="s">
        <v>104</v>
      </c>
      <c r="S92" s="123"/>
      <c r="T92" s="46"/>
      <c r="U92" s="46"/>
    </row>
    <row r="93" spans="1:21">
      <c r="A93" s="349"/>
      <c r="B93" s="350"/>
      <c r="C93" s="63" t="s">
        <v>171</v>
      </c>
      <c r="D93" s="64" t="s">
        <v>101</v>
      </c>
      <c r="E93" s="122">
        <v>1</v>
      </c>
      <c r="F93" s="122">
        <v>2</v>
      </c>
      <c r="G93" s="123">
        <f t="shared" si="18"/>
        <v>1.3333333333333333</v>
      </c>
      <c r="H93" s="60">
        <v>1</v>
      </c>
      <c r="I93" s="60">
        <v>1</v>
      </c>
      <c r="J93" s="75">
        <f>K93</f>
        <v>69362.66</v>
      </c>
      <c r="K93" s="75">
        <v>69362.66</v>
      </c>
      <c r="L93" s="123" t="s">
        <v>104</v>
      </c>
      <c r="M93" s="123" t="s">
        <v>104</v>
      </c>
      <c r="N93" s="267">
        <f>O93</f>
        <v>89191.554037822585</v>
      </c>
      <c r="O93" s="267">
        <f>G93*K93*0.964404559</f>
        <v>89191.554037822585</v>
      </c>
      <c r="P93" s="123" t="s">
        <v>104</v>
      </c>
      <c r="Q93" s="123"/>
      <c r="R93" s="123" t="s">
        <v>104</v>
      </c>
      <c r="S93" s="123"/>
      <c r="T93" s="46">
        <f>H93*K93</f>
        <v>69362.66</v>
      </c>
      <c r="U93" s="46">
        <f>I93*K93</f>
        <v>69362.66</v>
      </c>
    </row>
    <row r="94" spans="1:21">
      <c r="A94" s="349"/>
      <c r="B94" s="350"/>
      <c r="C94" s="63" t="s">
        <v>165</v>
      </c>
      <c r="D94" s="64" t="s">
        <v>101</v>
      </c>
      <c r="E94" s="122"/>
      <c r="F94" s="122"/>
      <c r="G94" s="123">
        <f t="shared" si="18"/>
        <v>0</v>
      </c>
      <c r="H94" s="60"/>
      <c r="I94" s="60"/>
      <c r="J94" s="75">
        <f>K94</f>
        <v>92468.25</v>
      </c>
      <c r="K94" s="75">
        <v>92468.25</v>
      </c>
      <c r="L94" s="123" t="s">
        <v>104</v>
      </c>
      <c r="M94" s="123" t="s">
        <v>104</v>
      </c>
      <c r="N94" s="267">
        <f>O94</f>
        <v>0</v>
      </c>
      <c r="O94" s="267">
        <f>G94*K94*0.964404559</f>
        <v>0</v>
      </c>
      <c r="P94" s="123" t="s">
        <v>104</v>
      </c>
      <c r="Q94" s="123"/>
      <c r="R94" s="123" t="s">
        <v>104</v>
      </c>
      <c r="S94" s="123"/>
      <c r="T94" s="46">
        <f>H94*K94</f>
        <v>0</v>
      </c>
      <c r="U94" s="46">
        <f>I94*K94</f>
        <v>0</v>
      </c>
    </row>
    <row r="95" spans="1:21">
      <c r="A95" s="349"/>
      <c r="B95" s="350"/>
      <c r="C95" s="63" t="s">
        <v>168</v>
      </c>
      <c r="D95" s="64" t="s">
        <v>101</v>
      </c>
      <c r="E95" s="122">
        <v>6</v>
      </c>
      <c r="F95" s="122">
        <v>1</v>
      </c>
      <c r="G95" s="123">
        <f t="shared" si="18"/>
        <v>4.333333333333333</v>
      </c>
      <c r="H95" s="60">
        <v>6</v>
      </c>
      <c r="I95" s="60">
        <v>6</v>
      </c>
      <c r="J95" s="75">
        <f>K95</f>
        <v>23553.439999999999</v>
      </c>
      <c r="K95" s="75">
        <v>23553.439999999999</v>
      </c>
      <c r="L95" s="123" t="s">
        <v>104</v>
      </c>
      <c r="M95" s="123" t="s">
        <v>104</v>
      </c>
      <c r="N95" s="267">
        <f>O95</f>
        <v>98431.861303242811</v>
      </c>
      <c r="O95" s="267">
        <f>G95*K95*0.964404559</f>
        <v>98431.861303242811</v>
      </c>
      <c r="P95" s="123" t="s">
        <v>104</v>
      </c>
      <c r="Q95" s="123"/>
      <c r="R95" s="123" t="s">
        <v>104</v>
      </c>
      <c r="S95" s="123"/>
      <c r="T95" s="46">
        <f>H95*K95</f>
        <v>141320.63999999998</v>
      </c>
      <c r="U95" s="46">
        <f>I95*K95</f>
        <v>141320.63999999998</v>
      </c>
    </row>
    <row r="96" spans="1:21" ht="82.8">
      <c r="A96" s="349"/>
      <c r="B96" s="350"/>
      <c r="C96" s="61" t="s">
        <v>105</v>
      </c>
      <c r="D96" s="64" t="s">
        <v>101</v>
      </c>
      <c r="E96" s="122">
        <v>3</v>
      </c>
      <c r="F96" s="122"/>
      <c r="G96" s="123">
        <f t="shared" si="18"/>
        <v>2</v>
      </c>
      <c r="H96" s="60">
        <v>3</v>
      </c>
      <c r="I96" s="60">
        <v>3</v>
      </c>
      <c r="J96" s="75">
        <f>SUM(K96:M96)</f>
        <v>175767.56967582001</v>
      </c>
      <c r="K96" s="75">
        <f>151407.63+1649.65+75.7703161</f>
        <v>153133.05031610001</v>
      </c>
      <c r="L96" s="278">
        <f>4001.99*2.457553+1117.83092227</f>
        <v>10952.933452739999</v>
      </c>
      <c r="M96" s="278">
        <f>7790.73-13.14656772+2744.41+18.5528757+1141.039599</f>
        <v>11681.585906979999</v>
      </c>
      <c r="N96" s="269">
        <f>SUM(O96:R96)</f>
        <v>340633.4624362865</v>
      </c>
      <c r="O96" s="267">
        <f>G96*K96*0.964404559</f>
        <v>295364.4237168465</v>
      </c>
      <c r="P96" s="269">
        <f>G96*L96</f>
        <v>21905.866905479998</v>
      </c>
      <c r="Q96" s="269"/>
      <c r="R96" s="46">
        <f>G96*M96</f>
        <v>23363.171813959998</v>
      </c>
      <c r="S96" s="46"/>
      <c r="T96" s="46">
        <f>N96+10423.09</f>
        <v>351056.55243628653</v>
      </c>
      <c r="U96" s="46">
        <f>T96</f>
        <v>351056.55243628653</v>
      </c>
    </row>
    <row r="97" spans="1:23">
      <c r="A97" s="349"/>
      <c r="B97" s="186"/>
      <c r="C97" s="66" t="s">
        <v>106</v>
      </c>
      <c r="D97" s="64"/>
      <c r="E97" s="122">
        <f>E91+E96</f>
        <v>227</v>
      </c>
      <c r="F97" s="122">
        <f>F91+F96</f>
        <v>211</v>
      </c>
      <c r="G97" s="122">
        <f>G91+G96</f>
        <v>221.66666666666666</v>
      </c>
      <c r="H97" s="60">
        <f>H91+H96</f>
        <v>227</v>
      </c>
      <c r="I97" s="60">
        <f>I91+I96</f>
        <v>227</v>
      </c>
      <c r="J97" s="73" t="s">
        <v>104</v>
      </c>
      <c r="K97" s="73" t="s">
        <v>104</v>
      </c>
      <c r="L97" s="192" t="s">
        <v>104</v>
      </c>
      <c r="M97" s="192" t="s">
        <v>104</v>
      </c>
      <c r="N97" s="192">
        <f t="shared" ref="N97:U97" si="25">SUM(N91:N96)</f>
        <v>13141958.359977888</v>
      </c>
      <c r="O97" s="192">
        <f t="shared" si="25"/>
        <v>8124639.9019066226</v>
      </c>
      <c r="P97" s="192">
        <f t="shared" si="25"/>
        <v>2427900.2486906997</v>
      </c>
      <c r="Q97" s="192"/>
      <c r="R97" s="192">
        <f t="shared" si="25"/>
        <v>2589418.2093805666</v>
      </c>
      <c r="S97" s="192"/>
      <c r="T97" s="192">
        <f t="shared" si="25"/>
        <v>13618417.784636823</v>
      </c>
      <c r="U97" s="192">
        <f t="shared" si="25"/>
        <v>13618417.784636823</v>
      </c>
    </row>
    <row r="98" spans="1:23" ht="82.8">
      <c r="A98" s="349"/>
      <c r="B98" s="350" t="s">
        <v>239</v>
      </c>
      <c r="C98" s="61" t="s">
        <v>100</v>
      </c>
      <c r="D98" s="62" t="s">
        <v>101</v>
      </c>
      <c r="E98" s="122">
        <v>69</v>
      </c>
      <c r="F98" s="122">
        <v>61</v>
      </c>
      <c r="G98" s="123">
        <f t="shared" si="18"/>
        <v>66.333333333333329</v>
      </c>
      <c r="H98" s="60">
        <v>69</v>
      </c>
      <c r="I98" s="60">
        <v>69</v>
      </c>
      <c r="J98" s="107">
        <f>SUM(K98:M98)</f>
        <v>65814.189675820002</v>
      </c>
      <c r="K98" s="107">
        <f>41105.12+1998.78+75.7703161</f>
        <v>43179.670316100004</v>
      </c>
      <c r="L98" s="278">
        <f>4001.99*2.457553+1117.83092227</f>
        <v>10952.933452739999</v>
      </c>
      <c r="M98" s="278">
        <f>7790.73-13.14656772+2744.41+18.5528757+1141.039599</f>
        <v>11681.585906979999</v>
      </c>
      <c r="N98" s="269">
        <f>SUM(O98:R98)</f>
        <v>4263720.2878226927</v>
      </c>
      <c r="O98" s="269">
        <f>G98*K98*0.964404559</f>
        <v>2762297.1702945996</v>
      </c>
      <c r="P98" s="269">
        <f>G98*L98</f>
        <v>726544.58569841983</v>
      </c>
      <c r="Q98" s="269"/>
      <c r="R98" s="46">
        <f>G98*M98</f>
        <v>774878.53182967321</v>
      </c>
      <c r="S98" s="46"/>
      <c r="T98" s="46">
        <f>N98+239731.09</f>
        <v>4503451.3778226925</v>
      </c>
      <c r="U98" s="46">
        <f>T98</f>
        <v>4503451.3778226925</v>
      </c>
    </row>
    <row r="99" spans="1:23" ht="82.8">
      <c r="A99" s="349"/>
      <c r="B99" s="350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59" t="s">
        <v>104</v>
      </c>
      <c r="L99" s="123" t="s">
        <v>104</v>
      </c>
      <c r="M99" s="123" t="s">
        <v>104</v>
      </c>
      <c r="N99" s="267"/>
      <c r="O99" s="267"/>
      <c r="P99" s="123" t="s">
        <v>104</v>
      </c>
      <c r="Q99" s="123"/>
      <c r="R99" s="123" t="s">
        <v>104</v>
      </c>
      <c r="S99" s="123"/>
      <c r="T99" s="46"/>
      <c r="U99" s="46"/>
    </row>
    <row r="100" spans="1:23">
      <c r="A100" s="349"/>
      <c r="B100" s="350"/>
      <c r="C100" s="63" t="s">
        <v>165</v>
      </c>
      <c r="D100" s="64" t="s">
        <v>101</v>
      </c>
      <c r="E100" s="122"/>
      <c r="F100" s="122"/>
      <c r="G100" s="123">
        <f t="shared" si="18"/>
        <v>0</v>
      </c>
      <c r="H100" s="60"/>
      <c r="I100" s="60"/>
      <c r="J100" s="75">
        <f>K100</f>
        <v>92468.25</v>
      </c>
      <c r="K100" s="75">
        <v>92468.25</v>
      </c>
      <c r="L100" s="123" t="s">
        <v>104</v>
      </c>
      <c r="M100" s="123" t="s">
        <v>104</v>
      </c>
      <c r="N100" s="267">
        <f>O100</f>
        <v>0</v>
      </c>
      <c r="O100" s="267">
        <f>G100*K100*0.964404559</f>
        <v>0</v>
      </c>
      <c r="P100" s="123" t="s">
        <v>104</v>
      </c>
      <c r="Q100" s="123"/>
      <c r="R100" s="123" t="s">
        <v>104</v>
      </c>
      <c r="S100" s="123"/>
      <c r="T100" s="46">
        <f>H100*K100</f>
        <v>0</v>
      </c>
      <c r="U100" s="46">
        <f>I100*K100</f>
        <v>0</v>
      </c>
      <c r="W100" s="80">
        <v>35580676.469999999</v>
      </c>
    </row>
    <row r="101" spans="1:23">
      <c r="A101" s="349"/>
      <c r="B101" s="350"/>
      <c r="C101" s="63" t="s">
        <v>168</v>
      </c>
      <c r="D101" s="64" t="s">
        <v>101</v>
      </c>
      <c r="E101" s="122"/>
      <c r="F101" s="122">
        <v>2</v>
      </c>
      <c r="G101" s="123">
        <f t="shared" si="18"/>
        <v>0.66666666666666663</v>
      </c>
      <c r="H101" s="60"/>
      <c r="I101" s="60"/>
      <c r="J101" s="75">
        <f>K101</f>
        <v>23553.439999999999</v>
      </c>
      <c r="K101" s="75">
        <v>23553.439999999999</v>
      </c>
      <c r="L101" s="123" t="s">
        <v>104</v>
      </c>
      <c r="M101" s="123" t="s">
        <v>104</v>
      </c>
      <c r="N101" s="267">
        <f>O101</f>
        <v>15143.363277421971</v>
      </c>
      <c r="O101" s="267">
        <f>G101*K101*0.964404559</f>
        <v>15143.363277421971</v>
      </c>
      <c r="P101" s="123" t="s">
        <v>104</v>
      </c>
      <c r="Q101" s="123"/>
      <c r="R101" s="123" t="s">
        <v>104</v>
      </c>
      <c r="S101" s="123"/>
      <c r="T101" s="46">
        <f>H101*K101</f>
        <v>0</v>
      </c>
      <c r="U101" s="46">
        <f>I101*K101</f>
        <v>0</v>
      </c>
    </row>
    <row r="102" spans="1:23" ht="82.8">
      <c r="A102" s="349"/>
      <c r="B102" s="350"/>
      <c r="C102" s="61" t="s">
        <v>105</v>
      </c>
      <c r="D102" s="64" t="s">
        <v>101</v>
      </c>
      <c r="E102" s="122"/>
      <c r="F102" s="122">
        <v>1</v>
      </c>
      <c r="G102" s="123">
        <f t="shared" si="18"/>
        <v>0.33333333333333331</v>
      </c>
      <c r="H102" s="60"/>
      <c r="I102" s="60"/>
      <c r="J102" s="75">
        <f>SUM(K102:M102)</f>
        <v>206111.41967582001</v>
      </c>
      <c r="K102" s="75">
        <f>181402.35+1998.78+75.7703161</f>
        <v>183476.90031610001</v>
      </c>
      <c r="L102" s="278">
        <f>4001.99*2.457553+1117.83092227</f>
        <v>10952.933452739999</v>
      </c>
      <c r="M102" s="278">
        <f>7790.73-13.14656772+2744.41+18.5528757+1141.039599</f>
        <v>11681.585906979999</v>
      </c>
      <c r="N102" s="267">
        <f>O102</f>
        <v>58981.986378678463</v>
      </c>
      <c r="O102" s="267">
        <f>G102*K102*0.964404559</f>
        <v>58981.986378678463</v>
      </c>
      <c r="P102" s="269"/>
      <c r="Q102" s="269"/>
      <c r="R102" s="269"/>
      <c r="S102" s="269"/>
      <c r="T102" s="46">
        <f>H102*J102</f>
        <v>0</v>
      </c>
      <c r="U102" s="46">
        <f>I102*J102</f>
        <v>0</v>
      </c>
    </row>
    <row r="103" spans="1:23">
      <c r="A103" s="349"/>
      <c r="B103" s="186"/>
      <c r="C103" s="66" t="s">
        <v>106</v>
      </c>
      <c r="D103" s="64"/>
      <c r="E103" s="122">
        <f>E98+E102</f>
        <v>69</v>
      </c>
      <c r="F103" s="122">
        <f>F98+F102</f>
        <v>62</v>
      </c>
      <c r="G103" s="122">
        <f>G98+G102</f>
        <v>66.666666666666657</v>
      </c>
      <c r="H103" s="60">
        <f>H98+H102</f>
        <v>69</v>
      </c>
      <c r="I103" s="60">
        <f>I98+I102</f>
        <v>69</v>
      </c>
      <c r="J103" s="73" t="s">
        <v>104</v>
      </c>
      <c r="K103" s="73" t="s">
        <v>104</v>
      </c>
      <c r="L103" s="192" t="s">
        <v>104</v>
      </c>
      <c r="M103" s="192" t="s">
        <v>104</v>
      </c>
      <c r="N103" s="192">
        <f>SUM(N98:N102)</f>
        <v>4337845.637478793</v>
      </c>
      <c r="O103" s="192">
        <f>SUM(O98:O102)</f>
        <v>2836422.5199507</v>
      </c>
      <c r="P103" s="192">
        <f t="shared" ref="P103:U103" si="26">SUM(P98:P102)</f>
        <v>726544.58569841983</v>
      </c>
      <c r="Q103" s="192"/>
      <c r="R103" s="192">
        <f t="shared" si="26"/>
        <v>774878.53182967321</v>
      </c>
      <c r="S103" s="192"/>
      <c r="T103" s="192">
        <f t="shared" si="26"/>
        <v>4503451.3778226925</v>
      </c>
      <c r="U103" s="192">
        <f t="shared" si="26"/>
        <v>4503451.3778226925</v>
      </c>
      <c r="W103" s="85">
        <f>T113-W100</f>
        <v>-2.8249993920326233E-3</v>
      </c>
    </row>
    <row r="104" spans="1:23" ht="100.2" customHeight="1">
      <c r="A104" s="349"/>
      <c r="B104" s="137" t="s">
        <v>240</v>
      </c>
      <c r="C104" s="61" t="s">
        <v>187</v>
      </c>
      <c r="D104" s="64" t="s">
        <v>101</v>
      </c>
      <c r="E104" s="122">
        <v>1003</v>
      </c>
      <c r="F104" s="122">
        <v>840</v>
      </c>
      <c r="G104" s="123">
        <f t="shared" si="18"/>
        <v>948.66666666666663</v>
      </c>
      <c r="H104" s="60">
        <v>921</v>
      </c>
      <c r="I104" s="60">
        <v>921</v>
      </c>
      <c r="J104" s="75">
        <f>K104</f>
        <v>3978.76</v>
      </c>
      <c r="K104" s="75">
        <v>3978.76</v>
      </c>
      <c r="L104" s="191" t="s">
        <v>104</v>
      </c>
      <c r="M104" s="191" t="s">
        <v>104</v>
      </c>
      <c r="N104" s="269">
        <f>SUM(O104:R104)</f>
        <v>3128469.9972162661</v>
      </c>
      <c r="O104" s="269">
        <f>K104*G104*0.82883982461</f>
        <v>3128469.9972162661</v>
      </c>
      <c r="P104" s="269" t="s">
        <v>104</v>
      </c>
      <c r="Q104" s="269"/>
      <c r="R104" s="269" t="s">
        <v>104</v>
      </c>
      <c r="S104" s="269"/>
      <c r="T104" s="46">
        <f>N104</f>
        <v>3128469.9972162661</v>
      </c>
      <c r="U104" s="46">
        <f t="shared" ref="U104:U111" si="27">T104</f>
        <v>3128469.9972162661</v>
      </c>
    </row>
    <row r="105" spans="1:23">
      <c r="A105" s="349"/>
      <c r="B105" s="69"/>
      <c r="C105" s="66" t="s">
        <v>106</v>
      </c>
      <c r="D105" s="69"/>
      <c r="E105" s="122">
        <f>SUM(E104:E104)</f>
        <v>1003</v>
      </c>
      <c r="F105" s="122">
        <f>SUM(F104:F104)</f>
        <v>840</v>
      </c>
      <c r="G105" s="122">
        <f>SUM(G104:G104)</f>
        <v>948.66666666666663</v>
      </c>
      <c r="H105" s="60">
        <f>SUM(H104:H104)</f>
        <v>921</v>
      </c>
      <c r="I105" s="60">
        <f>SUM(I104:I104)</f>
        <v>921</v>
      </c>
      <c r="J105" s="73" t="s">
        <v>104</v>
      </c>
      <c r="K105" s="73" t="s">
        <v>104</v>
      </c>
      <c r="L105" s="192" t="s">
        <v>104</v>
      </c>
      <c r="M105" s="192">
        <f t="shared" ref="M105:R105" si="28">SUM(M104:M104)</f>
        <v>0</v>
      </c>
      <c r="N105" s="192">
        <f t="shared" si="28"/>
        <v>3128469.9972162661</v>
      </c>
      <c r="O105" s="192">
        <f>SUM(O104:O104)</f>
        <v>3128469.9972162661</v>
      </c>
      <c r="P105" s="192">
        <f t="shared" si="28"/>
        <v>0</v>
      </c>
      <c r="Q105" s="192"/>
      <c r="R105" s="192">
        <f t="shared" si="28"/>
        <v>0</v>
      </c>
      <c r="S105" s="192"/>
      <c r="T105" s="46">
        <f>N105</f>
        <v>3128469.9972162661</v>
      </c>
      <c r="U105" s="46">
        <f t="shared" si="27"/>
        <v>3128469.9972162661</v>
      </c>
    </row>
    <row r="106" spans="1:23" hidden="1">
      <c r="A106" s="349"/>
      <c r="B106" s="69" t="s">
        <v>290</v>
      </c>
      <c r="C106" s="183" t="s">
        <v>226</v>
      </c>
      <c r="D106" s="69"/>
      <c r="E106" s="122"/>
      <c r="F106" s="122"/>
      <c r="G106" s="122"/>
      <c r="H106" s="60"/>
      <c r="I106" s="60"/>
      <c r="J106" s="73"/>
      <c r="K106" s="73"/>
      <c r="L106" s="192"/>
      <c r="M106" s="192"/>
      <c r="N106" s="192">
        <f>P106</f>
        <v>0</v>
      </c>
      <c r="O106" s="192"/>
      <c r="P106" s="192"/>
      <c r="Q106" s="192"/>
      <c r="R106" s="192"/>
      <c r="S106" s="192"/>
      <c r="T106" s="46">
        <f>P106</f>
        <v>0</v>
      </c>
      <c r="U106" s="46">
        <f t="shared" si="27"/>
        <v>0</v>
      </c>
    </row>
    <row r="107" spans="1:23" hidden="1">
      <c r="A107" s="349"/>
      <c r="B107" s="89" t="s">
        <v>225</v>
      </c>
      <c r="C107" s="183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73"/>
      <c r="L107" s="192"/>
      <c r="M107" s="192"/>
      <c r="N107" s="192">
        <f>S107</f>
        <v>0</v>
      </c>
      <c r="O107" s="192"/>
      <c r="P107" s="192"/>
      <c r="Q107" s="192"/>
      <c r="R107" s="192"/>
      <c r="S107" s="192"/>
      <c r="T107" s="46">
        <f>S107</f>
        <v>0</v>
      </c>
      <c r="U107" s="46">
        <f t="shared" si="27"/>
        <v>0</v>
      </c>
    </row>
    <row r="108" spans="1:23" hidden="1">
      <c r="A108" s="349"/>
      <c r="B108" s="89" t="s">
        <v>225</v>
      </c>
      <c r="C108" s="183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73"/>
      <c r="L108" s="192"/>
      <c r="M108" s="192"/>
      <c r="N108" s="192">
        <f>Q108</f>
        <v>0</v>
      </c>
      <c r="O108" s="192"/>
      <c r="P108" s="192"/>
      <c r="Q108" s="192"/>
      <c r="R108" s="192"/>
      <c r="S108" s="192"/>
      <c r="T108" s="46"/>
      <c r="U108" s="46">
        <f t="shared" si="27"/>
        <v>0</v>
      </c>
      <c r="V108" s="85">
        <f>Q108-T108</f>
        <v>0</v>
      </c>
    </row>
    <row r="109" spans="1:23" hidden="1">
      <c r="A109" s="349"/>
      <c r="B109" s="89" t="s">
        <v>289</v>
      </c>
      <c r="C109" s="183" t="s">
        <v>219</v>
      </c>
      <c r="D109" s="64"/>
      <c r="E109" s="122"/>
      <c r="F109" s="122"/>
      <c r="G109" s="122"/>
      <c r="H109" s="60"/>
      <c r="I109" s="60"/>
      <c r="J109" s="73"/>
      <c r="K109" s="73"/>
      <c r="L109" s="192"/>
      <c r="M109" s="192"/>
      <c r="N109" s="192">
        <f>O109+P109+Q109+R109+S109</f>
        <v>0</v>
      </c>
      <c r="O109" s="192"/>
      <c r="P109" s="192"/>
      <c r="Q109" s="192"/>
      <c r="R109" s="192"/>
      <c r="S109" s="192"/>
      <c r="T109" s="46"/>
      <c r="U109" s="46"/>
    </row>
    <row r="110" spans="1:23">
      <c r="A110" s="349"/>
      <c r="B110" s="89" t="s">
        <v>305</v>
      </c>
      <c r="C110" s="183" t="s">
        <v>226</v>
      </c>
      <c r="D110" s="64"/>
      <c r="E110" s="122"/>
      <c r="F110" s="122">
        <v>20</v>
      </c>
      <c r="G110" s="122">
        <v>20</v>
      </c>
      <c r="H110" s="60">
        <v>21</v>
      </c>
      <c r="I110" s="60">
        <v>21</v>
      </c>
      <c r="J110" s="73"/>
      <c r="K110" s="73"/>
      <c r="L110" s="192"/>
      <c r="M110" s="192"/>
      <c r="N110" s="192">
        <f>O110</f>
        <v>781200</v>
      </c>
      <c r="O110" s="192">
        <v>781200</v>
      </c>
      <c r="P110" s="192"/>
      <c r="Q110" s="192"/>
      <c r="R110" s="192"/>
      <c r="S110" s="192"/>
      <c r="T110" s="46"/>
      <c r="U110" s="46">
        <f>T110</f>
        <v>0</v>
      </c>
    </row>
    <row r="111" spans="1:23">
      <c r="A111" s="349"/>
      <c r="B111" s="89" t="s">
        <v>258</v>
      </c>
      <c r="C111" s="183" t="s">
        <v>226</v>
      </c>
      <c r="D111" s="64"/>
      <c r="E111" s="122"/>
      <c r="F111" s="122"/>
      <c r="G111" s="122"/>
      <c r="H111" s="60"/>
      <c r="I111" s="60"/>
      <c r="J111" s="73"/>
      <c r="K111" s="73"/>
      <c r="L111" s="192"/>
      <c r="M111" s="192"/>
      <c r="N111" s="192">
        <f>O111+P111+Q111+R111+S111</f>
        <v>0</v>
      </c>
      <c r="O111" s="192"/>
      <c r="P111" s="192"/>
      <c r="Q111" s="192"/>
      <c r="R111" s="192"/>
      <c r="S111" s="192"/>
      <c r="T111" s="46">
        <f>O111</f>
        <v>0</v>
      </c>
      <c r="U111" s="46">
        <f t="shared" si="27"/>
        <v>0</v>
      </c>
    </row>
    <row r="112" spans="1:23">
      <c r="A112" s="349"/>
      <c r="B112" s="89" t="s">
        <v>306</v>
      </c>
      <c r="C112" s="183" t="s">
        <v>226</v>
      </c>
      <c r="D112" s="64"/>
      <c r="E112" s="122"/>
      <c r="F112" s="122"/>
      <c r="G112" s="122"/>
      <c r="H112" s="60"/>
      <c r="I112" s="60"/>
      <c r="J112" s="73"/>
      <c r="K112" s="73"/>
      <c r="L112" s="192"/>
      <c r="M112" s="192"/>
      <c r="N112" s="192">
        <f>P112</f>
        <v>0</v>
      </c>
      <c r="O112" s="192"/>
      <c r="P112" s="192"/>
      <c r="Q112" s="192"/>
      <c r="R112" s="192"/>
      <c r="S112" s="192"/>
      <c r="T112" s="46"/>
      <c r="U112" s="46">
        <f>T112</f>
        <v>0</v>
      </c>
    </row>
    <row r="113" spans="1:26">
      <c r="A113" s="349"/>
      <c r="B113" s="101" t="s">
        <v>112</v>
      </c>
      <c r="C113" s="101"/>
      <c r="D113" s="69"/>
      <c r="E113" s="291">
        <f>E90+E97+E103</f>
        <v>539</v>
      </c>
      <c r="F113" s="297">
        <f>F90+F97+F103</f>
        <v>528</v>
      </c>
      <c r="G113" s="291">
        <f>G90+G97+G103</f>
        <v>535.33333333333326</v>
      </c>
      <c r="H113" s="102">
        <f>H90+H97+H103</f>
        <v>539</v>
      </c>
      <c r="I113" s="102">
        <f>I90+I97+I103</f>
        <v>539</v>
      </c>
      <c r="J113" s="104"/>
      <c r="K113" s="104"/>
      <c r="L113" s="138"/>
      <c r="M113" s="138"/>
      <c r="N113" s="138">
        <f>SUM(O113:S113)+0.01</f>
        <v>34616734.47455325</v>
      </c>
      <c r="O113" s="138">
        <f>O90+O97+O103+O105+O110+O111</f>
        <v>22506892.99710305</v>
      </c>
      <c r="P113" s="138">
        <f>P90+P97+P103+P105+P106+P107+P108+P112</f>
        <v>5860191.9972158996</v>
      </c>
      <c r="Q113" s="138">
        <f>Q90+Q97+Q103+Q105+Q106+Q107+Q108</f>
        <v>0</v>
      </c>
      <c r="R113" s="138">
        <f>R90+R97+R103+R105+R106+R107+R108+R109</f>
        <v>6249649.4702342991</v>
      </c>
      <c r="S113" s="138">
        <f>S90+S97+S103+S105+S106+S107+S108+S109</f>
        <v>0</v>
      </c>
      <c r="T113" s="138">
        <f>T90+T97+T103+T105+T106+T107+T108+T109+T110+T111+T112</f>
        <v>35580676.467174999</v>
      </c>
      <c r="U113" s="138">
        <f>U90+U97+U103+U105+U106+U107+U108+U109+U110+U111+U112</f>
        <v>35580676.467174999</v>
      </c>
      <c r="V113" s="85">
        <v>6249649.4699999997</v>
      </c>
      <c r="W113" s="85">
        <f>V113-R113</f>
        <v>-2.3429933935403824E-4</v>
      </c>
      <c r="X113" s="80">
        <f>W113/535</f>
        <v>-4.379426903813799E-7</v>
      </c>
      <c r="Z113" s="85"/>
    </row>
    <row r="114" spans="1:26" ht="82.8">
      <c r="A114" s="349" t="s">
        <v>115</v>
      </c>
      <c r="B114" s="350" t="s">
        <v>237</v>
      </c>
      <c r="C114" s="61" t="s">
        <v>100</v>
      </c>
      <c r="D114" s="62" t="s">
        <v>101</v>
      </c>
      <c r="E114" s="123">
        <v>206</v>
      </c>
      <c r="F114" s="123">
        <v>217</v>
      </c>
      <c r="G114" s="123">
        <f>((E114*8)+(F114*4))/12</f>
        <v>209.66666666666666</v>
      </c>
      <c r="H114" s="59">
        <v>206</v>
      </c>
      <c r="I114" s="59">
        <v>206</v>
      </c>
      <c r="J114" s="107">
        <f>SUM(K114:M114)</f>
        <v>48494.887855032997</v>
      </c>
      <c r="K114" s="107">
        <f>23119.12+1351.63+861.0824384</f>
        <v>25331.832438400001</v>
      </c>
      <c r="L114" s="278">
        <f>4001.99*2.457553+516.419349593</f>
        <v>10351.521880062999</v>
      </c>
      <c r="M114" s="278">
        <f>7790.73-12.94824017+4610.77+41.4078675+62.11180124+319.462108</f>
        <v>12811.533536569999</v>
      </c>
      <c r="N114" s="267">
        <f>SUM(O114:R114)</f>
        <v>9978705.6159878243</v>
      </c>
      <c r="O114" s="267">
        <f>G114*K114*0.964404559</f>
        <v>5122184.9069671072</v>
      </c>
      <c r="P114" s="267">
        <f>G114*L114</f>
        <v>2170369.0875198753</v>
      </c>
      <c r="Q114" s="267"/>
      <c r="R114" s="46">
        <f>G114*M114+0.09</f>
        <v>2686151.6215008427</v>
      </c>
      <c r="S114" s="46"/>
      <c r="T114" s="46">
        <f>N114+716661.63-50000+3246.59</f>
        <v>10648613.835987825</v>
      </c>
      <c r="U114" s="46">
        <f>T114</f>
        <v>10648613.835987825</v>
      </c>
    </row>
    <row r="115" spans="1:26" ht="82.8">
      <c r="A115" s="349"/>
      <c r="B115" s="350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59" t="s">
        <v>104</v>
      </c>
      <c r="L115" s="123" t="s">
        <v>104</v>
      </c>
      <c r="M115" s="123" t="s">
        <v>104</v>
      </c>
      <c r="N115" s="267"/>
      <c r="O115" s="267"/>
      <c r="P115" s="123" t="s">
        <v>104</v>
      </c>
      <c r="Q115" s="123"/>
      <c r="R115" s="123" t="s">
        <v>104</v>
      </c>
      <c r="S115" s="123"/>
      <c r="T115" s="46"/>
      <c r="U115" s="46"/>
    </row>
    <row r="116" spans="1:26">
      <c r="A116" s="349"/>
      <c r="B116" s="350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29">K116</f>
        <v>25589.72</v>
      </c>
      <c r="K116" s="71">
        <v>25589.72</v>
      </c>
      <c r="L116" s="123" t="s">
        <v>104</v>
      </c>
      <c r="M116" s="123" t="s">
        <v>104</v>
      </c>
      <c r="N116" s="267">
        <f t="shared" ref="N116:N122" si="30">O116</f>
        <v>0</v>
      </c>
      <c r="O116" s="267">
        <f t="shared" ref="O116:O123" si="31">G116*K116*0.964404559</f>
        <v>0</v>
      </c>
      <c r="P116" s="123" t="s">
        <v>104</v>
      </c>
      <c r="Q116" s="123"/>
      <c r="R116" s="123" t="s">
        <v>104</v>
      </c>
      <c r="S116" s="123"/>
      <c r="T116" s="46">
        <f t="shared" ref="T116:T122" si="32">H116*K116</f>
        <v>0</v>
      </c>
      <c r="U116" s="46">
        <f t="shared" ref="U116:U122" si="33">I116*K116</f>
        <v>0</v>
      </c>
    </row>
    <row r="117" spans="1:26">
      <c r="A117" s="349"/>
      <c r="B117" s="350"/>
      <c r="C117" s="63" t="s">
        <v>169</v>
      </c>
      <c r="D117" s="64" t="s">
        <v>101</v>
      </c>
      <c r="E117" s="123">
        <v>9</v>
      </c>
      <c r="F117" s="123">
        <v>11</v>
      </c>
      <c r="G117" s="123">
        <f t="shared" ref="G117:G134" si="34">((E117*8)+(F117*4))/12</f>
        <v>9.6666666666666661</v>
      </c>
      <c r="H117" s="59">
        <v>9</v>
      </c>
      <c r="I117" s="59">
        <v>9</v>
      </c>
      <c r="J117" s="75">
        <f t="shared" si="29"/>
        <v>69362.66</v>
      </c>
      <c r="K117" s="71">
        <v>69362.66</v>
      </c>
      <c r="L117" s="123" t="s">
        <v>104</v>
      </c>
      <c r="M117" s="123" t="s">
        <v>104</v>
      </c>
      <c r="N117" s="267">
        <f t="shared" si="30"/>
        <v>646638.76677421376</v>
      </c>
      <c r="O117" s="267">
        <f t="shared" si="31"/>
        <v>646638.76677421376</v>
      </c>
      <c r="P117" s="123" t="s">
        <v>104</v>
      </c>
      <c r="Q117" s="123"/>
      <c r="R117" s="123" t="s">
        <v>104</v>
      </c>
      <c r="S117" s="123"/>
      <c r="T117" s="46">
        <f t="shared" si="32"/>
        <v>624263.94000000006</v>
      </c>
      <c r="U117" s="46">
        <f t="shared" si="33"/>
        <v>624263.94000000006</v>
      </c>
    </row>
    <row r="118" spans="1:26">
      <c r="A118" s="349"/>
      <c r="B118" s="350"/>
      <c r="C118" s="63" t="s">
        <v>165</v>
      </c>
      <c r="D118" s="64" t="s">
        <v>101</v>
      </c>
      <c r="E118" s="123">
        <v>2</v>
      </c>
      <c r="F118" s="123">
        <v>1</v>
      </c>
      <c r="G118" s="123">
        <f t="shared" si="34"/>
        <v>1.6666666666666667</v>
      </c>
      <c r="H118" s="59">
        <v>2</v>
      </c>
      <c r="I118" s="59">
        <v>2</v>
      </c>
      <c r="J118" s="75">
        <f t="shared" si="29"/>
        <v>92468.25</v>
      </c>
      <c r="K118" s="71">
        <v>92468.25</v>
      </c>
      <c r="L118" s="123" t="s">
        <v>104</v>
      </c>
      <c r="M118" s="123" t="s">
        <v>104</v>
      </c>
      <c r="N118" s="267">
        <f t="shared" si="30"/>
        <v>148628.00310458624</v>
      </c>
      <c r="O118" s="267">
        <f t="shared" si="31"/>
        <v>148628.00310458624</v>
      </c>
      <c r="P118" s="123" t="s">
        <v>104</v>
      </c>
      <c r="Q118" s="123"/>
      <c r="R118" s="123" t="s">
        <v>104</v>
      </c>
      <c r="S118" s="123"/>
      <c r="T118" s="46">
        <f t="shared" si="32"/>
        <v>184936.5</v>
      </c>
      <c r="U118" s="46">
        <f t="shared" si="33"/>
        <v>184936.5</v>
      </c>
    </row>
    <row r="119" spans="1:26">
      <c r="A119" s="349"/>
      <c r="B119" s="350"/>
      <c r="C119" s="63" t="s">
        <v>166</v>
      </c>
      <c r="D119" s="64" t="s">
        <v>101</v>
      </c>
      <c r="E119" s="123">
        <v>24</v>
      </c>
      <c r="F119" s="123">
        <v>16</v>
      </c>
      <c r="G119" s="123">
        <f t="shared" si="34"/>
        <v>21.333333333333332</v>
      </c>
      <c r="H119" s="59">
        <v>24</v>
      </c>
      <c r="I119" s="59">
        <v>24</v>
      </c>
      <c r="J119" s="75">
        <f t="shared" si="29"/>
        <v>66361.320000000007</v>
      </c>
      <c r="K119" s="75">
        <v>66361.320000000007</v>
      </c>
      <c r="L119" s="123" t="s">
        <v>104</v>
      </c>
      <c r="M119" s="123" t="s">
        <v>104</v>
      </c>
      <c r="N119" s="267">
        <f t="shared" si="30"/>
        <v>1365315.4037175016</v>
      </c>
      <c r="O119" s="267">
        <f t="shared" si="31"/>
        <v>1365315.4037175016</v>
      </c>
      <c r="P119" s="123" t="s">
        <v>104</v>
      </c>
      <c r="Q119" s="123"/>
      <c r="R119" s="123" t="s">
        <v>104</v>
      </c>
      <c r="S119" s="123"/>
      <c r="T119" s="46">
        <f t="shared" si="32"/>
        <v>1592671.6800000002</v>
      </c>
      <c r="U119" s="46">
        <f t="shared" si="33"/>
        <v>1592671.6800000002</v>
      </c>
    </row>
    <row r="120" spans="1:26">
      <c r="A120" s="349"/>
      <c r="B120" s="350"/>
      <c r="C120" s="63" t="s">
        <v>167</v>
      </c>
      <c r="D120" s="64" t="s">
        <v>101</v>
      </c>
      <c r="E120" s="123">
        <v>1</v>
      </c>
      <c r="F120" s="123"/>
      <c r="G120" s="123">
        <f t="shared" si="34"/>
        <v>0.66666666666666663</v>
      </c>
      <c r="H120" s="59">
        <v>1</v>
      </c>
      <c r="I120" s="59">
        <v>1</v>
      </c>
      <c r="J120" s="75">
        <f t="shared" si="29"/>
        <v>174890.83</v>
      </c>
      <c r="K120" s="75">
        <v>174890.83</v>
      </c>
      <c r="L120" s="123" t="s">
        <v>104</v>
      </c>
      <c r="M120" s="123" t="s">
        <v>104</v>
      </c>
      <c r="N120" s="267">
        <f t="shared" si="30"/>
        <v>112443.67585286264</v>
      </c>
      <c r="O120" s="267">
        <f t="shared" si="31"/>
        <v>112443.67585286264</v>
      </c>
      <c r="P120" s="123" t="s">
        <v>104</v>
      </c>
      <c r="Q120" s="123"/>
      <c r="R120" s="123" t="s">
        <v>104</v>
      </c>
      <c r="S120" s="123"/>
      <c r="T120" s="46">
        <f t="shared" si="32"/>
        <v>174890.83</v>
      </c>
      <c r="U120" s="46">
        <f t="shared" si="33"/>
        <v>174890.83</v>
      </c>
    </row>
    <row r="121" spans="1:26">
      <c r="A121" s="349"/>
      <c r="B121" s="350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4"/>
        <v>1</v>
      </c>
      <c r="H121" s="59">
        <v>1</v>
      </c>
      <c r="I121" s="59">
        <v>1</v>
      </c>
      <c r="J121" s="75">
        <f t="shared" si="29"/>
        <v>99648.29</v>
      </c>
      <c r="K121" s="75">
        <v>99648.29</v>
      </c>
      <c r="L121" s="123" t="s">
        <v>104</v>
      </c>
      <c r="M121" s="123" t="s">
        <v>104</v>
      </c>
      <c r="N121" s="267">
        <f t="shared" si="30"/>
        <v>96101.265172554107</v>
      </c>
      <c r="O121" s="267">
        <f t="shared" si="31"/>
        <v>96101.265172554107</v>
      </c>
      <c r="P121" s="123" t="s">
        <v>104</v>
      </c>
      <c r="Q121" s="123"/>
      <c r="R121" s="123" t="s">
        <v>104</v>
      </c>
      <c r="S121" s="123"/>
      <c r="T121" s="46">
        <f t="shared" si="32"/>
        <v>99648.29</v>
      </c>
      <c r="U121" s="46">
        <f t="shared" si="33"/>
        <v>99648.29</v>
      </c>
    </row>
    <row r="122" spans="1:26">
      <c r="A122" s="349"/>
      <c r="B122" s="350"/>
      <c r="C122" s="63" t="s">
        <v>168</v>
      </c>
      <c r="D122" s="64" t="s">
        <v>101</v>
      </c>
      <c r="E122" s="123">
        <v>1</v>
      </c>
      <c r="F122" s="123"/>
      <c r="G122" s="123">
        <f t="shared" si="34"/>
        <v>0.66666666666666663</v>
      </c>
      <c r="H122" s="59">
        <v>1</v>
      </c>
      <c r="I122" s="59">
        <v>1</v>
      </c>
      <c r="J122" s="75">
        <f t="shared" si="29"/>
        <v>23553.439999999999</v>
      </c>
      <c r="K122" s="75">
        <v>23553.439999999999</v>
      </c>
      <c r="L122" s="123" t="s">
        <v>104</v>
      </c>
      <c r="M122" s="123" t="s">
        <v>104</v>
      </c>
      <c r="N122" s="267">
        <f t="shared" si="30"/>
        <v>15143.363277421971</v>
      </c>
      <c r="O122" s="267">
        <f t="shared" si="31"/>
        <v>15143.363277421971</v>
      </c>
      <c r="P122" s="123" t="s">
        <v>104</v>
      </c>
      <c r="Q122" s="123"/>
      <c r="R122" s="123" t="s">
        <v>104</v>
      </c>
      <c r="S122" s="123"/>
      <c r="T122" s="46">
        <f t="shared" si="32"/>
        <v>23553.439999999999</v>
      </c>
      <c r="U122" s="46">
        <f t="shared" si="33"/>
        <v>23553.439999999999</v>
      </c>
    </row>
    <row r="123" spans="1:26" ht="82.8">
      <c r="A123" s="349"/>
      <c r="B123" s="350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4"/>
        <v>5</v>
      </c>
      <c r="H123" s="59">
        <v>5</v>
      </c>
      <c r="I123" s="59">
        <v>5</v>
      </c>
      <c r="J123" s="75">
        <f>SUM(K123:M123)</f>
        <v>146788.687855033</v>
      </c>
      <c r="K123" s="75">
        <f>121412.92+1351.63+861.0824384</f>
        <v>123625.6324384</v>
      </c>
      <c r="L123" s="278">
        <f>4001.99*2.457553+516.419349593</f>
        <v>10351.521880062999</v>
      </c>
      <c r="M123" s="278">
        <f>7790.73-12.94824017+4610.77+41.4078675+62.11180124+319.462108</f>
        <v>12811.533536569999</v>
      </c>
      <c r="N123" s="267">
        <f>SUM(O123:R123)</f>
        <v>711940.89474742126</v>
      </c>
      <c r="O123" s="267">
        <f t="shared" si="31"/>
        <v>596125.61766425625</v>
      </c>
      <c r="P123" s="267">
        <f>G123*L123</f>
        <v>51757.609400314992</v>
      </c>
      <c r="Q123" s="267"/>
      <c r="R123" s="46">
        <f>G123*M123</f>
        <v>64057.667682849999</v>
      </c>
      <c r="S123" s="46"/>
      <c r="T123" s="46">
        <f>N123+17394.7</f>
        <v>729335.59474742122</v>
      </c>
      <c r="U123" s="46">
        <f>T123</f>
        <v>729335.59474742122</v>
      </c>
    </row>
    <row r="124" spans="1:26">
      <c r="A124" s="349"/>
      <c r="B124" s="350"/>
      <c r="C124" s="66" t="s">
        <v>106</v>
      </c>
      <c r="D124" s="67"/>
      <c r="E124" s="123">
        <f>E114+E123</f>
        <v>211</v>
      </c>
      <c r="F124" s="123">
        <f>F114+F123</f>
        <v>222</v>
      </c>
      <c r="G124" s="123">
        <f>G114+G123</f>
        <v>214.66666666666666</v>
      </c>
      <c r="H124" s="59">
        <f>H114+H123</f>
        <v>211</v>
      </c>
      <c r="I124" s="59">
        <f>I114+I123</f>
        <v>211</v>
      </c>
      <c r="J124" s="71" t="s">
        <v>104</v>
      </c>
      <c r="K124" s="71" t="s">
        <v>104</v>
      </c>
      <c r="L124" s="267" t="s">
        <v>104</v>
      </c>
      <c r="M124" s="267" t="s">
        <v>104</v>
      </c>
      <c r="N124" s="267">
        <f>SUM(N114:N123)</f>
        <v>13074916.988634385</v>
      </c>
      <c r="O124" s="267">
        <f>SUM(O114:O123)</f>
        <v>8102581.002530504</v>
      </c>
      <c r="P124" s="267">
        <f>SUM(P114:P123)</f>
        <v>2222126.6969201905</v>
      </c>
      <c r="Q124" s="267"/>
      <c r="R124" s="267">
        <f>SUM(R114:R123)</f>
        <v>2750209.2891836925</v>
      </c>
      <c r="S124" s="267"/>
      <c r="T124" s="267">
        <f>SUM(T114:T123)</f>
        <v>14077914.110735243</v>
      </c>
      <c r="U124" s="267">
        <f>T124</f>
        <v>14077914.110735243</v>
      </c>
    </row>
    <row r="125" spans="1:26" ht="82.8">
      <c r="A125" s="349"/>
      <c r="B125" s="350" t="s">
        <v>238</v>
      </c>
      <c r="C125" s="61" t="s">
        <v>100</v>
      </c>
      <c r="D125" s="62" t="s">
        <v>101</v>
      </c>
      <c r="E125" s="123">
        <v>238</v>
      </c>
      <c r="F125" s="123">
        <v>252</v>
      </c>
      <c r="G125" s="123">
        <f t="shared" si="34"/>
        <v>242.66666666666666</v>
      </c>
      <c r="H125" s="59">
        <v>238</v>
      </c>
      <c r="I125" s="59">
        <v>238</v>
      </c>
      <c r="J125" s="107">
        <f>SUM(K125:M125)</f>
        <v>60019.837855033009</v>
      </c>
      <c r="K125" s="107">
        <f>34346.05+1649.65+861.0824384</f>
        <v>36856.782438400005</v>
      </c>
      <c r="L125" s="278">
        <f>4001.99*2.457553+516.419349593</f>
        <v>10351.521880062999</v>
      </c>
      <c r="M125" s="278">
        <f>7790.73-12.94824017+4610.77+41.4078675+62.11180124+319.462108</f>
        <v>12811.533536569999</v>
      </c>
      <c r="N125" s="267">
        <f>SUM(O125:R125)</f>
        <v>14246451.47508543</v>
      </c>
      <c r="O125" s="267">
        <f>G125*K125*0.964404559</f>
        <v>8625550.0273158215</v>
      </c>
      <c r="P125" s="267">
        <f>G125*L125</f>
        <v>2511969.3095619543</v>
      </c>
      <c r="Q125" s="267"/>
      <c r="R125" s="46">
        <f>G125*M125</f>
        <v>3108932.1382076531</v>
      </c>
      <c r="S125" s="46"/>
      <c r="T125" s="46">
        <f>N125+827987.71-231413</f>
        <v>14843026.185085431</v>
      </c>
      <c r="U125" s="46">
        <f>T125</f>
        <v>14843026.185085431</v>
      </c>
    </row>
    <row r="126" spans="1:26" ht="82.8">
      <c r="A126" s="349"/>
      <c r="B126" s="350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59" t="s">
        <v>104</v>
      </c>
      <c r="L126" s="123" t="s">
        <v>104</v>
      </c>
      <c r="M126" s="123" t="s">
        <v>104</v>
      </c>
      <c r="N126" s="267"/>
      <c r="O126" s="267"/>
      <c r="P126" s="123" t="s">
        <v>104</v>
      </c>
      <c r="Q126" s="123"/>
      <c r="R126" s="123" t="s">
        <v>104</v>
      </c>
      <c r="S126" s="123"/>
      <c r="T126" s="46"/>
      <c r="U126" s="46"/>
    </row>
    <row r="127" spans="1:26">
      <c r="A127" s="349"/>
      <c r="B127" s="350"/>
      <c r="C127" s="63" t="s">
        <v>164</v>
      </c>
      <c r="D127" s="64" t="s">
        <v>101</v>
      </c>
      <c r="E127" s="122">
        <v>2</v>
      </c>
      <c r="F127" s="122">
        <v>1</v>
      </c>
      <c r="G127" s="123">
        <f t="shared" si="34"/>
        <v>1.6666666666666667</v>
      </c>
      <c r="H127" s="60">
        <v>2</v>
      </c>
      <c r="I127" s="60">
        <v>2</v>
      </c>
      <c r="J127" s="75">
        <f>K127</f>
        <v>25589.72</v>
      </c>
      <c r="K127" s="75">
        <v>25589.72</v>
      </c>
      <c r="L127" s="123" t="s">
        <v>104</v>
      </c>
      <c r="M127" s="123" t="s">
        <v>104</v>
      </c>
      <c r="N127" s="267">
        <f>O127</f>
        <v>41131.404385889138</v>
      </c>
      <c r="O127" s="267">
        <f t="shared" ref="O127:O132" si="35">G127*K127*0.964404559</f>
        <v>41131.404385889138</v>
      </c>
      <c r="P127" s="123" t="s">
        <v>104</v>
      </c>
      <c r="Q127" s="123"/>
      <c r="R127" s="123" t="s">
        <v>104</v>
      </c>
      <c r="S127" s="123"/>
      <c r="T127" s="46">
        <f>H127*K127</f>
        <v>51179.44</v>
      </c>
      <c r="U127" s="46">
        <f>I127*K127</f>
        <v>51179.44</v>
      </c>
    </row>
    <row r="128" spans="1:26">
      <c r="A128" s="349"/>
      <c r="B128" s="350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4"/>
        <v>2</v>
      </c>
      <c r="H128" s="60">
        <v>2</v>
      </c>
      <c r="I128" s="60">
        <v>2</v>
      </c>
      <c r="J128" s="75">
        <f>K128</f>
        <v>92468.25</v>
      </c>
      <c r="K128" s="75">
        <v>92468.25</v>
      </c>
      <c r="L128" s="123" t="s">
        <v>104</v>
      </c>
      <c r="M128" s="123" t="s">
        <v>104</v>
      </c>
      <c r="N128" s="267">
        <f>O128</f>
        <v>178353.60372550349</v>
      </c>
      <c r="O128" s="267">
        <f t="shared" si="35"/>
        <v>178353.60372550349</v>
      </c>
      <c r="P128" s="123" t="s">
        <v>104</v>
      </c>
      <c r="Q128" s="123"/>
      <c r="R128" s="123" t="s">
        <v>104</v>
      </c>
      <c r="S128" s="123"/>
      <c r="T128" s="46">
        <f>H128*K128</f>
        <v>184936.5</v>
      </c>
      <c r="U128" s="46">
        <f>I128*K128</f>
        <v>184936.5</v>
      </c>
    </row>
    <row r="129" spans="1:23">
      <c r="A129" s="349"/>
      <c r="B129" s="350"/>
      <c r="C129" s="63" t="s">
        <v>167</v>
      </c>
      <c r="D129" s="64" t="s">
        <v>101</v>
      </c>
      <c r="E129" s="122">
        <v>2</v>
      </c>
      <c r="F129" s="122">
        <v>1</v>
      </c>
      <c r="G129" s="123">
        <f t="shared" si="34"/>
        <v>1.6666666666666667</v>
      </c>
      <c r="H129" s="60">
        <v>2</v>
      </c>
      <c r="I129" s="60">
        <v>2</v>
      </c>
      <c r="J129" s="75">
        <f>K129</f>
        <v>266106.15000000002</v>
      </c>
      <c r="K129" s="75">
        <v>266106.15000000002</v>
      </c>
      <c r="L129" s="123" t="s">
        <v>104</v>
      </c>
      <c r="M129" s="123" t="s">
        <v>104</v>
      </c>
      <c r="N129" s="267">
        <f>O129</f>
        <v>427723.30706322979</v>
      </c>
      <c r="O129" s="267">
        <f t="shared" si="35"/>
        <v>427723.30706322979</v>
      </c>
      <c r="P129" s="123" t="s">
        <v>104</v>
      </c>
      <c r="Q129" s="123"/>
      <c r="R129" s="123"/>
      <c r="S129" s="123"/>
      <c r="T129" s="46">
        <f>H129*K129</f>
        <v>532212.30000000005</v>
      </c>
      <c r="U129" s="46">
        <f>I129*K129</f>
        <v>532212.30000000005</v>
      </c>
    </row>
    <row r="130" spans="1:23">
      <c r="A130" s="349"/>
      <c r="B130" s="350"/>
      <c r="C130" s="63" t="s">
        <v>170</v>
      </c>
      <c r="D130" s="64" t="s">
        <v>101</v>
      </c>
      <c r="E130" s="122">
        <v>1</v>
      </c>
      <c r="F130" s="122"/>
      <c r="G130" s="123">
        <f t="shared" si="34"/>
        <v>0.66666666666666663</v>
      </c>
      <c r="H130" s="60">
        <v>1</v>
      </c>
      <c r="I130" s="60">
        <v>1</v>
      </c>
      <c r="J130" s="75">
        <f>K130</f>
        <v>32769.75</v>
      </c>
      <c r="K130" s="75">
        <v>32769.75</v>
      </c>
      <c r="L130" s="123" t="s">
        <v>104</v>
      </c>
      <c r="M130" s="123" t="s">
        <v>104</v>
      </c>
      <c r="N130" s="267">
        <f>O130</f>
        <v>21068.8641981935</v>
      </c>
      <c r="O130" s="267">
        <f t="shared" si="35"/>
        <v>21068.8641981935</v>
      </c>
      <c r="P130" s="123" t="s">
        <v>104</v>
      </c>
      <c r="Q130" s="123"/>
      <c r="R130" s="123"/>
      <c r="S130" s="123"/>
      <c r="T130" s="46">
        <f>H130*K130</f>
        <v>32769.75</v>
      </c>
      <c r="U130" s="46">
        <f>I130*K130</f>
        <v>32769.75</v>
      </c>
    </row>
    <row r="131" spans="1:23">
      <c r="A131" s="349"/>
      <c r="B131" s="350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4"/>
        <v>1</v>
      </c>
      <c r="H131" s="60">
        <v>1</v>
      </c>
      <c r="I131" s="60">
        <v>1</v>
      </c>
      <c r="J131" s="75">
        <f>K131</f>
        <v>23553.439999999999</v>
      </c>
      <c r="K131" s="75">
        <v>23553.439999999999</v>
      </c>
      <c r="L131" s="123" t="s">
        <v>104</v>
      </c>
      <c r="M131" s="123" t="s">
        <v>104</v>
      </c>
      <c r="N131" s="267">
        <f>O131</f>
        <v>22715.04491613296</v>
      </c>
      <c r="O131" s="267">
        <f t="shared" si="35"/>
        <v>22715.04491613296</v>
      </c>
      <c r="P131" s="123" t="s">
        <v>104</v>
      </c>
      <c r="Q131" s="123"/>
      <c r="R131" s="123" t="s">
        <v>104</v>
      </c>
      <c r="S131" s="123"/>
      <c r="T131" s="46">
        <f>H131*K131</f>
        <v>23553.439999999999</v>
      </c>
      <c r="U131" s="46">
        <f>I131*K131</f>
        <v>23553.439999999999</v>
      </c>
    </row>
    <row r="132" spans="1:23" ht="82.8">
      <c r="A132" s="349"/>
      <c r="B132" s="350"/>
      <c r="C132" s="61" t="s">
        <v>105</v>
      </c>
      <c r="D132" s="64" t="s">
        <v>101</v>
      </c>
      <c r="E132" s="122">
        <v>1</v>
      </c>
      <c r="F132" s="122">
        <v>2</v>
      </c>
      <c r="G132" s="123">
        <f t="shared" si="34"/>
        <v>1.3333333333333333</v>
      </c>
      <c r="H132" s="60">
        <v>1</v>
      </c>
      <c r="I132" s="60">
        <v>1</v>
      </c>
      <c r="J132" s="75">
        <f>SUM(K132:M132)</f>
        <v>177081.41785503298</v>
      </c>
      <c r="K132" s="75">
        <f>151407.63+1649.65+861.0824384</f>
        <v>153918.36243839998</v>
      </c>
      <c r="L132" s="278">
        <f>4001.99*2.457553+516.419349593</f>
        <v>10351.521880062999</v>
      </c>
      <c r="M132" s="278">
        <f>7790.73-12.94824017+4610.77+41.4078675+62.11180124+319.462108</f>
        <v>12811.533536569999</v>
      </c>
      <c r="N132" s="269">
        <f>SUM(O132:R132)</f>
        <v>228803.50115472038</v>
      </c>
      <c r="O132" s="269">
        <f t="shared" si="35"/>
        <v>197919.42726587638</v>
      </c>
      <c r="P132" s="269">
        <f>G132*L132</f>
        <v>13802.029173417332</v>
      </c>
      <c r="Q132" s="269"/>
      <c r="R132" s="46">
        <f>G132*M132</f>
        <v>17082.044715426666</v>
      </c>
      <c r="S132" s="46"/>
      <c r="T132" s="46">
        <f>N132+3478.94</f>
        <v>232282.44115472038</v>
      </c>
      <c r="U132" s="46">
        <f>T132</f>
        <v>232282.44115472038</v>
      </c>
    </row>
    <row r="133" spans="1:23">
      <c r="A133" s="349"/>
      <c r="B133" s="186"/>
      <c r="C133" s="66" t="s">
        <v>106</v>
      </c>
      <c r="D133" s="64"/>
      <c r="E133" s="122">
        <f>E125+E132</f>
        <v>239</v>
      </c>
      <c r="F133" s="122">
        <f>F125+F132</f>
        <v>254</v>
      </c>
      <c r="G133" s="122">
        <f>G125+G132</f>
        <v>244</v>
      </c>
      <c r="H133" s="60">
        <f>H125+H132</f>
        <v>239</v>
      </c>
      <c r="I133" s="60">
        <f>I125+I132</f>
        <v>239</v>
      </c>
      <c r="J133" s="73" t="s">
        <v>104</v>
      </c>
      <c r="K133" s="73" t="s">
        <v>104</v>
      </c>
      <c r="L133" s="269" t="s">
        <v>104</v>
      </c>
      <c r="M133" s="269" t="s">
        <v>104</v>
      </c>
      <c r="N133" s="192">
        <f>SUM(N125:N132)</f>
        <v>15166247.200529099</v>
      </c>
      <c r="O133" s="192">
        <f>SUM(O125:O132)</f>
        <v>9514461.6788706463</v>
      </c>
      <c r="P133" s="192">
        <f>SUM(P125:P132)</f>
        <v>2525771.3387353718</v>
      </c>
      <c r="Q133" s="192"/>
      <c r="R133" s="192">
        <f>SUM(R125:R132)</f>
        <v>3126014.1829230799</v>
      </c>
      <c r="S133" s="192"/>
      <c r="T133" s="192">
        <f>SUM(T125:T132)</f>
        <v>15899960.056240151</v>
      </c>
      <c r="U133" s="192">
        <f>SUM(U125:U132)</f>
        <v>15899960.056240151</v>
      </c>
    </row>
    <row r="134" spans="1:23" ht="82.8">
      <c r="A134" s="349"/>
      <c r="B134" s="350" t="s">
        <v>239</v>
      </c>
      <c r="C134" s="61" t="s">
        <v>100</v>
      </c>
      <c r="D134" s="62" t="s">
        <v>101</v>
      </c>
      <c r="E134" s="122">
        <v>33</v>
      </c>
      <c r="F134" s="122">
        <v>34</v>
      </c>
      <c r="G134" s="123">
        <f t="shared" si="34"/>
        <v>33.333333333333336</v>
      </c>
      <c r="H134" s="60">
        <v>33</v>
      </c>
      <c r="I134" s="60">
        <v>33</v>
      </c>
      <c r="J134" s="107">
        <f>SUM(K134:M134)</f>
        <v>67128.037855033006</v>
      </c>
      <c r="K134" s="107">
        <f>41105.12+1998.78+861.0824384</f>
        <v>43964.982438400002</v>
      </c>
      <c r="L134" s="278">
        <f>4001.99*2.457553+516.419349593</f>
        <v>10351.521880062999</v>
      </c>
      <c r="M134" s="278">
        <f>7790.73-12.94824017+4610.77+41.4078675+62.11180124+319.462108</f>
        <v>12811.533536569999</v>
      </c>
      <c r="N134" s="269">
        <f>SUM(O134:R134)</f>
        <v>2185436.40388603</v>
      </c>
      <c r="O134" s="269">
        <f>G134*K134*0.964404559</f>
        <v>1413334.31666493</v>
      </c>
      <c r="P134" s="269">
        <f>G134*L134+0.24</f>
        <v>345050.96933543333</v>
      </c>
      <c r="Q134" s="269"/>
      <c r="R134" s="46">
        <f>G134*M134</f>
        <v>427051.11788566667</v>
      </c>
      <c r="S134" s="46"/>
      <c r="T134" s="46">
        <f>N134+114805.02</f>
        <v>2300241.42388603</v>
      </c>
      <c r="U134" s="46">
        <f>T134</f>
        <v>2300241.42388603</v>
      </c>
    </row>
    <row r="135" spans="1:23" ht="82.8">
      <c r="A135" s="349"/>
      <c r="B135" s="350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59" t="s">
        <v>104</v>
      </c>
      <c r="L135" s="123" t="s">
        <v>104</v>
      </c>
      <c r="M135" s="123" t="s">
        <v>104</v>
      </c>
      <c r="N135" s="267"/>
      <c r="O135" s="267"/>
      <c r="P135" s="123" t="s">
        <v>104</v>
      </c>
      <c r="Q135" s="123"/>
      <c r="R135" s="123" t="s">
        <v>104</v>
      </c>
      <c r="S135" s="123"/>
      <c r="T135" s="46"/>
      <c r="U135" s="46"/>
    </row>
    <row r="136" spans="1:23">
      <c r="A136" s="349"/>
      <c r="B136" s="350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92468.25</v>
      </c>
      <c r="K136" s="75">
        <v>92468.25</v>
      </c>
      <c r="L136" s="123" t="s">
        <v>104</v>
      </c>
      <c r="M136" s="123" t="s">
        <v>104</v>
      </c>
      <c r="N136" s="267">
        <f>O136</f>
        <v>0</v>
      </c>
      <c r="O136" s="267">
        <f>G136*K136*0.964404559</f>
        <v>0</v>
      </c>
      <c r="P136" s="123" t="s">
        <v>104</v>
      </c>
      <c r="Q136" s="123"/>
      <c r="R136" s="123" t="s">
        <v>104</v>
      </c>
      <c r="S136" s="123"/>
      <c r="T136" s="46">
        <f>H136*K136</f>
        <v>0</v>
      </c>
      <c r="U136" s="46">
        <f>I136*K136</f>
        <v>0</v>
      </c>
    </row>
    <row r="137" spans="1:23" ht="82.8">
      <c r="A137" s="349"/>
      <c r="B137" s="350"/>
      <c r="C137" s="61" t="s">
        <v>105</v>
      </c>
      <c r="D137" s="64" t="s">
        <v>101</v>
      </c>
      <c r="E137" s="122"/>
      <c r="F137" s="122">
        <v>0</v>
      </c>
      <c r="G137" s="290">
        <f>((E137*8)+(F137*4))/12</f>
        <v>0</v>
      </c>
      <c r="H137" s="60">
        <v>0</v>
      </c>
      <c r="I137" s="60">
        <v>0</v>
      </c>
      <c r="J137" s="75">
        <f>SUM(K137:M137)</f>
        <v>207425.26785503299</v>
      </c>
      <c r="K137" s="75">
        <f>181402.35+1998.78+861.0824384</f>
        <v>184262.21243839999</v>
      </c>
      <c r="L137" s="278">
        <f>4001.99*2.457553+516.419349593</f>
        <v>10351.521880062999</v>
      </c>
      <c r="M137" s="278">
        <f>7790.73-12.94824017+4610.77+41.4078675+62.11180124+319.462108</f>
        <v>12811.533536569999</v>
      </c>
      <c r="N137" s="269"/>
      <c r="O137" s="269">
        <f>K137*G137</f>
        <v>0</v>
      </c>
      <c r="P137" s="269">
        <f>L137*G137</f>
        <v>0</v>
      </c>
      <c r="Q137" s="269"/>
      <c r="R137" s="269"/>
      <c r="S137" s="269"/>
      <c r="T137" s="46">
        <f>H137*J137</f>
        <v>0</v>
      </c>
      <c r="U137" s="46">
        <f>I137*J137</f>
        <v>0</v>
      </c>
    </row>
    <row r="138" spans="1:23">
      <c r="A138" s="349"/>
      <c r="B138" s="186"/>
      <c r="C138" s="66" t="s">
        <v>106</v>
      </c>
      <c r="D138" s="64"/>
      <c r="E138" s="122">
        <f>E134+E137</f>
        <v>33</v>
      </c>
      <c r="F138" s="122">
        <f>F134+F137</f>
        <v>34</v>
      </c>
      <c r="G138" s="122">
        <f>G134+G137</f>
        <v>33.333333333333336</v>
      </c>
      <c r="H138" s="60">
        <f>H134+H137</f>
        <v>33</v>
      </c>
      <c r="I138" s="60">
        <f>I134+I137</f>
        <v>33</v>
      </c>
      <c r="J138" s="73" t="s">
        <v>104</v>
      </c>
      <c r="K138" s="73" t="s">
        <v>104</v>
      </c>
      <c r="L138" s="269" t="s">
        <v>104</v>
      </c>
      <c r="M138" s="269" t="s">
        <v>104</v>
      </c>
      <c r="N138" s="192">
        <f>SUM(N134:N137)</f>
        <v>2185436.40388603</v>
      </c>
      <c r="O138" s="192">
        <f>SUM(O134:O137)</f>
        <v>1413334.31666493</v>
      </c>
      <c r="P138" s="192">
        <f>SUM(P134:P137)</f>
        <v>345050.96933543333</v>
      </c>
      <c r="Q138" s="192"/>
      <c r="R138" s="192">
        <f>SUM(R134:R137)</f>
        <v>427051.11788566667</v>
      </c>
      <c r="S138" s="192"/>
      <c r="T138" s="192">
        <f>SUM(T134:T137)</f>
        <v>2300241.42388603</v>
      </c>
      <c r="U138" s="192">
        <f>SUM(U134:U137)</f>
        <v>2300241.42388603</v>
      </c>
    </row>
    <row r="139" spans="1:23" ht="102" customHeight="1">
      <c r="A139" s="349"/>
      <c r="B139" s="137" t="s">
        <v>240</v>
      </c>
      <c r="C139" s="61" t="s">
        <v>187</v>
      </c>
      <c r="D139" s="64" t="s">
        <v>101</v>
      </c>
      <c r="E139" s="122">
        <v>477</v>
      </c>
      <c r="F139" s="122">
        <v>536</v>
      </c>
      <c r="G139" s="123">
        <f>((E139*8)+(F139*4))/12</f>
        <v>496.66666666666669</v>
      </c>
      <c r="H139" s="60">
        <v>450</v>
      </c>
      <c r="I139" s="60">
        <v>450</v>
      </c>
      <c r="J139" s="75">
        <f>K139</f>
        <v>3978.76</v>
      </c>
      <c r="K139" s="75">
        <v>3978.76</v>
      </c>
      <c r="L139" s="269" t="s">
        <v>104</v>
      </c>
      <c r="M139" s="269" t="s">
        <v>104</v>
      </c>
      <c r="N139" s="269">
        <f>SUM(O139:R139)</f>
        <v>1522303.9974197834</v>
      </c>
      <c r="O139" s="269">
        <f>G139*K139*0.77035096501</f>
        <v>1522303.9974197834</v>
      </c>
      <c r="P139" s="269" t="s">
        <v>104</v>
      </c>
      <c r="Q139" s="269"/>
      <c r="R139" s="269" t="s">
        <v>104</v>
      </c>
      <c r="S139" s="269"/>
      <c r="T139" s="46">
        <f>N139</f>
        <v>1522303.9974197834</v>
      </c>
      <c r="U139" s="46">
        <f t="shared" ref="U139:U146" si="36">T139</f>
        <v>1522303.9974197834</v>
      </c>
    </row>
    <row r="140" spans="1:23">
      <c r="A140" s="349"/>
      <c r="B140" s="69"/>
      <c r="C140" s="66" t="s">
        <v>106</v>
      </c>
      <c r="D140" s="69"/>
      <c r="E140" s="122">
        <f>SUM(E139:E139)</f>
        <v>477</v>
      </c>
      <c r="F140" s="122">
        <f>SUM(F139:F139)</f>
        <v>536</v>
      </c>
      <c r="G140" s="122">
        <f>SUM(G139:G139)</f>
        <v>496.66666666666669</v>
      </c>
      <c r="H140" s="60">
        <f>SUM(H139:H139)</f>
        <v>450</v>
      </c>
      <c r="I140" s="60">
        <f>SUM(I139:I139)</f>
        <v>450</v>
      </c>
      <c r="J140" s="73" t="s">
        <v>104</v>
      </c>
      <c r="K140" s="73" t="s">
        <v>104</v>
      </c>
      <c r="L140" s="269" t="s">
        <v>104</v>
      </c>
      <c r="M140" s="192">
        <f t="shared" ref="M140:R140" si="37">SUM(M139:M139)</f>
        <v>0</v>
      </c>
      <c r="N140" s="192">
        <f>SUM(N139:N139)</f>
        <v>1522303.9974197834</v>
      </c>
      <c r="O140" s="192">
        <f t="shared" si="37"/>
        <v>1522303.9974197834</v>
      </c>
      <c r="P140" s="192">
        <f t="shared" si="37"/>
        <v>0</v>
      </c>
      <c r="Q140" s="192"/>
      <c r="R140" s="192">
        <f t="shared" si="37"/>
        <v>0</v>
      </c>
      <c r="S140" s="192"/>
      <c r="T140" s="46">
        <f>N140</f>
        <v>1522303.9974197834</v>
      </c>
      <c r="U140" s="46">
        <f t="shared" si="36"/>
        <v>1522303.9974197834</v>
      </c>
      <c r="V140" s="85">
        <v>33800419.590000004</v>
      </c>
      <c r="W140" s="85">
        <f>V140-T148</f>
        <v>1.7187967896461487E-3</v>
      </c>
    </row>
    <row r="141" spans="1:23" hidden="1">
      <c r="A141" s="349"/>
      <c r="B141" s="69" t="s">
        <v>290</v>
      </c>
      <c r="C141" s="183" t="s">
        <v>226</v>
      </c>
      <c r="D141" s="69"/>
      <c r="E141" s="122"/>
      <c r="F141" s="122"/>
      <c r="G141" s="122"/>
      <c r="H141" s="60"/>
      <c r="I141" s="60"/>
      <c r="J141" s="73"/>
      <c r="K141" s="73"/>
      <c r="L141" s="269"/>
      <c r="M141" s="192"/>
      <c r="N141" s="192">
        <f>P141</f>
        <v>0</v>
      </c>
      <c r="O141" s="192"/>
      <c r="P141" s="192"/>
      <c r="Q141" s="192"/>
      <c r="R141" s="192"/>
      <c r="S141" s="192"/>
      <c r="T141" s="46">
        <f>P141</f>
        <v>0</v>
      </c>
      <c r="U141" s="46">
        <f t="shared" si="36"/>
        <v>0</v>
      </c>
      <c r="V141" s="85">
        <f>N124+N133+N138+N140+N141</f>
        <v>31948904.590469297</v>
      </c>
    </row>
    <row r="142" spans="1:23" hidden="1">
      <c r="A142" s="349"/>
      <c r="B142" s="89" t="s">
        <v>225</v>
      </c>
      <c r="C142" s="183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73"/>
      <c r="L142" s="269"/>
      <c r="M142" s="192"/>
      <c r="N142" s="192">
        <f>S142</f>
        <v>0</v>
      </c>
      <c r="O142" s="192"/>
      <c r="P142" s="192"/>
      <c r="Q142" s="192"/>
      <c r="R142" s="192"/>
      <c r="S142" s="192"/>
      <c r="T142" s="46"/>
      <c r="U142" s="46">
        <f t="shared" si="36"/>
        <v>0</v>
      </c>
    </row>
    <row r="143" spans="1:23" hidden="1">
      <c r="A143" s="349"/>
      <c r="B143" s="89" t="s">
        <v>225</v>
      </c>
      <c r="C143" s="183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73"/>
      <c r="L143" s="269"/>
      <c r="M143" s="192"/>
      <c r="N143" s="192">
        <f>S143</f>
        <v>0</v>
      </c>
      <c r="O143" s="192"/>
      <c r="P143" s="192"/>
      <c r="Q143" s="192"/>
      <c r="R143" s="192"/>
      <c r="S143" s="192"/>
      <c r="T143" s="46">
        <f>Q143</f>
        <v>0</v>
      </c>
      <c r="U143" s="46">
        <f t="shared" si="36"/>
        <v>0</v>
      </c>
    </row>
    <row r="144" spans="1:23" hidden="1">
      <c r="A144" s="349"/>
      <c r="B144" s="89" t="s">
        <v>289</v>
      </c>
      <c r="C144" s="183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73"/>
      <c r="L144" s="269"/>
      <c r="M144" s="192"/>
      <c r="N144" s="192">
        <f>S144</f>
        <v>0</v>
      </c>
      <c r="O144" s="192"/>
      <c r="P144" s="192"/>
      <c r="Q144" s="192"/>
      <c r="R144" s="192"/>
      <c r="S144" s="192"/>
      <c r="T144" s="46"/>
      <c r="U144" s="46"/>
    </row>
    <row r="145" spans="1:26">
      <c r="A145" s="349"/>
      <c r="B145" s="89" t="s">
        <v>305</v>
      </c>
      <c r="C145" s="183" t="s">
        <v>226</v>
      </c>
      <c r="D145" s="64"/>
      <c r="E145" s="122"/>
      <c r="F145" s="122">
        <v>20</v>
      </c>
      <c r="G145" s="122">
        <v>20</v>
      </c>
      <c r="H145" s="60">
        <v>20</v>
      </c>
      <c r="I145" s="60">
        <v>20</v>
      </c>
      <c r="J145" s="73"/>
      <c r="K145" s="73"/>
      <c r="L145" s="269"/>
      <c r="M145" s="192"/>
      <c r="N145" s="192">
        <f>O145</f>
        <v>781200</v>
      </c>
      <c r="O145" s="192">
        <v>781200</v>
      </c>
      <c r="P145" s="192"/>
      <c r="Q145" s="192"/>
      <c r="R145" s="192"/>
      <c r="S145" s="192"/>
      <c r="T145" s="46"/>
      <c r="U145" s="46">
        <f>T145</f>
        <v>0</v>
      </c>
    </row>
    <row r="146" spans="1:26" hidden="1">
      <c r="A146" s="349"/>
      <c r="B146" s="89" t="s">
        <v>258</v>
      </c>
      <c r="C146" s="183" t="s">
        <v>226</v>
      </c>
      <c r="D146" s="64"/>
      <c r="E146" s="122"/>
      <c r="F146" s="122"/>
      <c r="G146" s="122"/>
      <c r="H146" s="60"/>
      <c r="I146" s="60"/>
      <c r="J146" s="73"/>
      <c r="K146" s="73"/>
      <c r="L146" s="269"/>
      <c r="M146" s="192"/>
      <c r="N146" s="192">
        <f>O146</f>
        <v>0</v>
      </c>
      <c r="O146" s="192"/>
      <c r="P146" s="192"/>
      <c r="Q146" s="192"/>
      <c r="R146" s="192"/>
      <c r="S146" s="192"/>
      <c r="T146" s="46">
        <f>O146</f>
        <v>0</v>
      </c>
      <c r="U146" s="46">
        <f t="shared" si="36"/>
        <v>0</v>
      </c>
    </row>
    <row r="147" spans="1:26" hidden="1">
      <c r="A147" s="349"/>
      <c r="B147" s="89" t="s">
        <v>306</v>
      </c>
      <c r="C147" s="183" t="s">
        <v>226</v>
      </c>
      <c r="D147" s="64"/>
      <c r="E147" s="122"/>
      <c r="F147" s="122"/>
      <c r="G147" s="122"/>
      <c r="H147" s="60"/>
      <c r="I147" s="60"/>
      <c r="J147" s="73"/>
      <c r="K147" s="73"/>
      <c r="L147" s="269"/>
      <c r="M147" s="192"/>
      <c r="N147" s="192">
        <f>P147</f>
        <v>0</v>
      </c>
      <c r="O147" s="192"/>
      <c r="P147" s="192"/>
      <c r="Q147" s="192"/>
      <c r="R147" s="192"/>
      <c r="S147" s="192"/>
      <c r="T147" s="46"/>
      <c r="U147" s="46">
        <f>T147</f>
        <v>0</v>
      </c>
    </row>
    <row r="148" spans="1:26">
      <c r="A148" s="349"/>
      <c r="B148" s="101" t="s">
        <v>112</v>
      </c>
      <c r="C148" s="101"/>
      <c r="D148" s="69"/>
      <c r="E148" s="291">
        <f>E124+E133+E138</f>
        <v>483</v>
      </c>
      <c r="F148" s="297">
        <f>F124+F133+F138</f>
        <v>510</v>
      </c>
      <c r="G148" s="291">
        <f>G124+G133+G138</f>
        <v>491.99999999999994</v>
      </c>
      <c r="H148" s="102">
        <f>H124+H133+H138</f>
        <v>483</v>
      </c>
      <c r="I148" s="102">
        <f>I124+I133+I138</f>
        <v>483</v>
      </c>
      <c r="J148" s="104"/>
      <c r="K148" s="104"/>
      <c r="L148" s="138"/>
      <c r="M148" s="138"/>
      <c r="N148" s="138">
        <f>SUM(O148:S148)</f>
        <v>32730104.590469293</v>
      </c>
      <c r="O148" s="218">
        <f>O124+O133+O138+O140+O145+O146</f>
        <v>21333880.995485861</v>
      </c>
      <c r="P148" s="138">
        <f>P124+P133+P138+P140+P141+P142+P143+P147</f>
        <v>5092949.0049909949</v>
      </c>
      <c r="Q148" s="138">
        <f>Q124+Q133+Q138+Q140+Q141+Q142+Q143</f>
        <v>0</v>
      </c>
      <c r="R148" s="138">
        <f>R124+R133+R138+R140+R141+R142+R143+R144</f>
        <v>6303274.5899924394</v>
      </c>
      <c r="S148" s="138">
        <f>S124+S133+S138+S140+S141+S142+S143+S144</f>
        <v>0</v>
      </c>
      <c r="T148" s="138">
        <f>T124+T133+T138+T140+T141+T142+T143+T144+T145+T146+T147</f>
        <v>33800419.588281207</v>
      </c>
      <c r="U148" s="138">
        <f>U124+U133+U138+U140+U141+U142+U143+U144+U145+U146+U147</f>
        <v>33800419.588281207</v>
      </c>
      <c r="V148" s="80">
        <v>6303274.5899999999</v>
      </c>
      <c r="W148" s="85">
        <f>V148-R148</f>
        <v>7.5604766607284546E-6</v>
      </c>
      <c r="X148" s="80">
        <f>W148/G148</f>
        <v>1.5366822481155399E-8</v>
      </c>
    </row>
    <row r="149" spans="1:26" ht="82.8">
      <c r="A149" s="349" t="s">
        <v>116</v>
      </c>
      <c r="B149" s="351" t="s">
        <v>237</v>
      </c>
      <c r="C149" s="61" t="s">
        <v>100</v>
      </c>
      <c r="D149" s="62" t="s">
        <v>101</v>
      </c>
      <c r="E149" s="123">
        <v>316</v>
      </c>
      <c r="F149" s="123">
        <v>325</v>
      </c>
      <c r="G149" s="123">
        <f t="shared" ref="G149:G171" si="38">((E149*8)+(F149*4))/12</f>
        <v>319</v>
      </c>
      <c r="H149" s="59">
        <v>316</v>
      </c>
      <c r="I149" s="59">
        <v>316</v>
      </c>
      <c r="J149" s="107">
        <f>SUM(K149:M149)</f>
        <v>44943.465289656</v>
      </c>
      <c r="K149" s="107">
        <f>23119.12+1351.63+806.317225985</f>
        <v>25277.067225985</v>
      </c>
      <c r="L149" s="278">
        <f>4001.99*2.457553+637.938439901</f>
        <v>10473.040970370999</v>
      </c>
      <c r="M149" s="278">
        <f>7790.73-13.0169697+221.21-3.636364+1198.070427</f>
        <v>9193.3570932999992</v>
      </c>
      <c r="N149" s="267">
        <f>SUM(O149:R149)</f>
        <v>14049946.72212477</v>
      </c>
      <c r="O149" s="267">
        <f>G149*K149*0.964404559-0.01</f>
        <v>7776364.7098137233</v>
      </c>
      <c r="P149" s="267">
        <f>G149*L149-0.02</f>
        <v>3340900.0495483489</v>
      </c>
      <c r="Q149" s="267"/>
      <c r="R149" s="46">
        <f>G149*M149+1.05</f>
        <v>2932681.9627626995</v>
      </c>
      <c r="S149" s="46"/>
      <c r="T149" s="46">
        <f>N149+1129246.11-82910.8</f>
        <v>15096282.032124769</v>
      </c>
      <c r="U149" s="46">
        <f>T149</f>
        <v>15096282.032124769</v>
      </c>
    </row>
    <row r="150" spans="1:26" ht="82.8">
      <c r="A150" s="349"/>
      <c r="B150" s="352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59" t="s">
        <v>104</v>
      </c>
      <c r="L150" s="123" t="s">
        <v>104</v>
      </c>
      <c r="M150" s="123" t="s">
        <v>104</v>
      </c>
      <c r="N150" s="267"/>
      <c r="O150" s="267"/>
      <c r="P150" s="123" t="s">
        <v>104</v>
      </c>
      <c r="Q150" s="123"/>
      <c r="R150" s="123" t="s">
        <v>104</v>
      </c>
      <c r="S150" s="123"/>
      <c r="T150" s="46"/>
      <c r="U150" s="46"/>
    </row>
    <row r="151" spans="1:26">
      <c r="A151" s="349"/>
      <c r="B151" s="352"/>
      <c r="C151" s="63" t="s">
        <v>171</v>
      </c>
      <c r="D151" s="64" t="s">
        <v>101</v>
      </c>
      <c r="E151" s="123">
        <v>1</v>
      </c>
      <c r="F151" s="123"/>
      <c r="G151" s="123">
        <f t="shared" si="38"/>
        <v>0.66666666666666663</v>
      </c>
      <c r="H151" s="59">
        <v>1</v>
      </c>
      <c r="I151" s="59">
        <v>1</v>
      </c>
      <c r="J151" s="75">
        <f t="shared" ref="J151:J157" si="39">K151</f>
        <v>69362.66</v>
      </c>
      <c r="K151" s="71">
        <v>69362.66</v>
      </c>
      <c r="L151" s="123" t="s">
        <v>104</v>
      </c>
      <c r="M151" s="123" t="s">
        <v>104</v>
      </c>
      <c r="N151" s="267">
        <f t="shared" ref="N151:N157" si="40">O151</f>
        <v>44595.777018911293</v>
      </c>
      <c r="O151" s="267">
        <f t="shared" ref="O151:O159" si="41">G151*K151*0.964404559</f>
        <v>44595.777018911293</v>
      </c>
      <c r="P151" s="123" t="s">
        <v>104</v>
      </c>
      <c r="Q151" s="123"/>
      <c r="R151" s="123"/>
      <c r="S151" s="123"/>
      <c r="T151" s="46">
        <f t="shared" ref="T151:T157" si="42">H151*K151</f>
        <v>69362.66</v>
      </c>
      <c r="U151" s="46">
        <f>I151*K151</f>
        <v>69362.66</v>
      </c>
    </row>
    <row r="152" spans="1:26">
      <c r="A152" s="349"/>
      <c r="B152" s="352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38"/>
        <v>3</v>
      </c>
      <c r="H152" s="59">
        <v>3</v>
      </c>
      <c r="I152" s="59">
        <v>3</v>
      </c>
      <c r="J152" s="75">
        <f t="shared" si="39"/>
        <v>69362.66</v>
      </c>
      <c r="K152" s="71">
        <v>69362.66</v>
      </c>
      <c r="L152" s="123" t="s">
        <v>104</v>
      </c>
      <c r="M152" s="123" t="s">
        <v>104</v>
      </c>
      <c r="N152" s="267">
        <f t="shared" si="40"/>
        <v>200680.99658510083</v>
      </c>
      <c r="O152" s="267">
        <f t="shared" si="41"/>
        <v>200680.99658510083</v>
      </c>
      <c r="P152" s="123" t="s">
        <v>104</v>
      </c>
      <c r="Q152" s="123"/>
      <c r="R152" s="123" t="s">
        <v>104</v>
      </c>
      <c r="S152" s="123"/>
      <c r="T152" s="46">
        <f t="shared" si="42"/>
        <v>208087.98</v>
      </c>
      <c r="U152" s="46">
        <f>I152*K152</f>
        <v>208087.98</v>
      </c>
    </row>
    <row r="153" spans="1:26">
      <c r="A153" s="349"/>
      <c r="B153" s="352"/>
      <c r="C153" s="63" t="s">
        <v>165</v>
      </c>
      <c r="D153" s="64" t="s">
        <v>101</v>
      </c>
      <c r="E153" s="123"/>
      <c r="F153" s="123">
        <v>1</v>
      </c>
      <c r="G153" s="123">
        <f t="shared" si="38"/>
        <v>0.33333333333333331</v>
      </c>
      <c r="H153" s="59"/>
      <c r="I153" s="59"/>
      <c r="J153" s="75">
        <f t="shared" si="39"/>
        <v>92468.25</v>
      </c>
      <c r="K153" s="71">
        <v>92468.25</v>
      </c>
      <c r="L153" s="123" t="s">
        <v>104</v>
      </c>
      <c r="M153" s="123" t="s">
        <v>104</v>
      </c>
      <c r="N153" s="267">
        <f t="shared" si="40"/>
        <v>29725.600620917248</v>
      </c>
      <c r="O153" s="267">
        <f t="shared" si="41"/>
        <v>29725.600620917248</v>
      </c>
      <c r="P153" s="123"/>
      <c r="Q153" s="123"/>
      <c r="R153" s="123"/>
      <c r="S153" s="123"/>
      <c r="T153" s="46"/>
      <c r="U153" s="46"/>
    </row>
    <row r="154" spans="1:26">
      <c r="A154" s="349"/>
      <c r="B154" s="352"/>
      <c r="C154" s="63" t="s">
        <v>166</v>
      </c>
      <c r="D154" s="64" t="s">
        <v>101</v>
      </c>
      <c r="E154" s="123">
        <v>2</v>
      </c>
      <c r="F154" s="123">
        <v>1</v>
      </c>
      <c r="G154" s="123">
        <f t="shared" si="38"/>
        <v>1.6666666666666667</v>
      </c>
      <c r="H154" s="59">
        <v>2</v>
      </c>
      <c r="I154" s="59">
        <v>2</v>
      </c>
      <c r="J154" s="75">
        <f t="shared" si="39"/>
        <v>66361.320000000007</v>
      </c>
      <c r="K154" s="75">
        <v>66361.320000000007</v>
      </c>
      <c r="L154" s="123" t="s">
        <v>104</v>
      </c>
      <c r="M154" s="123" t="s">
        <v>104</v>
      </c>
      <c r="N154" s="267">
        <f t="shared" si="40"/>
        <v>106665.26591542982</v>
      </c>
      <c r="O154" s="267">
        <f t="shared" si="41"/>
        <v>106665.26591542982</v>
      </c>
      <c r="P154" s="123" t="s">
        <v>104</v>
      </c>
      <c r="Q154" s="123"/>
      <c r="R154" s="123" t="s">
        <v>104</v>
      </c>
      <c r="S154" s="123"/>
      <c r="T154" s="46">
        <f t="shared" si="42"/>
        <v>132722.64000000001</v>
      </c>
      <c r="U154" s="46">
        <f>I154*K154</f>
        <v>132722.64000000001</v>
      </c>
    </row>
    <row r="155" spans="1:26">
      <c r="A155" s="349"/>
      <c r="B155" s="352"/>
      <c r="C155" s="63" t="s">
        <v>190</v>
      </c>
      <c r="D155" s="64" t="s">
        <v>101</v>
      </c>
      <c r="E155" s="123">
        <v>1</v>
      </c>
      <c r="F155" s="123"/>
      <c r="G155" s="123">
        <f t="shared" si="38"/>
        <v>0.66666666666666663</v>
      </c>
      <c r="H155" s="59">
        <v>1</v>
      </c>
      <c r="I155" s="59">
        <v>1</v>
      </c>
      <c r="J155" s="75">
        <f t="shared" si="39"/>
        <v>178794.98</v>
      </c>
      <c r="K155" s="75">
        <v>178794.98</v>
      </c>
      <c r="L155" s="123" t="s">
        <v>104</v>
      </c>
      <c r="M155" s="123" t="s">
        <v>104</v>
      </c>
      <c r="N155" s="267">
        <f t="shared" si="40"/>
        <v>114953.79589220921</v>
      </c>
      <c r="O155" s="267">
        <f t="shared" si="41"/>
        <v>114953.79589220921</v>
      </c>
      <c r="P155" s="123" t="s">
        <v>104</v>
      </c>
      <c r="Q155" s="123"/>
      <c r="R155" s="123" t="s">
        <v>104</v>
      </c>
      <c r="S155" s="123"/>
      <c r="T155" s="46">
        <f t="shared" si="42"/>
        <v>178794.98</v>
      </c>
      <c r="U155" s="46">
        <f>I155*K155</f>
        <v>178794.98</v>
      </c>
    </row>
    <row r="156" spans="1:26">
      <c r="A156" s="349"/>
      <c r="B156" s="352"/>
      <c r="C156" s="63" t="s">
        <v>170</v>
      </c>
      <c r="D156" s="64" t="s">
        <v>101</v>
      </c>
      <c r="E156" s="123"/>
      <c r="F156" s="123"/>
      <c r="G156" s="123">
        <f t="shared" si="38"/>
        <v>0</v>
      </c>
      <c r="H156" s="59"/>
      <c r="I156" s="59"/>
      <c r="J156" s="75">
        <f t="shared" si="39"/>
        <v>99648.29</v>
      </c>
      <c r="K156" s="75">
        <v>99648.29</v>
      </c>
      <c r="L156" s="123" t="s">
        <v>104</v>
      </c>
      <c r="M156" s="123" t="s">
        <v>104</v>
      </c>
      <c r="N156" s="267">
        <f t="shared" si="40"/>
        <v>0</v>
      </c>
      <c r="O156" s="267">
        <f t="shared" si="41"/>
        <v>0</v>
      </c>
      <c r="P156" s="123" t="s">
        <v>104</v>
      </c>
      <c r="Q156" s="123"/>
      <c r="R156" s="123" t="s">
        <v>104</v>
      </c>
      <c r="S156" s="123"/>
      <c r="T156" s="46">
        <f t="shared" si="42"/>
        <v>0</v>
      </c>
      <c r="U156" s="46">
        <f>I156*K156</f>
        <v>0</v>
      </c>
    </row>
    <row r="157" spans="1:26">
      <c r="A157" s="349"/>
      <c r="B157" s="352"/>
      <c r="C157" s="63" t="s">
        <v>168</v>
      </c>
      <c r="D157" s="64" t="s">
        <v>101</v>
      </c>
      <c r="E157" s="123"/>
      <c r="F157" s="123">
        <v>1</v>
      </c>
      <c r="G157" s="123">
        <f t="shared" si="38"/>
        <v>0.33333333333333331</v>
      </c>
      <c r="H157" s="59"/>
      <c r="I157" s="59"/>
      <c r="J157" s="75">
        <f t="shared" si="39"/>
        <v>23553.439999999999</v>
      </c>
      <c r="K157" s="75">
        <v>23553.439999999999</v>
      </c>
      <c r="L157" s="123" t="s">
        <v>104</v>
      </c>
      <c r="M157" s="123" t="s">
        <v>104</v>
      </c>
      <c r="N157" s="267">
        <f t="shared" si="40"/>
        <v>7571.6816387109857</v>
      </c>
      <c r="O157" s="267">
        <f t="shared" si="41"/>
        <v>7571.6816387109857</v>
      </c>
      <c r="P157" s="123" t="s">
        <v>104</v>
      </c>
      <c r="Q157" s="123"/>
      <c r="R157" s="123" t="s">
        <v>104</v>
      </c>
      <c r="S157" s="123"/>
      <c r="T157" s="46">
        <f t="shared" si="42"/>
        <v>0</v>
      </c>
      <c r="U157" s="46">
        <f>I157*K157</f>
        <v>0</v>
      </c>
    </row>
    <row r="158" spans="1:26" ht="84.6" customHeight="1">
      <c r="A158" s="349"/>
      <c r="B158" s="352"/>
      <c r="C158" s="61" t="s">
        <v>105</v>
      </c>
      <c r="D158" s="64" t="s">
        <v>101</v>
      </c>
      <c r="E158" s="123">
        <v>2</v>
      </c>
      <c r="F158" s="123">
        <v>1</v>
      </c>
      <c r="G158" s="123">
        <f t="shared" si="38"/>
        <v>1.6666666666666667</v>
      </c>
      <c r="H158" s="59">
        <v>2</v>
      </c>
      <c r="I158" s="59">
        <v>2</v>
      </c>
      <c r="J158" s="75">
        <f>SUM(K158:M158)</f>
        <v>143237.265289656</v>
      </c>
      <c r="K158" s="75">
        <f>121412.92+1351.63+806.317225985</f>
        <v>123570.867225985</v>
      </c>
      <c r="L158" s="278">
        <f>4001.99*2.457553+637.938439901</f>
        <v>10473.040970370999</v>
      </c>
      <c r="M158" s="278">
        <f>7790.73-13.0169697+221.21-3.636364+1198.070427</f>
        <v>9193.3570932999992</v>
      </c>
      <c r="N158" s="267">
        <f>SUM(O158:R158)</f>
        <v>231397.84295999105</v>
      </c>
      <c r="O158" s="267">
        <f t="shared" si="41"/>
        <v>198620.5128538727</v>
      </c>
      <c r="P158" s="267">
        <f>G158*L158</f>
        <v>17455.068283951667</v>
      </c>
      <c r="Q158" s="267"/>
      <c r="R158" s="46">
        <f>G158*M158</f>
        <v>15322.261822166665</v>
      </c>
      <c r="S158" s="46"/>
      <c r="T158" s="46">
        <f>N158+7147.13</f>
        <v>238544.97295999105</v>
      </c>
      <c r="U158" s="46">
        <f>T158</f>
        <v>238544.97295999105</v>
      </c>
    </row>
    <row r="159" spans="1:26" ht="82.8">
      <c r="A159" s="349"/>
      <c r="B159" s="352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38"/>
        <v>0</v>
      </c>
      <c r="H159" s="59">
        <v>0</v>
      </c>
      <c r="I159" s="59">
        <v>0</v>
      </c>
      <c r="J159" s="75">
        <f>K159</f>
        <v>21480.1</v>
      </c>
      <c r="K159" s="75">
        <v>21480.1</v>
      </c>
      <c r="L159" s="191" t="s">
        <v>104</v>
      </c>
      <c r="M159" s="191" t="s">
        <v>104</v>
      </c>
      <c r="N159" s="267">
        <f>SUM(O159:R159)</f>
        <v>0</v>
      </c>
      <c r="O159" s="267">
        <f t="shared" si="41"/>
        <v>0</v>
      </c>
      <c r="P159" s="267"/>
      <c r="Q159" s="267"/>
      <c r="R159" s="267"/>
      <c r="S159" s="267"/>
      <c r="T159" s="46">
        <f>H159*J159</f>
        <v>0</v>
      </c>
      <c r="U159" s="46">
        <f>I159*J159</f>
        <v>0</v>
      </c>
    </row>
    <row r="160" spans="1:26">
      <c r="A160" s="349"/>
      <c r="B160" s="353"/>
      <c r="C160" s="66" t="s">
        <v>106</v>
      </c>
      <c r="D160" s="67"/>
      <c r="E160" s="123">
        <f>E149+E158</f>
        <v>318</v>
      </c>
      <c r="F160" s="123">
        <f>F149+F158</f>
        <v>326</v>
      </c>
      <c r="G160" s="123">
        <f>G149+G158</f>
        <v>320.66666666666669</v>
      </c>
      <c r="H160" s="59">
        <f>H149+H158</f>
        <v>318</v>
      </c>
      <c r="I160" s="59">
        <f>I149+I158</f>
        <v>318</v>
      </c>
      <c r="J160" s="71" t="s">
        <v>104</v>
      </c>
      <c r="K160" s="71" t="s">
        <v>104</v>
      </c>
      <c r="L160" s="267" t="s">
        <v>104</v>
      </c>
      <c r="M160" s="267" t="s">
        <v>104</v>
      </c>
      <c r="N160" s="267">
        <f>SUM(N149:N159)</f>
        <v>14785537.68275604</v>
      </c>
      <c r="O160" s="267">
        <f>SUM(O149:O159)</f>
        <v>8479178.3403388746</v>
      </c>
      <c r="P160" s="267">
        <f>SUM(P149:P159)</f>
        <v>3358355.1178323007</v>
      </c>
      <c r="Q160" s="267"/>
      <c r="R160" s="267">
        <f>SUM(R149:R159)</f>
        <v>2948004.2245848663</v>
      </c>
      <c r="S160" s="267"/>
      <c r="T160" s="267">
        <f>SUM(T149:T159)</f>
        <v>15923795.265084762</v>
      </c>
      <c r="U160" s="267">
        <f>SUM(U149:U159)</f>
        <v>15923795.265084762</v>
      </c>
      <c r="Z160" s="85"/>
    </row>
    <row r="161" spans="1:26" ht="82.8">
      <c r="A161" s="349"/>
      <c r="B161" s="351" t="s">
        <v>238</v>
      </c>
      <c r="C161" s="61" t="s">
        <v>100</v>
      </c>
      <c r="D161" s="62" t="s">
        <v>101</v>
      </c>
      <c r="E161" s="123">
        <v>196</v>
      </c>
      <c r="F161" s="123">
        <v>214</v>
      </c>
      <c r="G161" s="123">
        <f t="shared" si="38"/>
        <v>202</v>
      </c>
      <c r="H161" s="59">
        <v>196</v>
      </c>
      <c r="I161" s="59">
        <v>196</v>
      </c>
      <c r="J161" s="107">
        <f>SUM(K161:M161)</f>
        <v>56468.415289656012</v>
      </c>
      <c r="K161" s="107">
        <f>34346.05+1649.65+806.317225985</f>
        <v>36802.017225985008</v>
      </c>
      <c r="L161" s="278">
        <f>4001.99*2.457553+637.938439901</f>
        <v>10473.040970370999</v>
      </c>
      <c r="M161" s="278">
        <f>7790.73-13.0169697+221.21-3.636364+1198.070427</f>
        <v>9193.3570932999992</v>
      </c>
      <c r="N161" s="267">
        <f>SUM(O161:R161)</f>
        <v>11142003.11387511</v>
      </c>
      <c r="O161" s="267">
        <f>G161*K161*0.964404559</f>
        <v>7169390.7050135685</v>
      </c>
      <c r="P161" s="267">
        <f>G161*L161</f>
        <v>2115554.2760149417</v>
      </c>
      <c r="Q161" s="267"/>
      <c r="R161" s="46">
        <f>G161*M161</f>
        <v>1857058.1328465999</v>
      </c>
      <c r="S161" s="46"/>
      <c r="T161" s="46">
        <f>N161+700418.47</f>
        <v>11842421.58387511</v>
      </c>
      <c r="U161" s="46">
        <f>T161</f>
        <v>11842421.58387511</v>
      </c>
    </row>
    <row r="162" spans="1:26" ht="96.6">
      <c r="A162" s="349"/>
      <c r="B162" s="352"/>
      <c r="C162" s="61" t="s">
        <v>118</v>
      </c>
      <c r="D162" s="62" t="s">
        <v>101</v>
      </c>
      <c r="E162" s="123">
        <v>206</v>
      </c>
      <c r="F162" s="123">
        <v>195</v>
      </c>
      <c r="G162" s="123">
        <f t="shared" si="38"/>
        <v>202.33333333333334</v>
      </c>
      <c r="H162" s="59">
        <v>206</v>
      </c>
      <c r="I162" s="59">
        <v>206</v>
      </c>
      <c r="J162" s="107">
        <f>SUM(K162:M162)</f>
        <v>59905.225289656009</v>
      </c>
      <c r="K162" s="107">
        <f>37782.86+1649.65+806.317225985</f>
        <v>40238.827225985005</v>
      </c>
      <c r="L162" s="278">
        <f>4001.99*2.457553+637.938439901</f>
        <v>10473.040970370999</v>
      </c>
      <c r="M162" s="278">
        <f>7790.73-13.0169697+221.21-3.636364+1198.070427</f>
        <v>9193.3570932999992</v>
      </c>
      <c r="N162" s="267">
        <f>SUM(O162:R162)</f>
        <v>11831018.079653041</v>
      </c>
      <c r="O162" s="267">
        <f>G162*K162*0.964404559</f>
        <v>7851850.2047702773</v>
      </c>
      <c r="P162" s="267">
        <f>G162*L162</f>
        <v>2119045.2896717321</v>
      </c>
      <c r="Q162" s="267"/>
      <c r="R162" s="46">
        <f>G162*M162</f>
        <v>1860122.5852110332</v>
      </c>
      <c r="S162" s="46"/>
      <c r="T162" s="46">
        <f>N162+736154.11-410043</f>
        <v>12157129.189653041</v>
      </c>
      <c r="U162" s="46">
        <f>T162</f>
        <v>12157129.189653041</v>
      </c>
    </row>
    <row r="163" spans="1:26" ht="82.8">
      <c r="A163" s="349"/>
      <c r="B163" s="352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59" t="s">
        <v>104</v>
      </c>
      <c r="L163" s="123" t="s">
        <v>104</v>
      </c>
      <c r="M163" s="123" t="s">
        <v>104</v>
      </c>
      <c r="N163" s="267"/>
      <c r="O163" s="267"/>
      <c r="P163" s="123" t="s">
        <v>104</v>
      </c>
      <c r="Q163" s="123"/>
      <c r="R163" s="123" t="s">
        <v>104</v>
      </c>
      <c r="S163" s="123"/>
      <c r="T163" s="46"/>
      <c r="U163" s="46"/>
    </row>
    <row r="164" spans="1:26">
      <c r="A164" s="349"/>
      <c r="B164" s="352"/>
      <c r="C164" s="63" t="s">
        <v>171</v>
      </c>
      <c r="D164" s="64" t="s">
        <v>101</v>
      </c>
      <c r="E164" s="122">
        <v>1</v>
      </c>
      <c r="F164" s="122"/>
      <c r="G164" s="123">
        <f t="shared" si="38"/>
        <v>0.66666666666666663</v>
      </c>
      <c r="H164" s="60">
        <v>1</v>
      </c>
      <c r="I164" s="60">
        <v>1</v>
      </c>
      <c r="J164" s="75">
        <f>K164</f>
        <v>69362.66</v>
      </c>
      <c r="K164" s="75">
        <v>69362.66</v>
      </c>
      <c r="L164" s="123" t="s">
        <v>104</v>
      </c>
      <c r="M164" s="123" t="s">
        <v>104</v>
      </c>
      <c r="N164" s="267">
        <f>O164</f>
        <v>44595.777018911293</v>
      </c>
      <c r="O164" s="267">
        <f>G164*K164*0.964404559</f>
        <v>44595.777018911293</v>
      </c>
      <c r="P164" s="123" t="s">
        <v>104</v>
      </c>
      <c r="Q164" s="123"/>
      <c r="R164" s="123" t="s">
        <v>104</v>
      </c>
      <c r="S164" s="123"/>
      <c r="T164" s="46">
        <f>H164*K164</f>
        <v>69362.66</v>
      </c>
      <c r="U164" s="46">
        <f>I164*K164</f>
        <v>69362.66</v>
      </c>
    </row>
    <row r="165" spans="1:26">
      <c r="A165" s="349"/>
      <c r="B165" s="352"/>
      <c r="C165" s="63" t="s">
        <v>164</v>
      </c>
      <c r="D165" s="64" t="s">
        <v>101</v>
      </c>
      <c r="E165" s="122"/>
      <c r="F165" s="122">
        <v>1</v>
      </c>
      <c r="G165" s="123">
        <f t="shared" si="38"/>
        <v>0.33333333333333331</v>
      </c>
      <c r="H165" s="60"/>
      <c r="I165" s="60"/>
      <c r="J165" s="75">
        <f>K165</f>
        <v>25589.72</v>
      </c>
      <c r="K165" s="75">
        <v>25589.72</v>
      </c>
      <c r="L165" s="123" t="s">
        <v>104</v>
      </c>
      <c r="M165" s="123" t="s">
        <v>104</v>
      </c>
      <c r="N165" s="267">
        <f>O165</f>
        <v>8226.2808771778255</v>
      </c>
      <c r="O165" s="267">
        <f>G165*K165*0.964404559</f>
        <v>8226.2808771778255</v>
      </c>
      <c r="P165" s="123" t="s">
        <v>104</v>
      </c>
      <c r="Q165" s="123"/>
      <c r="R165" s="123" t="s">
        <v>104</v>
      </c>
      <c r="S165" s="123"/>
      <c r="T165" s="46">
        <f>H165*K165</f>
        <v>0</v>
      </c>
      <c r="U165" s="46">
        <f>I165*K165</f>
        <v>0</v>
      </c>
    </row>
    <row r="166" spans="1:26">
      <c r="A166" s="349"/>
      <c r="B166" s="352"/>
      <c r="C166" s="63" t="s">
        <v>168</v>
      </c>
      <c r="D166" s="64" t="s">
        <v>101</v>
      </c>
      <c r="E166" s="122">
        <v>3</v>
      </c>
      <c r="F166" s="122">
        <v>2</v>
      </c>
      <c r="G166" s="123">
        <f t="shared" si="38"/>
        <v>2.6666666666666665</v>
      </c>
      <c r="H166" s="60">
        <v>3</v>
      </c>
      <c r="I166" s="60">
        <v>3</v>
      </c>
      <c r="J166" s="75">
        <f>K166</f>
        <v>23553.439999999999</v>
      </c>
      <c r="K166" s="75">
        <v>23553.439999999999</v>
      </c>
      <c r="L166" s="123" t="s">
        <v>104</v>
      </c>
      <c r="M166" s="123" t="s">
        <v>104</v>
      </c>
      <c r="N166" s="267">
        <f>O166</f>
        <v>60573.453109687885</v>
      </c>
      <c r="O166" s="267">
        <f>G166*K166*0.964404559</f>
        <v>60573.453109687885</v>
      </c>
      <c r="P166" s="123" t="s">
        <v>104</v>
      </c>
      <c r="Q166" s="123"/>
      <c r="R166" s="123" t="s">
        <v>104</v>
      </c>
      <c r="S166" s="123"/>
      <c r="T166" s="46">
        <f>H166*K166</f>
        <v>70660.319999999992</v>
      </c>
      <c r="U166" s="46">
        <f>I166*K166</f>
        <v>70660.319999999992</v>
      </c>
    </row>
    <row r="167" spans="1:26" ht="81.599999999999994" customHeight="1">
      <c r="A167" s="349"/>
      <c r="B167" s="352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38"/>
        <v>1</v>
      </c>
      <c r="H167" s="60">
        <v>1</v>
      </c>
      <c r="I167" s="60">
        <v>1</v>
      </c>
      <c r="J167" s="75">
        <f>SUM(K167:M167)</f>
        <v>173529.99528965598</v>
      </c>
      <c r="K167" s="75">
        <f>151407.63+1649.65+806.317225985</f>
        <v>153863.597225985</v>
      </c>
      <c r="L167" s="278">
        <f>4001.99*2.457553+637.938439901</f>
        <v>10473.040970370999</v>
      </c>
      <c r="M167" s="278">
        <f>7790.73-13.0169697+221.21-3.636364+1198.070427</f>
        <v>9193.3570932999992</v>
      </c>
      <c r="N167" s="269">
        <f>SUM(O167:R167)</f>
        <v>168053.15269255068</v>
      </c>
      <c r="O167" s="269">
        <f>G167*K167*0.964404559</f>
        <v>148386.75462887969</v>
      </c>
      <c r="P167" s="269">
        <f>G167*L167</f>
        <v>10473.040970370999</v>
      </c>
      <c r="Q167" s="269"/>
      <c r="R167" s="269">
        <f>E167*M167</f>
        <v>9193.3570932999992</v>
      </c>
      <c r="S167" s="269"/>
      <c r="T167" s="46">
        <f>N167+3573.56</f>
        <v>171626.71269255067</v>
      </c>
      <c r="U167" s="46">
        <f>T167</f>
        <v>171626.71269255067</v>
      </c>
    </row>
    <row r="168" spans="1:26" ht="82.8">
      <c r="A168" s="349"/>
      <c r="B168" s="352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38"/>
        <v>0</v>
      </c>
      <c r="H168" s="60">
        <v>0</v>
      </c>
      <c r="I168" s="60">
        <v>0</v>
      </c>
      <c r="J168" s="75">
        <f>K168</f>
        <v>34010.129999999997</v>
      </c>
      <c r="K168" s="75">
        <v>34010.129999999997</v>
      </c>
      <c r="L168" s="191" t="s">
        <v>104</v>
      </c>
      <c r="M168" s="191" t="s">
        <v>104</v>
      </c>
      <c r="N168" s="269">
        <f>SUM(O168:R168)</f>
        <v>0</v>
      </c>
      <c r="O168" s="269">
        <f>G168*K168*0.964404559</f>
        <v>0</v>
      </c>
      <c r="P168" s="269"/>
      <c r="Q168" s="269"/>
      <c r="R168" s="269"/>
      <c r="S168" s="269"/>
      <c r="T168" s="46">
        <f>H168*J168</f>
        <v>0</v>
      </c>
      <c r="U168" s="46">
        <f>I168*J168</f>
        <v>0</v>
      </c>
    </row>
    <row r="169" spans="1:26">
      <c r="A169" s="349"/>
      <c r="B169" s="353"/>
      <c r="C169" s="66" t="s">
        <v>106</v>
      </c>
      <c r="D169" s="64"/>
      <c r="E169" s="122">
        <f>E161++E162+E167</f>
        <v>403</v>
      </c>
      <c r="F169" s="122">
        <f>F161++F162+F167</f>
        <v>410</v>
      </c>
      <c r="G169" s="122">
        <f>G161++G162+G167</f>
        <v>405.33333333333337</v>
      </c>
      <c r="H169" s="60">
        <f>H161++H162+H167</f>
        <v>403</v>
      </c>
      <c r="I169" s="60">
        <f>I161++I162+I167</f>
        <v>403</v>
      </c>
      <c r="J169" s="73" t="s">
        <v>104</v>
      </c>
      <c r="K169" s="73" t="s">
        <v>104</v>
      </c>
      <c r="L169" s="192" t="s">
        <v>104</v>
      </c>
      <c r="M169" s="192" t="s">
        <v>104</v>
      </c>
      <c r="N169" s="192">
        <f>SUM(N161:N168)</f>
        <v>23254469.85722648</v>
      </c>
      <c r="O169" s="192">
        <f t="shared" ref="O169:U169" si="43">SUM(O161:O168)</f>
        <v>15283023.175418504</v>
      </c>
      <c r="P169" s="192">
        <f t="shared" si="43"/>
        <v>4245072.606657045</v>
      </c>
      <c r="Q169" s="192"/>
      <c r="R169" s="192">
        <f t="shared" si="43"/>
        <v>3726374.0751509336</v>
      </c>
      <c r="S169" s="192"/>
      <c r="T169" s="192">
        <f t="shared" si="43"/>
        <v>24311200.466220703</v>
      </c>
      <c r="U169" s="192">
        <f t="shared" si="43"/>
        <v>24311200.466220703</v>
      </c>
      <c r="Z169" s="85"/>
    </row>
    <row r="170" spans="1:26" ht="82.8">
      <c r="A170" s="349"/>
      <c r="B170" s="351" t="s">
        <v>239</v>
      </c>
      <c r="C170" s="61" t="s">
        <v>100</v>
      </c>
      <c r="D170" s="62" t="s">
        <v>101</v>
      </c>
      <c r="E170" s="122">
        <v>51</v>
      </c>
      <c r="F170" s="122">
        <v>53</v>
      </c>
      <c r="G170" s="123">
        <f t="shared" si="38"/>
        <v>51.666666666666664</v>
      </c>
      <c r="H170" s="60">
        <v>51</v>
      </c>
      <c r="I170" s="60">
        <v>51</v>
      </c>
      <c r="J170" s="107">
        <f>SUM(K170:M170)</f>
        <v>63576.615289656009</v>
      </c>
      <c r="K170" s="107">
        <f>41105.12+1998.78+806.317225985</f>
        <v>43910.217225985005</v>
      </c>
      <c r="L170" s="278">
        <f>4001.99*2.457553+637.938439901</f>
        <v>10473.040970370999</v>
      </c>
      <c r="M170" s="278">
        <f>7790.73-13.0169697+221.21-3.636364+1198.070427</f>
        <v>9193.3570932999992</v>
      </c>
      <c r="N170" s="269">
        <f>SUM(O170:R170)</f>
        <v>3204036.6067263819</v>
      </c>
      <c r="O170" s="269">
        <f>G170*K170*0.964404559</f>
        <v>2187939.3734367141</v>
      </c>
      <c r="P170" s="269">
        <f>G170*L170</f>
        <v>541107.11680250161</v>
      </c>
      <c r="Q170" s="269"/>
      <c r="R170" s="46">
        <f>G170*M170</f>
        <v>474990.11648716661</v>
      </c>
      <c r="S170" s="46"/>
      <c r="T170" s="46">
        <f>N170+182251.75</f>
        <v>3386288.3567263819</v>
      </c>
      <c r="U170" s="46">
        <f>T170</f>
        <v>3386288.3567263819</v>
      </c>
    </row>
    <row r="171" spans="1:26" ht="96.6">
      <c r="A171" s="349"/>
      <c r="B171" s="352"/>
      <c r="C171" s="61" t="s">
        <v>172</v>
      </c>
      <c r="D171" s="62" t="s">
        <v>101</v>
      </c>
      <c r="E171" s="122">
        <v>53</v>
      </c>
      <c r="F171" s="122">
        <v>52</v>
      </c>
      <c r="G171" s="123">
        <f t="shared" si="38"/>
        <v>52.666666666666664</v>
      </c>
      <c r="H171" s="60">
        <v>53</v>
      </c>
      <c r="I171" s="60">
        <v>53</v>
      </c>
      <c r="J171" s="107">
        <f>SUM(K171:M171)</f>
        <v>105872.06528965601</v>
      </c>
      <c r="K171" s="107">
        <f>83400.57+1998.78+806.317225985</f>
        <v>86205.667225985002</v>
      </c>
      <c r="L171" s="278">
        <f>4001.99*2.457553+637.938439901</f>
        <v>10473.040970370999</v>
      </c>
      <c r="M171" s="278">
        <f>7790.73-13.0169697+221.21-3.636364+1198.070427</f>
        <v>9193.3570932999992</v>
      </c>
      <c r="N171" s="269">
        <f>SUM(O171:R171)</f>
        <v>5414319.5915305177</v>
      </c>
      <c r="O171" s="269">
        <f>G171*K171*0.964404559</f>
        <v>4378555.9601771785</v>
      </c>
      <c r="P171" s="269">
        <f>G171*L171</f>
        <v>551580.1577728726</v>
      </c>
      <c r="Q171" s="269"/>
      <c r="R171" s="46">
        <f>G171*M171</f>
        <v>484183.47358046658</v>
      </c>
      <c r="S171" s="46"/>
      <c r="T171" s="46">
        <f>N171+189398.87+3000</f>
        <v>5606718.4615305178</v>
      </c>
      <c r="U171" s="46">
        <f>T171</f>
        <v>5606718.4615305178</v>
      </c>
    </row>
    <row r="172" spans="1:26" ht="82.8">
      <c r="A172" s="349"/>
      <c r="B172" s="352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59" t="s">
        <v>104</v>
      </c>
      <c r="L172" s="123" t="s">
        <v>104</v>
      </c>
      <c r="M172" s="123" t="s">
        <v>104</v>
      </c>
      <c r="N172" s="267"/>
      <c r="O172" s="267"/>
      <c r="P172" s="123" t="s">
        <v>104</v>
      </c>
      <c r="Q172" s="123"/>
      <c r="R172" s="123" t="s">
        <v>104</v>
      </c>
      <c r="S172" s="123"/>
      <c r="T172" s="46"/>
      <c r="U172" s="46"/>
    </row>
    <row r="173" spans="1:26">
      <c r="A173" s="349"/>
      <c r="B173" s="352"/>
      <c r="C173" s="63" t="s">
        <v>168</v>
      </c>
      <c r="D173" s="64" t="s">
        <v>101</v>
      </c>
      <c r="E173" s="122"/>
      <c r="F173" s="122">
        <v>1</v>
      </c>
      <c r="G173" s="123">
        <f>((E173*8)+(F173*4))/12</f>
        <v>0.33333333333333331</v>
      </c>
      <c r="H173" s="60"/>
      <c r="I173" s="60"/>
      <c r="J173" s="75">
        <f>K173</f>
        <v>23553.439999999999</v>
      </c>
      <c r="K173" s="75">
        <v>23553.439999999999</v>
      </c>
      <c r="L173" s="123" t="s">
        <v>104</v>
      </c>
      <c r="M173" s="123" t="s">
        <v>104</v>
      </c>
      <c r="N173" s="267">
        <f>O173</f>
        <v>7851.1466666666656</v>
      </c>
      <c r="O173" s="267">
        <f>G173*K173</f>
        <v>7851.1466666666656</v>
      </c>
      <c r="P173" s="123" t="s">
        <v>104</v>
      </c>
      <c r="Q173" s="123"/>
      <c r="R173" s="123" t="s">
        <v>104</v>
      </c>
      <c r="S173" s="123"/>
      <c r="T173" s="46">
        <f>H173*K173</f>
        <v>0</v>
      </c>
      <c r="U173" s="46">
        <f>I173*K173</f>
        <v>0</v>
      </c>
    </row>
    <row r="174" spans="1:26" ht="83.4" customHeight="1">
      <c r="A174" s="349"/>
      <c r="B174" s="352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203873.84528965599</v>
      </c>
      <c r="K174" s="75">
        <f>181402.35+1998.78+806.317225985</f>
        <v>184207.447225985</v>
      </c>
      <c r="L174" s="278">
        <f>4001.99*2.457553+637.938439901</f>
        <v>10473.040970370999</v>
      </c>
      <c r="M174" s="278">
        <f>7790.73-13.0169697+221.21-3.636364+1198.070427</f>
        <v>9193.3570932999992</v>
      </c>
      <c r="N174" s="269"/>
      <c r="O174" s="269"/>
      <c r="P174" s="269"/>
      <c r="Q174" s="269"/>
      <c r="R174" s="269"/>
      <c r="S174" s="269"/>
      <c r="T174" s="46">
        <f>H174*J174</f>
        <v>0</v>
      </c>
      <c r="U174" s="46">
        <f>I174*J174</f>
        <v>0</v>
      </c>
    </row>
    <row r="175" spans="1:26">
      <c r="A175" s="349"/>
      <c r="B175" s="353"/>
      <c r="C175" s="66" t="s">
        <v>106</v>
      </c>
      <c r="D175" s="64"/>
      <c r="E175" s="122">
        <f>E170+E174+E171</f>
        <v>104</v>
      </c>
      <c r="F175" s="122">
        <f>F170+F174+F171</f>
        <v>105</v>
      </c>
      <c r="G175" s="122">
        <f>G170+G174+G171</f>
        <v>104.33333333333333</v>
      </c>
      <c r="H175" s="60">
        <f>H170+H174+H171</f>
        <v>104</v>
      </c>
      <c r="I175" s="60">
        <f>I170+I174+I171</f>
        <v>104</v>
      </c>
      <c r="J175" s="73" t="s">
        <v>104</v>
      </c>
      <c r="K175" s="73" t="s">
        <v>104</v>
      </c>
      <c r="L175" s="192" t="s">
        <v>104</v>
      </c>
      <c r="M175" s="192" t="s">
        <v>104</v>
      </c>
      <c r="N175" s="192">
        <f>SUM(N170:N174)</f>
        <v>8626207.3449235652</v>
      </c>
      <c r="O175" s="192">
        <f t="shared" ref="O175:U175" si="44">SUM(O170:O174)</f>
        <v>6574346.4802805595</v>
      </c>
      <c r="P175" s="192">
        <f t="shared" si="44"/>
        <v>1092687.2745753741</v>
      </c>
      <c r="Q175" s="192"/>
      <c r="R175" s="192">
        <f t="shared" si="44"/>
        <v>959173.59006763319</v>
      </c>
      <c r="S175" s="192"/>
      <c r="T175" s="192">
        <f>SUM(T170:T174)</f>
        <v>8993006.8182568997</v>
      </c>
      <c r="U175" s="192">
        <f t="shared" si="44"/>
        <v>8993006.8182568997</v>
      </c>
      <c r="V175" s="85"/>
      <c r="W175" s="85">
        <f>V175-N186</f>
        <v>-55399205.337621219</v>
      </c>
      <c r="Z175" s="85"/>
    </row>
    <row r="176" spans="1:26" ht="102" customHeight="1">
      <c r="A176" s="349"/>
      <c r="B176" s="137" t="s">
        <v>240</v>
      </c>
      <c r="C176" s="61" t="s">
        <v>256</v>
      </c>
      <c r="D176" s="64" t="s">
        <v>101</v>
      </c>
      <c r="E176" s="122">
        <v>1464</v>
      </c>
      <c r="F176" s="122">
        <v>1492</v>
      </c>
      <c r="G176" s="123">
        <f>((E176*8)+(F176*4))/12</f>
        <v>1473.3333333333333</v>
      </c>
      <c r="H176" s="60">
        <v>1439</v>
      </c>
      <c r="I176" s="60">
        <v>1439</v>
      </c>
      <c r="J176" s="75">
        <f>K176</f>
        <v>3978.76</v>
      </c>
      <c r="K176" s="75">
        <v>3978.76</v>
      </c>
      <c r="L176" s="191" t="s">
        <v>104</v>
      </c>
      <c r="M176" s="191" t="s">
        <v>104</v>
      </c>
      <c r="N176" s="269">
        <f>SUM(O176:R176)</f>
        <v>4838582.0027151266</v>
      </c>
      <c r="O176" s="269">
        <f>G176*K176*0.82540928121</f>
        <v>4838582.0027151266</v>
      </c>
      <c r="P176" s="269" t="s">
        <v>104</v>
      </c>
      <c r="Q176" s="269"/>
      <c r="R176" s="269" t="s">
        <v>104</v>
      </c>
      <c r="S176" s="269"/>
      <c r="T176" s="46">
        <f>N176</f>
        <v>4838582.0027151266</v>
      </c>
      <c r="U176" s="46">
        <f t="shared" ref="U176:U181" si="45">T176</f>
        <v>4838582.0027151266</v>
      </c>
      <c r="V176" s="80">
        <v>56750133</v>
      </c>
      <c r="W176" s="85">
        <f>V176-T186</f>
        <v>-2.2774934768676758E-3</v>
      </c>
      <c r="X176" s="189">
        <f>G160+G169+G175</f>
        <v>830.33333333333337</v>
      </c>
    </row>
    <row r="177" spans="1:26" ht="128.4" customHeight="1">
      <c r="A177" s="349"/>
      <c r="B177" s="137"/>
      <c r="C177" s="166" t="s">
        <v>255</v>
      </c>
      <c r="D177" s="167" t="s">
        <v>101</v>
      </c>
      <c r="E177" s="122"/>
      <c r="F177" s="122"/>
      <c r="G177" s="123">
        <v>495</v>
      </c>
      <c r="H177" s="59">
        <v>495</v>
      </c>
      <c r="I177" s="59">
        <v>495</v>
      </c>
      <c r="J177" s="73" t="s">
        <v>104</v>
      </c>
      <c r="K177" s="73" t="s">
        <v>104</v>
      </c>
      <c r="L177" s="192" t="s">
        <v>104</v>
      </c>
      <c r="M177" s="268">
        <v>5421.31</v>
      </c>
      <c r="N177" s="269">
        <f>R177</f>
        <v>2683548.4500000002</v>
      </c>
      <c r="O177" s="269"/>
      <c r="P177" s="269"/>
      <c r="Q177" s="269"/>
      <c r="R177" s="269">
        <f>G177*M177</f>
        <v>2683548.4500000002</v>
      </c>
      <c r="S177" s="269"/>
      <c r="T177" s="46">
        <f>N177</f>
        <v>2683548.4500000002</v>
      </c>
      <c r="U177" s="46">
        <f t="shared" si="45"/>
        <v>2683548.4500000002</v>
      </c>
      <c r="X177" s="85">
        <f>V186-R177</f>
        <v>7633551.8899999997</v>
      </c>
      <c r="Y177" s="80">
        <f>X177/G186</f>
        <v>9193.3583580891209</v>
      </c>
      <c r="Z177" s="80">
        <f>Y177*X176</f>
        <v>7633551.8900000006</v>
      </c>
    </row>
    <row r="178" spans="1:26">
      <c r="A178" s="349"/>
      <c r="B178" s="69"/>
      <c r="C178" s="66" t="s">
        <v>106</v>
      </c>
      <c r="D178" s="69"/>
      <c r="E178" s="122">
        <f>SUM(E176:E176)</f>
        <v>1464</v>
      </c>
      <c r="F178" s="122">
        <f>SUM(F176:F176)</f>
        <v>1492</v>
      </c>
      <c r="G178" s="122">
        <f>SUM(G176:G176)</f>
        <v>1473.3333333333333</v>
      </c>
      <c r="H178" s="60">
        <f>SUM(H176:H176)</f>
        <v>1439</v>
      </c>
      <c r="I178" s="60">
        <f>SUM(I176:I176)</f>
        <v>1439</v>
      </c>
      <c r="J178" s="73" t="s">
        <v>104</v>
      </c>
      <c r="K178" s="73" t="s">
        <v>104</v>
      </c>
      <c r="L178" s="192" t="s">
        <v>104</v>
      </c>
      <c r="M178" s="192">
        <f>SUM(M176:M176)</f>
        <v>0</v>
      </c>
      <c r="N178" s="192">
        <f>SUM(N176:N177)</f>
        <v>7522130.4527151268</v>
      </c>
      <c r="O178" s="192">
        <f>SUM(O176:O176)</f>
        <v>4838582.0027151266</v>
      </c>
      <c r="P178" s="192">
        <f>SUM(P176:P176)</f>
        <v>0</v>
      </c>
      <c r="Q178" s="192"/>
      <c r="R178" s="192">
        <f>SUM(R176:R177)</f>
        <v>2683548.4500000002</v>
      </c>
      <c r="S178" s="192"/>
      <c r="T178" s="192">
        <f>SUM(T176:T177)</f>
        <v>7522130.4527151268</v>
      </c>
      <c r="U178" s="46">
        <f t="shared" si="45"/>
        <v>7522130.4527151268</v>
      </c>
      <c r="Z178" s="85">
        <f>Z177+R177</f>
        <v>10317100.34</v>
      </c>
    </row>
    <row r="179" spans="1:26" hidden="1">
      <c r="A179" s="349"/>
      <c r="B179" s="69" t="s">
        <v>290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73"/>
      <c r="L179" s="192"/>
      <c r="M179" s="192"/>
      <c r="N179" s="192">
        <f>P179</f>
        <v>0</v>
      </c>
      <c r="O179" s="192"/>
      <c r="P179" s="192"/>
      <c r="Q179" s="192"/>
      <c r="R179" s="192"/>
      <c r="S179" s="192"/>
      <c r="T179" s="46">
        <f>P179</f>
        <v>0</v>
      </c>
      <c r="U179" s="46">
        <f t="shared" si="45"/>
        <v>0</v>
      </c>
      <c r="Z179" s="85"/>
    </row>
    <row r="180" spans="1:26" hidden="1">
      <c r="A180" s="349"/>
      <c r="B180" s="89" t="s">
        <v>225</v>
      </c>
      <c r="C180" s="183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73"/>
      <c r="L180" s="192"/>
      <c r="M180" s="192"/>
      <c r="N180" s="192">
        <f>S180</f>
        <v>0</v>
      </c>
      <c r="O180" s="192"/>
      <c r="P180" s="192"/>
      <c r="Q180" s="192"/>
      <c r="R180" s="192"/>
      <c r="S180" s="192"/>
      <c r="T180" s="46">
        <f>S180</f>
        <v>0</v>
      </c>
      <c r="U180" s="46">
        <f t="shared" si="45"/>
        <v>0</v>
      </c>
      <c r="V180" s="85"/>
    </row>
    <row r="181" spans="1:26" hidden="1">
      <c r="A181" s="349"/>
      <c r="B181" s="89" t="s">
        <v>225</v>
      </c>
      <c r="C181" s="183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73"/>
      <c r="L181" s="192"/>
      <c r="M181" s="192"/>
      <c r="N181" s="192">
        <f>S181</f>
        <v>0</v>
      </c>
      <c r="O181" s="192"/>
      <c r="P181" s="192"/>
      <c r="Q181" s="192"/>
      <c r="R181" s="192"/>
      <c r="S181" s="192"/>
      <c r="T181" s="46">
        <f>Q181</f>
        <v>0</v>
      </c>
      <c r="U181" s="46">
        <f t="shared" si="45"/>
        <v>0</v>
      </c>
      <c r="V181" s="85"/>
    </row>
    <row r="182" spans="1:26" hidden="1">
      <c r="A182" s="349"/>
      <c r="B182" s="89" t="s">
        <v>289</v>
      </c>
      <c r="C182" s="183" t="s">
        <v>219</v>
      </c>
      <c r="D182" s="64"/>
      <c r="E182" s="122"/>
      <c r="F182" s="122"/>
      <c r="G182" s="122"/>
      <c r="H182" s="60"/>
      <c r="I182" s="60"/>
      <c r="J182" s="73"/>
      <c r="K182" s="73"/>
      <c r="L182" s="192"/>
      <c r="M182" s="192"/>
      <c r="N182" s="192">
        <f>S182</f>
        <v>0</v>
      </c>
      <c r="O182" s="192"/>
      <c r="P182" s="192"/>
      <c r="Q182" s="192"/>
      <c r="R182" s="192"/>
      <c r="S182" s="192"/>
      <c r="T182" s="46"/>
      <c r="U182" s="46"/>
      <c r="V182" s="85"/>
    </row>
    <row r="183" spans="1:26">
      <c r="A183" s="349"/>
      <c r="B183" s="89" t="s">
        <v>305</v>
      </c>
      <c r="C183" s="183" t="s">
        <v>226</v>
      </c>
      <c r="D183" s="64"/>
      <c r="E183" s="122"/>
      <c r="F183" s="122">
        <v>31</v>
      </c>
      <c r="G183" s="122">
        <v>31</v>
      </c>
      <c r="H183" s="60">
        <v>31</v>
      </c>
      <c r="I183" s="60">
        <v>31</v>
      </c>
      <c r="J183" s="73"/>
      <c r="K183" s="73"/>
      <c r="L183" s="192"/>
      <c r="M183" s="192"/>
      <c r="N183" s="192">
        <f>O183</f>
        <v>1210860</v>
      </c>
      <c r="O183" s="192">
        <v>1210860</v>
      </c>
      <c r="P183" s="192"/>
      <c r="Q183" s="192"/>
      <c r="R183" s="192"/>
      <c r="S183" s="192"/>
      <c r="T183" s="46"/>
      <c r="U183" s="46">
        <f>T183</f>
        <v>0</v>
      </c>
      <c r="V183" s="85"/>
    </row>
    <row r="184" spans="1:26" hidden="1">
      <c r="A184" s="349"/>
      <c r="B184" s="89" t="s">
        <v>258</v>
      </c>
      <c r="C184" s="183" t="s">
        <v>226</v>
      </c>
      <c r="D184" s="64"/>
      <c r="E184" s="122"/>
      <c r="F184" s="122"/>
      <c r="G184" s="122"/>
      <c r="H184" s="60"/>
      <c r="I184" s="60"/>
      <c r="J184" s="73"/>
      <c r="K184" s="73"/>
      <c r="L184" s="192"/>
      <c r="M184" s="192"/>
      <c r="N184" s="192">
        <f>O184</f>
        <v>0</v>
      </c>
      <c r="O184" s="192"/>
      <c r="P184" s="192"/>
      <c r="Q184" s="192"/>
      <c r="R184" s="192"/>
      <c r="S184" s="192"/>
      <c r="T184" s="46">
        <f>O184</f>
        <v>0</v>
      </c>
      <c r="U184" s="46">
        <f>T184</f>
        <v>0</v>
      </c>
    </row>
    <row r="185" spans="1:26" hidden="1">
      <c r="A185" s="349"/>
      <c r="B185" s="89" t="s">
        <v>306</v>
      </c>
      <c r="C185" s="183" t="s">
        <v>226</v>
      </c>
      <c r="D185" s="64"/>
      <c r="E185" s="122"/>
      <c r="F185" s="122"/>
      <c r="G185" s="122"/>
      <c r="H185" s="60"/>
      <c r="I185" s="60"/>
      <c r="J185" s="73"/>
      <c r="K185" s="73"/>
      <c r="L185" s="192"/>
      <c r="M185" s="192"/>
      <c r="N185" s="192">
        <f>P185</f>
        <v>0</v>
      </c>
      <c r="O185" s="192"/>
      <c r="P185" s="192"/>
      <c r="Q185" s="192"/>
      <c r="R185" s="192"/>
      <c r="S185" s="192"/>
      <c r="T185" s="46"/>
      <c r="U185" s="46">
        <f>T185</f>
        <v>0</v>
      </c>
    </row>
    <row r="186" spans="1:26">
      <c r="A186" s="349"/>
      <c r="B186" s="101" t="s">
        <v>112</v>
      </c>
      <c r="C186" s="101"/>
      <c r="D186" s="69"/>
      <c r="E186" s="291">
        <f>E160+E169+E175</f>
        <v>825</v>
      </c>
      <c r="F186" s="297">
        <f>F160+F169+F175</f>
        <v>841</v>
      </c>
      <c r="G186" s="301">
        <f>G160+G169+G175</f>
        <v>830.33333333333337</v>
      </c>
      <c r="H186" s="102">
        <f>H160+H169+H175</f>
        <v>825</v>
      </c>
      <c r="I186" s="102">
        <f>I160+I169+I175</f>
        <v>825</v>
      </c>
      <c r="J186" s="104"/>
      <c r="K186" s="104"/>
      <c r="L186" s="138"/>
      <c r="M186" s="138"/>
      <c r="N186" s="138">
        <f>SUM(O186:S186)</f>
        <v>55399205.337621219</v>
      </c>
      <c r="O186" s="138">
        <f>O160+O169+O175+O178+O179+O180+O181+O183+O185</f>
        <v>36385989.998753063</v>
      </c>
      <c r="P186" s="138">
        <f>P160+P169+P175+P178+P179+P180+P181+P185</f>
        <v>8696114.9990647212</v>
      </c>
      <c r="Q186" s="138">
        <f>Q160+Q169+Q175+Q178+Q179+Q180+Q181</f>
        <v>0</v>
      </c>
      <c r="R186" s="138">
        <f>R160+R169+R175+R178+R179+R180+R181+R182</f>
        <v>10317100.339803433</v>
      </c>
      <c r="S186" s="138">
        <f>S160+S169+S175+S178+S179+S180+S181+S182</f>
        <v>0</v>
      </c>
      <c r="T186" s="138">
        <f>T160+T169+T175+T178+T179+T180+T181+T182+T183+T184+T185</f>
        <v>56750133.002277493</v>
      </c>
      <c r="U186" s="138">
        <f>U160+U169+U175+U178+U179+U180+U181+U182+U183+U184+U185</f>
        <v>56750133.002277493</v>
      </c>
      <c r="V186" s="80">
        <v>10317100.34</v>
      </c>
      <c r="W186" s="85">
        <f>V186-R186</f>
        <v>1.9656680524349213E-4</v>
      </c>
      <c r="X186" s="80">
        <f>W186/G186</f>
        <v>2.3673240294278458E-7</v>
      </c>
      <c r="Z186" s="85">
        <f>N186-T186</f>
        <v>-1350927.664656274</v>
      </c>
    </row>
    <row r="187" spans="1:26" ht="193.2">
      <c r="A187" s="349" t="s">
        <v>119</v>
      </c>
      <c r="B187" s="350" t="s">
        <v>237</v>
      </c>
      <c r="C187" s="61" t="s">
        <v>120</v>
      </c>
      <c r="D187" s="62" t="s">
        <v>121</v>
      </c>
      <c r="E187" s="292" t="s">
        <v>192</v>
      </c>
      <c r="F187" s="292" t="s">
        <v>347</v>
      </c>
      <c r="G187" s="292" t="s">
        <v>348</v>
      </c>
      <c r="H187" s="121" t="s">
        <v>192</v>
      </c>
      <c r="I187" s="121" t="s">
        <v>192</v>
      </c>
      <c r="J187" s="107" t="s">
        <v>323</v>
      </c>
      <c r="K187" s="107" t="s">
        <v>319</v>
      </c>
      <c r="L187" s="278" t="s">
        <v>341</v>
      </c>
      <c r="M187" s="278" t="s">
        <v>360</v>
      </c>
      <c r="N187" s="267">
        <f>SUM(O187:R187)</f>
        <v>3931065.7466386165</v>
      </c>
      <c r="O187" s="267">
        <f>(((668575.57*3/12*8)+(668575.57*2/12*4))*0.964404559+((1351.63*67)/12*8+(1351.63*44)/12*4))+219.2888*59+227.11</f>
        <v>1812768.0698507298</v>
      </c>
      <c r="P187" s="267">
        <f>((4001.99*2.457553*67)/12*8)+((4001.99*2.457553*44)/12*4)+750.4908*59+750.494</f>
        <v>628578.86800788669</v>
      </c>
      <c r="Q187" s="267"/>
      <c r="R187" s="46">
        <f>((12765.64834*67)/12*8)+((12765.64834*67)/12*4)+2+(9469.11*67)-12</f>
        <v>1489718.8087800001</v>
      </c>
      <c r="S187" s="46"/>
      <c r="T187" s="46">
        <f>N187+274261.43-9617-33000+306490.32-253855</f>
        <v>4215345.4966386165</v>
      </c>
      <c r="U187" s="46">
        <f>T187</f>
        <v>4215345.4966386165</v>
      </c>
      <c r="V187" s="80">
        <f>N187/3</f>
        <v>1310355.2488795388</v>
      </c>
      <c r="W187" s="80">
        <f>12300.53*67</f>
        <v>824135.51</v>
      </c>
      <c r="X187" s="80">
        <f>1342.39+12011.78+(4001.99*2.3654)</f>
        <v>22820.477146000001</v>
      </c>
      <c r="Y187" s="80">
        <f>4001.99*2.3654</f>
        <v>9466.307146000001</v>
      </c>
    </row>
    <row r="188" spans="1:26" ht="179.4">
      <c r="A188" s="349"/>
      <c r="B188" s="350"/>
      <c r="C188" s="61" t="s">
        <v>128</v>
      </c>
      <c r="D188" s="62" t="s">
        <v>121</v>
      </c>
      <c r="E188" s="292" t="s">
        <v>291</v>
      </c>
      <c r="F188" s="292" t="s">
        <v>140</v>
      </c>
      <c r="G188" s="292" t="s">
        <v>349</v>
      </c>
      <c r="H188" s="121" t="s">
        <v>291</v>
      </c>
      <c r="I188" s="121" t="s">
        <v>291</v>
      </c>
      <c r="J188" s="107" t="s">
        <v>324</v>
      </c>
      <c r="K188" s="107" t="s">
        <v>320</v>
      </c>
      <c r="L188" s="278" t="s">
        <v>341</v>
      </c>
      <c r="M188" s="278" t="s">
        <v>360</v>
      </c>
      <c r="N188" s="267">
        <f>SUM(O188:R188)</f>
        <v>1732691.6264935858</v>
      </c>
      <c r="O188" s="267">
        <f>(((628912.16*1)/12*8+(628912.16*3)/12*4)*0.964404559+((1351.63*17)/12*8+(1351.63*47)/12*4))+219.2888*27</f>
        <v>1053291.0647908957</v>
      </c>
      <c r="P188" s="267">
        <f>((4001.99*2.457553*17)/12*8)+((4001.99*2.457553*47)/12*4)+(917.45*17)+750.4908*27</f>
        <v>301407.66992269008</v>
      </c>
      <c r="Q188" s="267"/>
      <c r="R188" s="46">
        <f>((12765.64834*17)/12*8)+((12765.64834*17)/12*4)+2+(9469.11*17)</f>
        <v>377992.89178000001</v>
      </c>
      <c r="S188" s="46"/>
      <c r="T188" s="46">
        <f>N188+69588.72</f>
        <v>1802280.3464935857</v>
      </c>
      <c r="U188" s="46">
        <f>T188</f>
        <v>1802280.3464935857</v>
      </c>
      <c r="W188" s="80">
        <f>12300.53*19</f>
        <v>233710.07</v>
      </c>
    </row>
    <row r="189" spans="1:26" ht="82.8">
      <c r="A189" s="349"/>
      <c r="B189" s="350"/>
      <c r="C189" s="63" t="s">
        <v>102</v>
      </c>
      <c r="D189" s="64" t="s">
        <v>101</v>
      </c>
      <c r="E189" s="293"/>
      <c r="F189" s="293"/>
      <c r="G189" s="293"/>
      <c r="H189" s="65"/>
      <c r="I189" s="65"/>
      <c r="J189" s="150" t="s">
        <v>103</v>
      </c>
      <c r="K189" s="150" t="s">
        <v>103</v>
      </c>
      <c r="L189" s="270" t="s">
        <v>103</v>
      </c>
      <c r="M189" s="270" t="s">
        <v>103</v>
      </c>
      <c r="N189" s="267">
        <f t="shared" ref="N189:N194" si="46">SUM(O189:R189)</f>
        <v>0</v>
      </c>
      <c r="O189" s="270" t="s">
        <v>103</v>
      </c>
      <c r="P189" s="270" t="s">
        <v>103</v>
      </c>
      <c r="Q189" s="270"/>
      <c r="R189" s="270" t="s">
        <v>103</v>
      </c>
      <c r="S189" s="270"/>
      <c r="T189" s="46">
        <f t="shared" ref="T189:T194" si="47">N189</f>
        <v>0</v>
      </c>
      <c r="U189" s="46">
        <f t="shared" ref="U189:U194" si="48">T189</f>
        <v>0</v>
      </c>
    </row>
    <row r="190" spans="1:26">
      <c r="A190" s="349"/>
      <c r="B190" s="350"/>
      <c r="C190" s="63" t="s">
        <v>169</v>
      </c>
      <c r="D190" s="64" t="s">
        <v>101</v>
      </c>
      <c r="E190" s="293"/>
      <c r="F190" s="123">
        <v>1</v>
      </c>
      <c r="G190" s="123">
        <f>((E190*8)+(F190*4))/12</f>
        <v>0.33333333333333331</v>
      </c>
      <c r="H190" s="65"/>
      <c r="I190" s="65"/>
      <c r="J190" s="75">
        <f>K190</f>
        <v>83829.91</v>
      </c>
      <c r="K190" s="75">
        <v>83829.91</v>
      </c>
      <c r="L190" s="270"/>
      <c r="M190" s="270"/>
      <c r="N190" s="267"/>
      <c r="O190" s="267">
        <f>G190*K190*0.964404559</f>
        <v>26948.649128186564</v>
      </c>
      <c r="P190" s="270"/>
      <c r="Q190" s="270"/>
      <c r="R190" s="270"/>
      <c r="S190" s="270"/>
      <c r="T190" s="46"/>
      <c r="U190" s="46"/>
    </row>
    <row r="191" spans="1:26">
      <c r="A191" s="349"/>
      <c r="B191" s="350"/>
      <c r="C191" s="63" t="s">
        <v>166</v>
      </c>
      <c r="D191" s="64" t="s">
        <v>101</v>
      </c>
      <c r="E191" s="123">
        <v>5</v>
      </c>
      <c r="F191" s="123">
        <v>6</v>
      </c>
      <c r="G191" s="123">
        <f>((E191*8)+(F191*4))/12</f>
        <v>5.333333333333333</v>
      </c>
      <c r="H191" s="59">
        <v>5</v>
      </c>
      <c r="I191" s="59">
        <v>5</v>
      </c>
      <c r="J191" s="75">
        <f>K191</f>
        <v>80183.77</v>
      </c>
      <c r="K191" s="75">
        <v>80183.77</v>
      </c>
      <c r="L191" s="191"/>
      <c r="M191" s="191"/>
      <c r="N191" s="267">
        <f t="shared" si="46"/>
        <v>412424.49784430629</v>
      </c>
      <c r="O191" s="267">
        <f>G191*K191*0.964404559</f>
        <v>412424.49784430629</v>
      </c>
      <c r="P191" s="267"/>
      <c r="Q191" s="267"/>
      <c r="R191" s="271"/>
      <c r="S191" s="271"/>
      <c r="T191" s="46">
        <f t="shared" si="47"/>
        <v>412424.49784430629</v>
      </c>
      <c r="U191" s="46">
        <f t="shared" si="48"/>
        <v>412424.49784430629</v>
      </c>
    </row>
    <row r="192" spans="1:26">
      <c r="A192" s="349"/>
      <c r="B192" s="350"/>
      <c r="C192" s="63" t="s">
        <v>168</v>
      </c>
      <c r="D192" s="64" t="s">
        <v>101</v>
      </c>
      <c r="E192" s="123">
        <v>1</v>
      </c>
      <c r="F192" s="123"/>
      <c r="G192" s="123">
        <f>((E192*8)+(F192*4))/12</f>
        <v>0.66666666666666663</v>
      </c>
      <c r="H192" s="59">
        <v>1</v>
      </c>
      <c r="I192" s="59">
        <v>1</v>
      </c>
      <c r="J192" s="75">
        <f>K192</f>
        <v>28342.92</v>
      </c>
      <c r="K192" s="75">
        <v>28342.92</v>
      </c>
      <c r="L192" s="191"/>
      <c r="M192" s="191"/>
      <c r="N192" s="267">
        <f t="shared" si="46"/>
        <v>18222.694175581521</v>
      </c>
      <c r="O192" s="267">
        <f>G192*K192*0.964404559</f>
        <v>18222.694175581521</v>
      </c>
      <c r="P192" s="267"/>
      <c r="Q192" s="267"/>
      <c r="R192" s="271"/>
      <c r="S192" s="271"/>
      <c r="T192" s="46">
        <f t="shared" si="47"/>
        <v>18222.694175581521</v>
      </c>
      <c r="U192" s="46">
        <f t="shared" si="48"/>
        <v>18222.694175581521</v>
      </c>
    </row>
    <row r="193" spans="1:24" ht="83.4" customHeight="1">
      <c r="A193" s="349"/>
      <c r="B193" s="350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182586.23880000002</v>
      </c>
      <c r="K193" s="75">
        <f>181015.32+1351.63+219.2888</f>
        <v>182586.23880000002</v>
      </c>
      <c r="L193" s="278" t="s">
        <v>341</v>
      </c>
      <c r="M193" s="278" t="s">
        <v>360</v>
      </c>
      <c r="N193" s="267">
        <f t="shared" si="46"/>
        <v>208909.35277985272</v>
      </c>
      <c r="O193" s="267">
        <f>G193*K193*0.964404559</f>
        <v>176087.00110938272</v>
      </c>
      <c r="P193" s="267">
        <f>G193*4001.99*2.457553+750.4908</f>
        <v>10585.593330469999</v>
      </c>
      <c r="Q193" s="267"/>
      <c r="R193" s="267">
        <f>G193*12765.64834+2+9469.11</f>
        <v>22236.75834</v>
      </c>
      <c r="S193" s="271"/>
      <c r="T193" s="46">
        <f>N193+4093.45</f>
        <v>213002.80277985273</v>
      </c>
      <c r="U193" s="46">
        <f t="shared" si="48"/>
        <v>213002.80277985273</v>
      </c>
    </row>
    <row r="194" spans="1:24" ht="82.8">
      <c r="A194" s="349"/>
      <c r="B194" s="350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25930.91</v>
      </c>
      <c r="K194" s="75">
        <v>25930.91</v>
      </c>
      <c r="L194" s="267" t="s">
        <v>104</v>
      </c>
      <c r="M194" s="267" t="s">
        <v>104</v>
      </c>
      <c r="N194" s="267">
        <f t="shared" si="46"/>
        <v>0</v>
      </c>
      <c r="O194" s="267">
        <f>G194*K194*0.964404559</f>
        <v>0</v>
      </c>
      <c r="P194" s="267" t="s">
        <v>104</v>
      </c>
      <c r="Q194" s="267"/>
      <c r="R194" s="271" t="s">
        <v>104</v>
      </c>
      <c r="S194" s="271"/>
      <c r="T194" s="46">
        <f t="shared" si="47"/>
        <v>0</v>
      </c>
      <c r="U194" s="46">
        <f t="shared" si="48"/>
        <v>0</v>
      </c>
    </row>
    <row r="195" spans="1:24">
      <c r="A195" s="349"/>
      <c r="B195" s="350"/>
      <c r="C195" s="66" t="s">
        <v>106</v>
      </c>
      <c r="D195" s="67"/>
      <c r="E195" s="292" t="s">
        <v>292</v>
      </c>
      <c r="F195" s="292" t="s">
        <v>350</v>
      </c>
      <c r="G195" s="292" t="s">
        <v>351</v>
      </c>
      <c r="H195" s="121" t="s">
        <v>292</v>
      </c>
      <c r="I195" s="121" t="s">
        <v>292</v>
      </c>
      <c r="J195" s="71" t="s">
        <v>104</v>
      </c>
      <c r="K195" s="71" t="s">
        <v>104</v>
      </c>
      <c r="L195" s="267" t="s">
        <v>104</v>
      </c>
      <c r="M195" s="267" t="s">
        <v>104</v>
      </c>
      <c r="N195" s="267">
        <f>SUM(O195:R195)</f>
        <v>6330262.5670601288</v>
      </c>
      <c r="O195" s="267">
        <f>SUM(O187:O194)</f>
        <v>3499741.9768990823</v>
      </c>
      <c r="P195" s="267">
        <f>SUM(P187:P194)</f>
        <v>940572.13126104686</v>
      </c>
      <c r="Q195" s="267"/>
      <c r="R195" s="267">
        <f>SUM(R187:R194)</f>
        <v>1889948.4589</v>
      </c>
      <c r="S195" s="267"/>
      <c r="T195" s="267">
        <f>SUM(T187:T194)</f>
        <v>6661275.8379319422</v>
      </c>
      <c r="U195" s="267">
        <f>SUM(U187:U194)</f>
        <v>6661275.8379319422</v>
      </c>
    </row>
    <row r="196" spans="1:24" ht="193.2">
      <c r="A196" s="349"/>
      <c r="B196" s="350" t="s">
        <v>238</v>
      </c>
      <c r="C196" s="61" t="s">
        <v>120</v>
      </c>
      <c r="D196" s="62" t="s">
        <v>121</v>
      </c>
      <c r="E196" s="292" t="s">
        <v>293</v>
      </c>
      <c r="F196" s="292" t="s">
        <v>122</v>
      </c>
      <c r="G196" s="292" t="s">
        <v>353</v>
      </c>
      <c r="H196" s="121" t="s">
        <v>293</v>
      </c>
      <c r="I196" s="121" t="s">
        <v>293</v>
      </c>
      <c r="J196" s="107" t="s">
        <v>356</v>
      </c>
      <c r="K196" s="107" t="s">
        <v>357</v>
      </c>
      <c r="L196" s="278" t="s">
        <v>341</v>
      </c>
      <c r="M196" s="278" t="s">
        <v>360</v>
      </c>
      <c r="N196" s="267">
        <f>SUM(O196:R196)</f>
        <v>4943744.5543403532</v>
      </c>
      <c r="O196" s="267">
        <f>(((993246.1*3)/12*8+(993246.1*2)/12*4)*0.964404559+((1649.65*72)/12*8+(1649.65*46)/12*4))+219.2888*63</f>
        <v>2672669.2065305864</v>
      </c>
      <c r="P196" s="267">
        <f>((4001.99*2.457553*72)/12*8)+((4001.99*2.457553*46)/12*4)+750.4908*63</f>
        <v>670170.74732976663</v>
      </c>
      <c r="Q196" s="267"/>
      <c r="R196" s="267">
        <f>((12765.64834*72)/12*8)+((12765.64834*72)/12*4)+2+(9469.11*72)</f>
        <v>1600904.60048</v>
      </c>
      <c r="S196" s="267"/>
      <c r="T196" s="46">
        <f>N196+294728.7</f>
        <v>5238473.2543403534</v>
      </c>
      <c r="U196" s="46">
        <f>T196</f>
        <v>5238473.2543403534</v>
      </c>
      <c r="V196" s="124"/>
      <c r="W196" s="80">
        <f>12300.53*86</f>
        <v>1057845.58</v>
      </c>
    </row>
    <row r="197" spans="1:24" ht="179.4">
      <c r="A197" s="349"/>
      <c r="B197" s="350"/>
      <c r="C197" s="61" t="s">
        <v>128</v>
      </c>
      <c r="D197" s="62" t="s">
        <v>121</v>
      </c>
      <c r="E197" s="203" t="s">
        <v>294</v>
      </c>
      <c r="F197" s="203" t="s">
        <v>352</v>
      </c>
      <c r="G197" s="203" t="s">
        <v>354</v>
      </c>
      <c r="H197" s="79" t="s">
        <v>294</v>
      </c>
      <c r="I197" s="79" t="s">
        <v>294</v>
      </c>
      <c r="J197" s="107" t="s">
        <v>325</v>
      </c>
      <c r="K197" s="107" t="s">
        <v>321</v>
      </c>
      <c r="L197" s="278" t="s">
        <v>341</v>
      </c>
      <c r="M197" s="278" t="s">
        <v>360</v>
      </c>
      <c r="N197" s="267">
        <f>SUM(O197:R197)</f>
        <v>4132019.695460978</v>
      </c>
      <c r="O197" s="267">
        <f>(((787313.28*3)/12*8+(787313.28*4)/12*4)*0.964404559+((1649.65*44)/12*8+(1649.65*62)/12*4))+219.2888*50</f>
        <v>2624408.6619774778</v>
      </c>
      <c r="P197" s="267">
        <f>((4001.99*2.457553*44)/12*8)+((4001.99*2.457553*62)/12*4)+750.4908*50</f>
        <v>529279.6665235</v>
      </c>
      <c r="Q197" s="267"/>
      <c r="R197" s="267">
        <f>((12765.64834*44)/12*8)+((12765.64834*44)/12*4)+2+(9469.11*44)</f>
        <v>978331.36696000001</v>
      </c>
      <c r="S197" s="267"/>
      <c r="T197" s="46">
        <f>N197+180111.98</f>
        <v>4312131.6754609784</v>
      </c>
      <c r="U197" s="46">
        <f>T197</f>
        <v>4312131.6754609784</v>
      </c>
      <c r="W197" s="80">
        <f>12300.53*29</f>
        <v>356715.37</v>
      </c>
      <c r="X197" s="80">
        <f>1638.38+12011.78+(4001.99*2.3654)</f>
        <v>23116.467146000003</v>
      </c>
    </row>
    <row r="198" spans="1:24" ht="82.8">
      <c r="A198" s="349"/>
      <c r="B198" s="350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59" t="s">
        <v>104</v>
      </c>
      <c r="L198" s="123" t="s">
        <v>104</v>
      </c>
      <c r="M198" s="123" t="s">
        <v>104</v>
      </c>
      <c r="N198" s="267"/>
      <c r="O198" s="267"/>
      <c r="P198" s="123" t="s">
        <v>104</v>
      </c>
      <c r="Q198" s="123"/>
      <c r="R198" s="123" t="s">
        <v>104</v>
      </c>
      <c r="S198" s="123"/>
      <c r="T198" s="46"/>
      <c r="U198" s="46"/>
    </row>
    <row r="199" spans="1:24">
      <c r="A199" s="349"/>
      <c r="B199" s="186"/>
      <c r="C199" s="63" t="s">
        <v>165</v>
      </c>
      <c r="D199" s="64"/>
      <c r="E199" s="122">
        <v>1</v>
      </c>
      <c r="F199" s="122"/>
      <c r="G199" s="123">
        <f>((E199*8)+(F199*4))/12</f>
        <v>0.66666666666666663</v>
      </c>
      <c r="H199" s="60">
        <v>1</v>
      </c>
      <c r="I199" s="60">
        <v>1</v>
      </c>
      <c r="J199" s="75">
        <f>K199</f>
        <v>112063.65</v>
      </c>
      <c r="K199" s="75">
        <v>112063.65</v>
      </c>
      <c r="L199" s="123" t="s">
        <v>104</v>
      </c>
      <c r="M199" s="123" t="s">
        <v>104</v>
      </c>
      <c r="N199" s="267">
        <f>O199</f>
        <v>72049.796638786895</v>
      </c>
      <c r="O199" s="269">
        <f>G199*K199*0.964404559</f>
        <v>72049.796638786895</v>
      </c>
      <c r="P199" s="123" t="s">
        <v>104</v>
      </c>
      <c r="Q199" s="123"/>
      <c r="R199" s="123" t="s">
        <v>104</v>
      </c>
      <c r="S199" s="123"/>
      <c r="T199" s="46">
        <f>H199*K199</f>
        <v>112063.65</v>
      </c>
      <c r="U199" s="46">
        <f>I199*K199</f>
        <v>112063.65</v>
      </c>
    </row>
    <row r="200" spans="1:24">
      <c r="A200" s="349"/>
      <c r="B200" s="186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28342.92</v>
      </c>
      <c r="K200" s="75">
        <v>28342.92</v>
      </c>
      <c r="L200" s="279" t="s">
        <v>104</v>
      </c>
      <c r="M200" s="123" t="s">
        <v>104</v>
      </c>
      <c r="N200" s="267">
        <f>O200</f>
        <v>27334.041263372277</v>
      </c>
      <c r="O200" s="269">
        <f>G200*K200*0.964404559</f>
        <v>27334.041263372277</v>
      </c>
      <c r="P200" s="123" t="s">
        <v>104</v>
      </c>
      <c r="Q200" s="123"/>
      <c r="R200" s="123" t="s">
        <v>104</v>
      </c>
      <c r="S200" s="123"/>
      <c r="T200" s="46">
        <f>H200*K200</f>
        <v>28342.92</v>
      </c>
      <c r="U200" s="46">
        <f>I200*K200</f>
        <v>28342.92</v>
      </c>
    </row>
    <row r="201" spans="1:24" ht="82.8">
      <c r="A201" s="349"/>
      <c r="B201" s="186"/>
      <c r="C201" s="76" t="s">
        <v>173</v>
      </c>
      <c r="D201" s="64" t="s">
        <v>101</v>
      </c>
      <c r="E201" s="203"/>
      <c r="F201" s="203"/>
      <c r="G201" s="123"/>
      <c r="H201" s="79"/>
      <c r="I201" s="79"/>
      <c r="J201" s="75">
        <f>SUM(K201:M201)</f>
        <v>230021.4</v>
      </c>
      <c r="K201" s="75">
        <f>225910.62+1622.42+2488.36</f>
        <v>230021.4</v>
      </c>
      <c r="L201" s="278" t="s">
        <v>341</v>
      </c>
      <c r="M201" s="278" t="s">
        <v>360</v>
      </c>
      <c r="N201" s="269">
        <f>SUM(O201:R201)</f>
        <v>0</v>
      </c>
      <c r="O201" s="269">
        <f>G201*K201</f>
        <v>0</v>
      </c>
      <c r="P201" s="269">
        <f>G201*4001.99*2.3654</f>
        <v>0</v>
      </c>
      <c r="Q201" s="269"/>
      <c r="R201" s="269"/>
      <c r="S201" s="269"/>
      <c r="T201" s="46">
        <f>N201</f>
        <v>0</v>
      </c>
      <c r="U201" s="46">
        <f>T201</f>
        <v>0</v>
      </c>
    </row>
    <row r="202" spans="1:24" ht="82.8">
      <c r="A202" s="349"/>
      <c r="B202" s="186"/>
      <c r="C202" s="61" t="s">
        <v>174</v>
      </c>
      <c r="D202" s="64" t="s">
        <v>101</v>
      </c>
      <c r="E202" s="203">
        <v>3</v>
      </c>
      <c r="F202" s="203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41057.29</v>
      </c>
      <c r="K202" s="75">
        <f>41057.29</f>
        <v>41057.29</v>
      </c>
      <c r="L202" s="192"/>
      <c r="M202" s="192"/>
      <c r="N202" s="269">
        <f>O202</f>
        <v>118787.51296855533</v>
      </c>
      <c r="O202" s="269">
        <f>G202*K202*0.964404559</f>
        <v>118787.51296855533</v>
      </c>
      <c r="P202" s="269"/>
      <c r="Q202" s="269"/>
      <c r="R202" s="269"/>
      <c r="S202" s="269"/>
      <c r="T202" s="46">
        <f>H202*K202</f>
        <v>123171.87</v>
      </c>
      <c r="U202" s="46">
        <f>I202*K202</f>
        <v>123171.87</v>
      </c>
    </row>
    <row r="203" spans="1:24">
      <c r="A203" s="349"/>
      <c r="B203" s="186"/>
      <c r="C203" s="66" t="s">
        <v>106</v>
      </c>
      <c r="D203" s="64"/>
      <c r="E203" s="294" t="s">
        <v>202</v>
      </c>
      <c r="F203" s="294" t="s">
        <v>355</v>
      </c>
      <c r="G203" s="294" t="s">
        <v>145</v>
      </c>
      <c r="H203" s="77" t="s">
        <v>202</v>
      </c>
      <c r="I203" s="77" t="s">
        <v>202</v>
      </c>
      <c r="J203" s="73" t="s">
        <v>104</v>
      </c>
      <c r="K203" s="73" t="s">
        <v>104</v>
      </c>
      <c r="L203" s="192" t="s">
        <v>104</v>
      </c>
      <c r="M203" s="192" t="s">
        <v>104</v>
      </c>
      <c r="N203" s="192">
        <f>SUM(O203:R203)</f>
        <v>9293935.6006720457</v>
      </c>
      <c r="O203" s="192">
        <f>SUM(O196:O202)</f>
        <v>5515249.2193787787</v>
      </c>
      <c r="P203" s="192">
        <f>SUM(P196:P202)</f>
        <v>1199450.4138532667</v>
      </c>
      <c r="Q203" s="192"/>
      <c r="R203" s="192">
        <f>SUM(R196:R202)</f>
        <v>2579235.9674399998</v>
      </c>
      <c r="S203" s="192"/>
      <c r="T203" s="267">
        <f>SUM(T196:T202)</f>
        <v>9814183.3698013313</v>
      </c>
      <c r="U203" s="192">
        <f>T203</f>
        <v>9814183.3698013313</v>
      </c>
    </row>
    <row r="204" spans="1:24" ht="179.4">
      <c r="A204" s="349"/>
      <c r="B204" s="187" t="s">
        <v>239</v>
      </c>
      <c r="C204" s="61" t="s">
        <v>128</v>
      </c>
      <c r="D204" s="62" t="s">
        <v>121</v>
      </c>
      <c r="E204" s="292" t="s">
        <v>149</v>
      </c>
      <c r="F204" s="292" t="s">
        <v>358</v>
      </c>
      <c r="G204" s="292" t="s">
        <v>149</v>
      </c>
      <c r="H204" s="121" t="s">
        <v>149</v>
      </c>
      <c r="I204" s="121" t="s">
        <v>149</v>
      </c>
      <c r="J204" s="107" t="s">
        <v>326</v>
      </c>
      <c r="K204" s="107" t="s">
        <v>322</v>
      </c>
      <c r="L204" s="278" t="s">
        <v>341</v>
      </c>
      <c r="M204" s="278" t="s">
        <v>360</v>
      </c>
      <c r="N204" s="269">
        <f>SUM(O204:R204)</f>
        <v>2222015.5591523638</v>
      </c>
      <c r="O204" s="267">
        <f>(((841148.96*2)/12*8+(841148.96*2)/12*4)*0.964404559+((1998.78*17)/12*8+(1998.78*18)/12*4))+219.2888*17</f>
        <v>1660789.2132442172</v>
      </c>
      <c r="P204" s="269">
        <f>((17*4001.99*2.457553)/12*8)+((18*4001.99*2.457553)/12*4)+750.4908*17</f>
        <v>183233.45412814664</v>
      </c>
      <c r="Q204" s="269"/>
      <c r="R204" s="46">
        <f>12765.64834*17+2+(9469.11*17)</f>
        <v>377992.89178000001</v>
      </c>
      <c r="S204" s="46"/>
      <c r="T204" s="46">
        <f>N204+69588.72</f>
        <v>2291604.279152364</v>
      </c>
      <c r="U204" s="46">
        <f>T204</f>
        <v>2291604.279152364</v>
      </c>
    </row>
    <row r="205" spans="1:24" ht="82.8">
      <c r="A205" s="349"/>
      <c r="B205" s="186"/>
      <c r="C205" s="63" t="s">
        <v>163</v>
      </c>
      <c r="D205" s="64" t="s">
        <v>101</v>
      </c>
      <c r="E205" s="292"/>
      <c r="F205" s="292"/>
      <c r="G205" s="292"/>
      <c r="H205" s="121"/>
      <c r="I205" s="121"/>
      <c r="J205" s="107"/>
      <c r="K205" s="107"/>
      <c r="L205" s="278"/>
      <c r="M205" s="278"/>
      <c r="N205" s="269"/>
      <c r="O205" s="267"/>
      <c r="P205" s="269"/>
      <c r="Q205" s="269"/>
      <c r="R205" s="46"/>
      <c r="S205" s="46"/>
      <c r="T205" s="46"/>
      <c r="U205" s="46"/>
    </row>
    <row r="206" spans="1:24">
      <c r="A206" s="349"/>
      <c r="B206" s="186"/>
      <c r="C206" s="63" t="s">
        <v>165</v>
      </c>
      <c r="D206" s="64" t="s">
        <v>101</v>
      </c>
      <c r="E206" s="292"/>
      <c r="F206" s="292">
        <v>1</v>
      </c>
      <c r="G206" s="123">
        <f>((E206*8)+(F206*4))/12</f>
        <v>0.33333333333333331</v>
      </c>
      <c r="H206" s="121"/>
      <c r="I206" s="121"/>
      <c r="J206" s="107">
        <f>K206</f>
        <v>112063.65</v>
      </c>
      <c r="K206" s="107">
        <v>112063.65</v>
      </c>
      <c r="L206" s="278"/>
      <c r="M206" s="278"/>
      <c r="N206" s="269">
        <f>O206</f>
        <v>36024.898319393447</v>
      </c>
      <c r="O206" s="267">
        <f>K206*G206*0.964404559</f>
        <v>36024.898319393447</v>
      </c>
      <c r="P206" s="269"/>
      <c r="Q206" s="269"/>
      <c r="R206" s="46"/>
      <c r="S206" s="46"/>
      <c r="T206" s="46">
        <f>G206*K206</f>
        <v>37354.549999999996</v>
      </c>
      <c r="U206" s="46">
        <f>T206</f>
        <v>37354.549999999996</v>
      </c>
    </row>
    <row r="207" spans="1:24">
      <c r="A207" s="349"/>
      <c r="B207" s="186"/>
      <c r="C207" s="63" t="s">
        <v>168</v>
      </c>
      <c r="D207" s="64" t="s">
        <v>101</v>
      </c>
      <c r="E207" s="292">
        <v>1</v>
      </c>
      <c r="F207" s="292"/>
      <c r="G207" s="123">
        <f>((E207*8)+(F207*4))/12</f>
        <v>0.66666666666666663</v>
      </c>
      <c r="H207" s="121">
        <v>1</v>
      </c>
      <c r="I207" s="121">
        <v>1</v>
      </c>
      <c r="J207" s="107">
        <f>K207</f>
        <v>28342.92</v>
      </c>
      <c r="K207" s="107">
        <v>28342.92</v>
      </c>
      <c r="L207" s="278"/>
      <c r="M207" s="278"/>
      <c r="N207" s="269">
        <f>O207</f>
        <v>18222.694175581521</v>
      </c>
      <c r="O207" s="267">
        <f>K207*G207*0.964404559</f>
        <v>18222.694175581521</v>
      </c>
      <c r="P207" s="269"/>
      <c r="Q207" s="269"/>
      <c r="R207" s="46"/>
      <c r="S207" s="46"/>
      <c r="T207" s="46">
        <f>G207*K207</f>
        <v>18895.28</v>
      </c>
      <c r="U207" s="46">
        <f>T207</f>
        <v>18895.28</v>
      </c>
    </row>
    <row r="208" spans="1:24">
      <c r="A208" s="349"/>
      <c r="B208" s="186"/>
      <c r="C208" s="66" t="s">
        <v>106</v>
      </c>
      <c r="D208" s="64"/>
      <c r="E208" s="292" t="str">
        <f>E204</f>
        <v>2\17</v>
      </c>
      <c r="F208" s="292" t="str">
        <f>F204</f>
        <v>2\18</v>
      </c>
      <c r="G208" s="292" t="str">
        <f>G204</f>
        <v>2\17</v>
      </c>
      <c r="H208" s="121" t="str">
        <f>H204</f>
        <v>2\17</v>
      </c>
      <c r="I208" s="121" t="str">
        <f>I204</f>
        <v>2\17</v>
      </c>
      <c r="J208" s="73" t="s">
        <v>104</v>
      </c>
      <c r="K208" s="73" t="s">
        <v>104</v>
      </c>
      <c r="L208" s="192" t="s">
        <v>104</v>
      </c>
      <c r="M208" s="192" t="s">
        <v>104</v>
      </c>
      <c r="N208" s="192">
        <f>SUM(N204:N207)</f>
        <v>2276263.1516473386</v>
      </c>
      <c r="O208" s="192">
        <f>SUM(O204:O207)</f>
        <v>1715036.8057391921</v>
      </c>
      <c r="P208" s="192">
        <f>SUM(P204:P207)</f>
        <v>183233.45412814664</v>
      </c>
      <c r="Q208" s="192"/>
      <c r="R208" s="192">
        <f>SUM(R204:R207)</f>
        <v>377992.89178000001</v>
      </c>
      <c r="S208" s="192"/>
      <c r="T208" s="192">
        <f>SUM(T204:T207)</f>
        <v>2347854.1091523636</v>
      </c>
      <c r="U208" s="192">
        <f>SUM(U204:U207)</f>
        <v>2347854.1091523636</v>
      </c>
    </row>
    <row r="209" spans="1:24" ht="102" customHeight="1">
      <c r="A209" s="349"/>
      <c r="B209" s="137" t="s">
        <v>240</v>
      </c>
      <c r="C209" s="61" t="s">
        <v>186</v>
      </c>
      <c r="D209" s="64" t="s">
        <v>101</v>
      </c>
      <c r="E209" s="122">
        <v>309</v>
      </c>
      <c r="F209" s="122">
        <v>439</v>
      </c>
      <c r="G209" s="122">
        <v>299</v>
      </c>
      <c r="H209" s="60">
        <v>299</v>
      </c>
      <c r="I209" s="60">
        <v>299</v>
      </c>
      <c r="J209" s="75">
        <f>K209</f>
        <v>4982.75</v>
      </c>
      <c r="K209" s="75">
        <v>4982.75</v>
      </c>
      <c r="L209" s="191" t="s">
        <v>104</v>
      </c>
      <c r="M209" s="191" t="s">
        <v>104</v>
      </c>
      <c r="N209" s="269">
        <f>SUM(O209:R209)</f>
        <v>1495846.9999971925</v>
      </c>
      <c r="O209" s="269">
        <f>K209*G209*1.00403046027</f>
        <v>1495846.9999971925</v>
      </c>
      <c r="P209" s="269" t="s">
        <v>104</v>
      </c>
      <c r="Q209" s="269"/>
      <c r="R209" s="269" t="s">
        <v>104</v>
      </c>
      <c r="S209" s="269"/>
      <c r="T209" s="46">
        <f>N209</f>
        <v>1495846.9999971925</v>
      </c>
      <c r="U209" s="46">
        <f t="shared" ref="U209:U216" si="49">T209</f>
        <v>1495846.9999971925</v>
      </c>
      <c r="V209" s="80">
        <v>20319160.32</v>
      </c>
      <c r="W209" s="85">
        <f>T218-V209</f>
        <v>-3.1171739101409912E-3</v>
      </c>
    </row>
    <row r="210" spans="1:24">
      <c r="A210" s="349"/>
      <c r="B210" s="69"/>
      <c r="C210" s="66" t="s">
        <v>106</v>
      </c>
      <c r="D210" s="69"/>
      <c r="E210" s="122">
        <f>SUM(E209:E209)</f>
        <v>309</v>
      </c>
      <c r="F210" s="122">
        <f>SUM(F209:F209)</f>
        <v>439</v>
      </c>
      <c r="G210" s="122">
        <f>SUM(G209:G209)</f>
        <v>299</v>
      </c>
      <c r="H210" s="60">
        <f>SUM(H209:H209)</f>
        <v>299</v>
      </c>
      <c r="I210" s="60">
        <f>SUM(I209:I209)</f>
        <v>299</v>
      </c>
      <c r="J210" s="74" t="s">
        <v>104</v>
      </c>
      <c r="K210" s="74" t="s">
        <v>104</v>
      </c>
      <c r="L210" s="192" t="s">
        <v>104</v>
      </c>
      <c r="M210" s="192">
        <f t="shared" ref="M210:R210" si="50">SUM(M209:M209)</f>
        <v>0</v>
      </c>
      <c r="N210" s="192">
        <f t="shared" si="50"/>
        <v>1495846.9999971925</v>
      </c>
      <c r="O210" s="192">
        <f t="shared" si="50"/>
        <v>1495846.9999971925</v>
      </c>
      <c r="P210" s="192">
        <f t="shared" si="50"/>
        <v>0</v>
      </c>
      <c r="Q210" s="192"/>
      <c r="R210" s="192">
        <f t="shared" si="50"/>
        <v>0</v>
      </c>
      <c r="S210" s="192"/>
      <c r="T210" s="192">
        <f>N210</f>
        <v>1495846.9999971925</v>
      </c>
      <c r="U210" s="46">
        <f t="shared" si="49"/>
        <v>1495846.9999971925</v>
      </c>
    </row>
    <row r="211" spans="1:24" hidden="1">
      <c r="A211" s="349"/>
      <c r="B211" s="69" t="s">
        <v>290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74"/>
      <c r="L211" s="192"/>
      <c r="M211" s="192"/>
      <c r="N211" s="192">
        <f>P211</f>
        <v>0</v>
      </c>
      <c r="O211" s="192"/>
      <c r="P211" s="192"/>
      <c r="Q211" s="192"/>
      <c r="R211" s="192"/>
      <c r="S211" s="192"/>
      <c r="T211" s="192">
        <f>P211</f>
        <v>0</v>
      </c>
      <c r="U211" s="192">
        <f t="shared" si="49"/>
        <v>0</v>
      </c>
    </row>
    <row r="212" spans="1:24" hidden="1">
      <c r="A212" s="349"/>
      <c r="B212" s="89" t="s">
        <v>225</v>
      </c>
      <c r="C212" s="183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74"/>
      <c r="L212" s="192"/>
      <c r="M212" s="192"/>
      <c r="N212" s="192">
        <f>S212</f>
        <v>0</v>
      </c>
      <c r="O212" s="192"/>
      <c r="P212" s="192"/>
      <c r="Q212" s="192"/>
      <c r="R212" s="192"/>
      <c r="S212" s="192"/>
      <c r="T212" s="192">
        <f>S212</f>
        <v>0</v>
      </c>
      <c r="U212" s="192">
        <f t="shared" si="49"/>
        <v>0</v>
      </c>
    </row>
    <row r="213" spans="1:24" hidden="1">
      <c r="A213" s="349"/>
      <c r="B213" s="89" t="s">
        <v>225</v>
      </c>
      <c r="C213" s="183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74"/>
      <c r="L213" s="192"/>
      <c r="M213" s="192"/>
      <c r="N213" s="192">
        <f>Q213</f>
        <v>0</v>
      </c>
      <c r="O213" s="192"/>
      <c r="P213" s="192"/>
      <c r="Q213" s="192"/>
      <c r="R213" s="192"/>
      <c r="S213" s="192"/>
      <c r="T213" s="192"/>
      <c r="U213" s="192"/>
    </row>
    <row r="214" spans="1:24" hidden="1">
      <c r="A214" s="349"/>
      <c r="B214" s="89" t="s">
        <v>289</v>
      </c>
      <c r="C214" s="183" t="s">
        <v>219</v>
      </c>
      <c r="D214" s="64"/>
      <c r="E214" s="122"/>
      <c r="F214" s="122"/>
      <c r="G214" s="122"/>
      <c r="H214" s="60"/>
      <c r="I214" s="60"/>
      <c r="J214" s="74"/>
      <c r="K214" s="74"/>
      <c r="L214" s="192"/>
      <c r="M214" s="192"/>
      <c r="N214" s="192">
        <f>S214</f>
        <v>0</v>
      </c>
      <c r="O214" s="192"/>
      <c r="P214" s="192"/>
      <c r="Q214" s="192"/>
      <c r="R214" s="192"/>
      <c r="S214" s="192"/>
      <c r="T214" s="192"/>
      <c r="U214" s="192"/>
    </row>
    <row r="215" spans="1:24">
      <c r="A215" s="349"/>
      <c r="B215" s="89" t="s">
        <v>305</v>
      </c>
      <c r="C215" s="183" t="s">
        <v>226</v>
      </c>
      <c r="D215" s="64"/>
      <c r="E215" s="122"/>
      <c r="F215" s="122">
        <v>13</v>
      </c>
      <c r="G215" s="122">
        <v>13</v>
      </c>
      <c r="H215" s="60">
        <v>13</v>
      </c>
      <c r="I215" s="60">
        <v>13</v>
      </c>
      <c r="J215" s="74"/>
      <c r="K215" s="74"/>
      <c r="L215" s="192"/>
      <c r="M215" s="192"/>
      <c r="N215" s="192">
        <f>O215</f>
        <v>507780</v>
      </c>
      <c r="O215" s="192">
        <v>507780</v>
      </c>
      <c r="P215" s="192"/>
      <c r="Q215" s="192"/>
      <c r="R215" s="192"/>
      <c r="S215" s="192"/>
      <c r="T215" s="192"/>
      <c r="U215" s="192">
        <f>T215</f>
        <v>0</v>
      </c>
    </row>
    <row r="216" spans="1:24" hidden="1">
      <c r="A216" s="349"/>
      <c r="B216" s="89" t="s">
        <v>258</v>
      </c>
      <c r="C216" s="183" t="s">
        <v>226</v>
      </c>
      <c r="D216" s="64"/>
      <c r="E216" s="122"/>
      <c r="F216" s="122"/>
      <c r="G216" s="122"/>
      <c r="H216" s="60"/>
      <c r="I216" s="60"/>
      <c r="J216" s="74"/>
      <c r="K216" s="74"/>
      <c r="L216" s="192"/>
      <c r="M216" s="192"/>
      <c r="N216" s="192">
        <f>O216</f>
        <v>0</v>
      </c>
      <c r="O216" s="192"/>
      <c r="P216" s="192"/>
      <c r="Q216" s="192"/>
      <c r="R216" s="192"/>
      <c r="S216" s="192"/>
      <c r="T216" s="192">
        <f>O216</f>
        <v>0</v>
      </c>
      <c r="U216" s="192">
        <f t="shared" si="49"/>
        <v>0</v>
      </c>
    </row>
    <row r="217" spans="1:24" hidden="1">
      <c r="A217" s="349"/>
      <c r="B217" s="89" t="s">
        <v>306</v>
      </c>
      <c r="C217" s="183" t="s">
        <v>226</v>
      </c>
      <c r="D217" s="64"/>
      <c r="E217" s="122"/>
      <c r="F217" s="122"/>
      <c r="G217" s="122"/>
      <c r="H217" s="60"/>
      <c r="I217" s="60"/>
      <c r="J217" s="74"/>
      <c r="K217" s="74"/>
      <c r="L217" s="192"/>
      <c r="M217" s="192"/>
      <c r="N217" s="192">
        <f>P217</f>
        <v>0</v>
      </c>
      <c r="O217" s="192"/>
      <c r="P217" s="192"/>
      <c r="Q217" s="192"/>
      <c r="R217" s="192"/>
      <c r="S217" s="192"/>
      <c r="T217" s="192"/>
      <c r="U217" s="192">
        <f>T217</f>
        <v>0</v>
      </c>
    </row>
    <row r="218" spans="1:24">
      <c r="A218" s="349"/>
      <c r="B218" s="101" t="s">
        <v>112</v>
      </c>
      <c r="C218" s="101"/>
      <c r="D218" s="69"/>
      <c r="E218" s="291">
        <v>218</v>
      </c>
      <c r="F218" s="297">
        <v>218</v>
      </c>
      <c r="G218" s="291">
        <f>85+116+17</f>
        <v>218</v>
      </c>
      <c r="H218" s="102">
        <f>85+116+17</f>
        <v>218</v>
      </c>
      <c r="I218" s="102">
        <f>85+116+17</f>
        <v>218</v>
      </c>
      <c r="J218" s="103"/>
      <c r="K218" s="103"/>
      <c r="L218" s="138"/>
      <c r="M218" s="138"/>
      <c r="N218" s="138">
        <f>SUM(O218:S218)</f>
        <v>19904088.319376707</v>
      </c>
      <c r="O218" s="138">
        <f>O195+O203+O208+O210+O215+O216</f>
        <v>12733655.002014246</v>
      </c>
      <c r="P218" s="138">
        <f>P195+P203+P208+P210+P211+P212+P213+P217</f>
        <v>2323255.9992424604</v>
      </c>
      <c r="Q218" s="138">
        <f>Q195+Q203+Q208+Q210+Q211+Q212+Q213</f>
        <v>0</v>
      </c>
      <c r="R218" s="138">
        <f>R195+R203+R208+R210+R211+R212+R213+R214</f>
        <v>4847177.31812</v>
      </c>
      <c r="S218" s="138">
        <f>S195+S203+S208+S210+S211+S212+S213+S214</f>
        <v>0</v>
      </c>
      <c r="T218" s="138">
        <f>T195+T203+T208+T210+T211+T212+T213+T214+T215+T216+T217</f>
        <v>20319160.316882826</v>
      </c>
      <c r="U218" s="138">
        <f>U195+U203+U208+U210+U211+U212+U213+U214+U215+U216+U217</f>
        <v>20319160.316882826</v>
      </c>
      <c r="V218" s="80">
        <v>4847177.32</v>
      </c>
      <c r="W218" s="85">
        <f>V218-R218</f>
        <v>1.8800003454089165E-3</v>
      </c>
      <c r="X218" s="80">
        <f>W218/I218</f>
        <v>8.6238547954537447E-6</v>
      </c>
    </row>
    <row r="219" spans="1:24" ht="27" customHeight="1">
      <c r="B219" s="355" t="s">
        <v>231</v>
      </c>
      <c r="C219" s="356"/>
      <c r="D219" s="356"/>
      <c r="E219" s="356"/>
      <c r="F219" s="356"/>
      <c r="G219" s="356"/>
      <c r="H219" s="356"/>
      <c r="I219" s="356"/>
      <c r="J219" s="356"/>
      <c r="K219" s="356"/>
      <c r="L219" s="356"/>
      <c r="M219" s="357"/>
      <c r="N219" s="272">
        <f>N218+N186+N148+N113+N80+N46-0.01</f>
        <v>226117958.31535488</v>
      </c>
      <c r="O219" s="272">
        <f>O218+O186+O148+O113+O80+O46</f>
        <v>143818230.00096664</v>
      </c>
      <c r="P219" s="272">
        <f>P218+P186+P148+P113+P80+P46</f>
        <v>35028489.996533856</v>
      </c>
      <c r="Q219" s="272">
        <f>Q218+Q186+Q148+Q113+Q80+Q46</f>
        <v>0</v>
      </c>
      <c r="R219" s="272">
        <f>R218+R186+R148+R113+R80+R46</f>
        <v>47271238.31785436</v>
      </c>
      <c r="S219" s="272">
        <f>S218+S186+S148+S113+S80+S46</f>
        <v>0</v>
      </c>
      <c r="T219" s="272">
        <f>T218+T186+T148+T113+T80+T46+0.01</f>
        <v>229042441.85980809</v>
      </c>
      <c r="U219" s="272">
        <f>U218+U186+U148+U113+U80+U46+0.01</f>
        <v>229042441.85980809</v>
      </c>
      <c r="X219" s="70"/>
    </row>
    <row r="220" spans="1:24">
      <c r="A220" s="80" t="s">
        <v>233</v>
      </c>
      <c r="T220" s="273"/>
      <c r="U220" s="273"/>
    </row>
    <row r="221" spans="1:24">
      <c r="A221" s="80" t="s">
        <v>178</v>
      </c>
      <c r="O221" s="194"/>
      <c r="T221" s="194"/>
    </row>
    <row r="222" spans="1:24">
      <c r="O222" s="194"/>
      <c r="T222" s="194"/>
      <c r="U222" s="194"/>
    </row>
    <row r="223" spans="1:24">
      <c r="O223" s="194"/>
      <c r="R223" s="194"/>
      <c r="S223" s="194"/>
      <c r="V223" s="85"/>
    </row>
    <row r="224" spans="1:24">
      <c r="O224" s="194"/>
      <c r="P224" s="194"/>
      <c r="R224" s="194"/>
    </row>
    <row r="225" spans="15:20">
      <c r="O225" s="194"/>
      <c r="P225" s="194"/>
      <c r="R225" s="194"/>
      <c r="T225" s="194"/>
    </row>
    <row r="226" spans="15:20">
      <c r="O226" s="194"/>
      <c r="P226" s="194"/>
    </row>
    <row r="227" spans="15:20">
      <c r="O227" s="194"/>
      <c r="P227" s="194"/>
    </row>
    <row r="228" spans="15:20">
      <c r="O228" s="194"/>
      <c r="P228" s="194"/>
    </row>
    <row r="229" spans="15:20">
      <c r="O229" s="194"/>
      <c r="P229" s="194"/>
    </row>
    <row r="230" spans="15:20">
      <c r="O230" s="194"/>
      <c r="P230" s="194"/>
    </row>
    <row r="231" spans="15:20">
      <c r="O231" s="194"/>
      <c r="P231" s="194"/>
    </row>
    <row r="232" spans="15:20">
      <c r="O232" s="194"/>
      <c r="P232" s="194"/>
    </row>
    <row r="233" spans="15:20">
      <c r="O233" s="194"/>
      <c r="P233" s="194"/>
    </row>
    <row r="234" spans="15:20">
      <c r="O234" s="194"/>
      <c r="P234" s="194"/>
    </row>
    <row r="235" spans="15:20">
      <c r="O235" s="194"/>
      <c r="P235" s="194"/>
    </row>
    <row r="236" spans="15:20">
      <c r="O236" s="194"/>
      <c r="P236" s="194"/>
    </row>
    <row r="237" spans="15:20">
      <c r="O237" s="194"/>
      <c r="P237" s="194"/>
    </row>
    <row r="238" spans="15:20">
      <c r="R238" s="194"/>
    </row>
    <row r="239" spans="15:20">
      <c r="R239" s="194"/>
    </row>
    <row r="240" spans="15:20">
      <c r="O240" s="194"/>
      <c r="R240" s="194"/>
    </row>
    <row r="261" spans="1:17">
      <c r="O261" s="194"/>
      <c r="P261" s="194"/>
      <c r="Q261" s="194"/>
    </row>
    <row r="262" spans="1:17">
      <c r="O262" s="194"/>
      <c r="P262" s="194"/>
      <c r="Q262" s="194"/>
    </row>
    <row r="263" spans="1:17">
      <c r="O263" s="194"/>
      <c r="P263" s="194"/>
      <c r="Q263" s="194"/>
    </row>
    <row r="266" spans="1:17">
      <c r="O266" s="194"/>
    </row>
    <row r="268" spans="1:17">
      <c r="H268" s="80">
        <v>2</v>
      </c>
    </row>
    <row r="269" spans="1:17" hidden="1">
      <c r="C269" s="184"/>
      <c r="D269" s="180">
        <v>286</v>
      </c>
      <c r="E269" s="241"/>
      <c r="F269" s="241"/>
      <c r="G269" s="241">
        <v>3</v>
      </c>
      <c r="H269" s="180">
        <v>244</v>
      </c>
      <c r="I269" s="180">
        <v>46</v>
      </c>
      <c r="J269" s="180">
        <v>69</v>
      </c>
      <c r="K269" s="180">
        <f>D269+G269+H269+I269+J269</f>
        <v>648</v>
      </c>
      <c r="L269" s="190" t="s">
        <v>311</v>
      </c>
      <c r="M269" s="190" t="s">
        <v>312</v>
      </c>
      <c r="N269" s="190" t="s">
        <v>313</v>
      </c>
    </row>
    <row r="270" spans="1:17" ht="27.6" hidden="1">
      <c r="A270" s="80" t="s">
        <v>310</v>
      </c>
      <c r="B270" s="211" t="s">
        <v>290</v>
      </c>
      <c r="C270" s="229">
        <v>118131</v>
      </c>
      <c r="D270" s="230"/>
      <c r="E270" s="245"/>
      <c r="F270" s="245"/>
      <c r="G270" s="245"/>
      <c r="H270" s="228"/>
      <c r="I270" s="228"/>
      <c r="J270" s="228"/>
      <c r="K270" s="228"/>
      <c r="L270" s="194">
        <f>(C270+C276)</f>
        <v>522719</v>
      </c>
      <c r="M270" s="194">
        <f>(C274+C275)</f>
        <v>1356154</v>
      </c>
      <c r="N270" s="194">
        <f>(C271+C273)</f>
        <v>3584396</v>
      </c>
      <c r="O270" s="194">
        <f>L270+M270+N270</f>
        <v>5463269</v>
      </c>
    </row>
    <row r="271" spans="1:17" hidden="1">
      <c r="B271" s="89" t="s">
        <v>225</v>
      </c>
      <c r="C271" s="229">
        <v>3308494</v>
      </c>
      <c r="D271" s="230"/>
      <c r="E271" s="245"/>
      <c r="F271" s="245"/>
      <c r="G271" s="245"/>
      <c r="H271" s="228"/>
      <c r="I271" s="228"/>
      <c r="J271" s="228"/>
      <c r="K271" s="228"/>
      <c r="L271" s="194">
        <f>L270/K269</f>
        <v>806.66512345679007</v>
      </c>
      <c r="M271" s="194">
        <f>M270/K269</f>
        <v>2092.8302469135801</v>
      </c>
      <c r="N271" s="194">
        <f>N270/K269</f>
        <v>5531.4753086419751</v>
      </c>
    </row>
    <row r="272" spans="1:17" hidden="1">
      <c r="B272" s="89" t="s">
        <v>225</v>
      </c>
      <c r="C272" s="229"/>
      <c r="D272" s="230"/>
      <c r="E272" s="245"/>
      <c r="F272" s="245"/>
      <c r="G272" s="245"/>
      <c r="H272" s="228"/>
      <c r="I272" s="228"/>
      <c r="J272" s="228"/>
      <c r="K272" s="228"/>
      <c r="L272" s="194"/>
    </row>
    <row r="273" spans="1:15" hidden="1">
      <c r="B273" s="89" t="s">
        <v>289</v>
      </c>
      <c r="C273" s="229">
        <v>275902</v>
      </c>
      <c r="D273" s="230"/>
      <c r="E273" s="245"/>
      <c r="F273" s="245"/>
      <c r="G273" s="245"/>
      <c r="H273" s="228"/>
      <c r="I273" s="228"/>
      <c r="J273" s="228"/>
      <c r="K273" s="228"/>
      <c r="L273" s="194">
        <f>C270+691346</f>
        <v>809477</v>
      </c>
      <c r="M273" s="194">
        <f>C275+3249792</f>
        <v>3522682</v>
      </c>
      <c r="N273" s="194">
        <f>C271</f>
        <v>3308494</v>
      </c>
    </row>
    <row r="274" spans="1:15" hidden="1">
      <c r="B274" s="89" t="s">
        <v>305</v>
      </c>
      <c r="C274" s="229">
        <v>1083264</v>
      </c>
      <c r="D274" s="228"/>
      <c r="E274" s="245"/>
      <c r="F274" s="245"/>
      <c r="G274" s="245"/>
      <c r="H274" s="228"/>
      <c r="I274" s="228"/>
      <c r="J274" s="228"/>
      <c r="K274" s="228"/>
      <c r="L274" s="194">
        <f>L273-L270</f>
        <v>286758</v>
      </c>
      <c r="M274" s="194">
        <f>M273-M270</f>
        <v>2166528</v>
      </c>
      <c r="N274" s="194">
        <f>N273-N270</f>
        <v>-275902</v>
      </c>
    </row>
    <row r="275" spans="1:15" hidden="1">
      <c r="B275" s="89" t="s">
        <v>258</v>
      </c>
      <c r="C275" s="229">
        <v>272890</v>
      </c>
      <c r="D275" s="228"/>
      <c r="E275" s="245"/>
      <c r="F275" s="245"/>
      <c r="G275" s="245"/>
      <c r="H275" s="228"/>
      <c r="I275" s="228"/>
      <c r="J275" s="228"/>
      <c r="K275" s="228"/>
      <c r="L275" s="194">
        <f>L274/K269</f>
        <v>442.52777777777777</v>
      </c>
      <c r="M275" s="194">
        <f>M274/K269</f>
        <v>3343.4074074074074</v>
      </c>
      <c r="N275" s="194">
        <f>N274/K269</f>
        <v>-425.77469135802471</v>
      </c>
    </row>
    <row r="276" spans="1:15" hidden="1">
      <c r="B276" s="89" t="s">
        <v>306</v>
      </c>
      <c r="C276" s="229">
        <v>404588</v>
      </c>
      <c r="D276" s="228"/>
      <c r="E276" s="245"/>
      <c r="F276" s="245"/>
      <c r="G276" s="245"/>
      <c r="H276" s="228"/>
      <c r="I276" s="228"/>
      <c r="J276" s="228"/>
      <c r="K276" s="228"/>
      <c r="L276" s="194">
        <f>D269*L275</f>
        <v>126562.94444444444</v>
      </c>
      <c r="M276" s="194">
        <f>D269*M275</f>
        <v>956214.51851851854</v>
      </c>
      <c r="N276" s="194">
        <f>D269*N275</f>
        <v>-121771.56172839507</v>
      </c>
      <c r="O276" s="194">
        <f t="shared" ref="O276:O281" si="51">L276+M276+N276</f>
        <v>961005.90123456786</v>
      </c>
    </row>
    <row r="277" spans="1:15" hidden="1">
      <c r="B277" s="101" t="s">
        <v>112</v>
      </c>
      <c r="C277" s="229">
        <f>SUM(C270:C276)</f>
        <v>5463269</v>
      </c>
      <c r="D277" s="228"/>
      <c r="E277" s="245"/>
      <c r="F277" s="245"/>
      <c r="G277" s="245"/>
      <c r="H277" s="228"/>
      <c r="I277" s="228"/>
      <c r="J277" s="228"/>
      <c r="K277" s="228"/>
      <c r="L277" s="194">
        <f>G269*L275</f>
        <v>1327.5833333333333</v>
      </c>
      <c r="M277" s="194">
        <f>G269*M275</f>
        <v>10030.222222222223</v>
      </c>
      <c r="N277" s="194">
        <f>G269*N275</f>
        <v>-1277.3240740740741</v>
      </c>
      <c r="O277" s="194">
        <f t="shared" si="51"/>
        <v>10080.481481481482</v>
      </c>
    </row>
    <row r="278" spans="1:15" hidden="1">
      <c r="L278" s="194">
        <f>242*L275</f>
        <v>107091.72222222222</v>
      </c>
      <c r="M278" s="194">
        <f>242*M275</f>
        <v>809104.59259259258</v>
      </c>
      <c r="N278" s="194">
        <f>242*N275</f>
        <v>-103037.47530864198</v>
      </c>
      <c r="O278" s="194">
        <f t="shared" si="51"/>
        <v>813158.83950617281</v>
      </c>
    </row>
    <row r="279" spans="1:15" hidden="1">
      <c r="D279" s="226"/>
      <c r="L279" s="194">
        <f>2*L275</f>
        <v>885.05555555555554</v>
      </c>
      <c r="M279" s="194">
        <f>2*M275</f>
        <v>6686.8148148148148</v>
      </c>
      <c r="N279" s="194">
        <f>2*N275</f>
        <v>-851.54938271604942</v>
      </c>
      <c r="O279" s="194">
        <f t="shared" si="51"/>
        <v>6720.3209876543206</v>
      </c>
    </row>
    <row r="280" spans="1:15" hidden="1">
      <c r="D280" s="227"/>
      <c r="L280" s="194">
        <f>I269*L275</f>
        <v>20356.277777777777</v>
      </c>
      <c r="M280" s="194">
        <f>I269*M275</f>
        <v>153796.74074074073</v>
      </c>
      <c r="N280" s="194">
        <f>I269*N275</f>
        <v>-19585.635802469136</v>
      </c>
      <c r="O280" s="194">
        <f t="shared" si="51"/>
        <v>154567.38271604938</v>
      </c>
    </row>
    <row r="281" spans="1:15" hidden="1">
      <c r="D281" s="227"/>
      <c r="L281" s="194">
        <f>J269*L275</f>
        <v>30534.416666666668</v>
      </c>
      <c r="M281" s="194">
        <f>J269*M275</f>
        <v>230695.11111111112</v>
      </c>
      <c r="N281" s="194">
        <f>J269*N275</f>
        <v>-29378.453703703704</v>
      </c>
      <c r="O281" s="194">
        <f t="shared" si="51"/>
        <v>231851.07407407407</v>
      </c>
    </row>
    <row r="282" spans="1:15" hidden="1">
      <c r="D282" s="227"/>
    </row>
    <row r="283" spans="1:15" hidden="1">
      <c r="D283" s="227"/>
    </row>
    <row r="284" spans="1:15" hidden="1">
      <c r="D284" s="227"/>
    </row>
    <row r="285" spans="1:15" hidden="1">
      <c r="C285" s="184"/>
      <c r="D285" s="180">
        <v>261</v>
      </c>
      <c r="E285" s="241"/>
      <c r="F285" s="241"/>
      <c r="G285" s="241">
        <v>2</v>
      </c>
      <c r="H285" s="180">
        <v>219</v>
      </c>
      <c r="I285" s="180">
        <v>2</v>
      </c>
      <c r="J285" s="180">
        <v>44</v>
      </c>
      <c r="K285" s="180">
        <f>D285+G285+H285+I285+J285</f>
        <v>528</v>
      </c>
      <c r="L285" s="190" t="s">
        <v>311</v>
      </c>
      <c r="M285" s="190" t="s">
        <v>312</v>
      </c>
      <c r="N285" s="190" t="s">
        <v>313</v>
      </c>
    </row>
    <row r="286" spans="1:15" ht="27.6" hidden="1">
      <c r="A286" s="80" t="s">
        <v>314</v>
      </c>
      <c r="B286" s="211" t="s">
        <v>290</v>
      </c>
      <c r="C286" s="229">
        <v>96255</v>
      </c>
      <c r="D286" s="230"/>
      <c r="E286" s="245"/>
      <c r="F286" s="245"/>
      <c r="G286" s="245"/>
      <c r="H286" s="228"/>
      <c r="I286" s="228"/>
      <c r="J286" s="228"/>
      <c r="K286" s="228"/>
      <c r="L286" s="194">
        <f>C286+C288+C292</f>
        <v>1031146</v>
      </c>
      <c r="M286" s="194">
        <f>C290+C291</f>
        <v>1027677</v>
      </c>
      <c r="N286" s="194">
        <f>C287+C289</f>
        <v>4122597</v>
      </c>
      <c r="O286" s="194">
        <f>L286+M286+N286</f>
        <v>6181420</v>
      </c>
    </row>
    <row r="287" spans="1:15" hidden="1">
      <c r="B287" s="89" t="s">
        <v>225</v>
      </c>
      <c r="C287" s="229">
        <v>3813252</v>
      </c>
      <c r="D287" s="230"/>
      <c r="E287" s="245"/>
      <c r="F287" s="245"/>
      <c r="G287" s="245"/>
      <c r="H287" s="228"/>
      <c r="I287" s="228"/>
      <c r="J287" s="228"/>
      <c r="K287" s="228"/>
      <c r="L287" s="194">
        <f>L286/K285</f>
        <v>1952.9280303030303</v>
      </c>
      <c r="M287" s="194">
        <f>M286/K285</f>
        <v>1946.3579545454545</v>
      </c>
      <c r="N287" s="194">
        <f>N286/K285</f>
        <v>7807.948863636364</v>
      </c>
    </row>
    <row r="288" spans="1:15" hidden="1">
      <c r="B288" s="89" t="s">
        <v>225</v>
      </c>
      <c r="C288" s="229">
        <v>606031</v>
      </c>
      <c r="D288" s="230"/>
      <c r="E288" s="245"/>
      <c r="F288" s="245"/>
      <c r="G288" s="245"/>
      <c r="H288" s="228"/>
      <c r="I288" s="228"/>
      <c r="J288" s="228"/>
      <c r="K288" s="228"/>
    </row>
    <row r="289" spans="1:15" hidden="1">
      <c r="B289" s="89" t="s">
        <v>289</v>
      </c>
      <c r="C289" s="229">
        <v>309345</v>
      </c>
      <c r="D289" s="230"/>
      <c r="E289" s="245"/>
      <c r="F289" s="245"/>
      <c r="G289" s="245"/>
      <c r="H289" s="228"/>
      <c r="I289" s="228"/>
      <c r="J289" s="228"/>
      <c r="K289" s="228"/>
      <c r="L289" s="194">
        <f>C286+C288+563319</f>
        <v>1265605</v>
      </c>
      <c r="M289" s="194">
        <f>C291+2624832</f>
        <v>2777565</v>
      </c>
      <c r="N289" s="194">
        <f>C287</f>
        <v>3813252</v>
      </c>
    </row>
    <row r="290" spans="1:15" hidden="1">
      <c r="B290" s="89" t="s">
        <v>305</v>
      </c>
      <c r="C290" s="229">
        <v>874944</v>
      </c>
      <c r="D290" s="228"/>
      <c r="E290" s="245"/>
      <c r="F290" s="245"/>
      <c r="G290" s="245"/>
      <c r="H290" s="228"/>
      <c r="I290" s="228"/>
      <c r="J290" s="228"/>
      <c r="K290" s="228"/>
      <c r="L290" s="194">
        <f>L289-L286</f>
        <v>234459</v>
      </c>
      <c r="M290" s="194">
        <f>M289-M286</f>
        <v>1749888</v>
      </c>
      <c r="N290" s="194">
        <f>N289-N286</f>
        <v>-309345</v>
      </c>
    </row>
    <row r="291" spans="1:15" hidden="1">
      <c r="B291" s="89" t="s">
        <v>258</v>
      </c>
      <c r="C291" s="229">
        <v>152733</v>
      </c>
      <c r="D291" s="228"/>
      <c r="E291" s="245"/>
      <c r="F291" s="245"/>
      <c r="G291" s="245"/>
      <c r="H291" s="228"/>
      <c r="I291" s="228"/>
      <c r="J291" s="228"/>
      <c r="K291" s="228"/>
      <c r="L291" s="273">
        <f>L290/K285</f>
        <v>444.05113636363637</v>
      </c>
      <c r="M291" s="273">
        <f>M290/K285</f>
        <v>3314.181818181818</v>
      </c>
      <c r="N291" s="273">
        <f>N290/K285</f>
        <v>-585.88068181818187</v>
      </c>
    </row>
    <row r="292" spans="1:15" hidden="1">
      <c r="B292" s="89" t="s">
        <v>306</v>
      </c>
      <c r="C292" s="229">
        <v>328860</v>
      </c>
      <c r="D292" s="228"/>
      <c r="E292" s="245"/>
      <c r="F292" s="245"/>
      <c r="G292" s="245"/>
      <c r="H292" s="228"/>
      <c r="I292" s="228"/>
      <c r="J292" s="228"/>
      <c r="K292" s="228"/>
      <c r="L292" s="194">
        <f>D285*L291</f>
        <v>115897.34659090909</v>
      </c>
      <c r="M292" s="194">
        <f>M291*D285</f>
        <v>865001.45454545447</v>
      </c>
      <c r="N292" s="194">
        <f>D285*N291</f>
        <v>-152914.85795454547</v>
      </c>
      <c r="O292" s="194">
        <f>L292+M292+N292</f>
        <v>827983.94318181812</v>
      </c>
    </row>
    <row r="293" spans="1:15" hidden="1">
      <c r="B293" s="101" t="s">
        <v>112</v>
      </c>
      <c r="C293" s="229">
        <f>SUM(C286:C292)</f>
        <v>6181420</v>
      </c>
      <c r="D293" s="228"/>
      <c r="E293" s="245"/>
      <c r="F293" s="245"/>
      <c r="G293" s="245"/>
      <c r="H293" s="228"/>
      <c r="I293" s="228"/>
      <c r="J293" s="228"/>
      <c r="K293" s="228"/>
      <c r="L293" s="194">
        <f>G285*L291</f>
        <v>888.10227272727275</v>
      </c>
      <c r="M293" s="194">
        <f>G285*M291</f>
        <v>6628.363636363636</v>
      </c>
      <c r="N293" s="194">
        <f>G285*N291</f>
        <v>-1171.7613636363637</v>
      </c>
      <c r="O293" s="194">
        <f>L293+M293+N293</f>
        <v>6344.704545454545</v>
      </c>
    </row>
    <row r="294" spans="1:15" hidden="1">
      <c r="L294" s="194">
        <f>H285*L291</f>
        <v>97247.198863636368</v>
      </c>
      <c r="M294" s="194">
        <f>H285*M291</f>
        <v>725805.81818181812</v>
      </c>
      <c r="N294" s="194">
        <f>H285*N291</f>
        <v>-128307.86931818182</v>
      </c>
      <c r="O294" s="194">
        <f>L294+M294+N294</f>
        <v>694745.14772727271</v>
      </c>
    </row>
    <row r="295" spans="1:15" hidden="1">
      <c r="L295" s="194">
        <f>I285*L291</f>
        <v>888.10227272727275</v>
      </c>
      <c r="M295" s="194">
        <f>I285*M291</f>
        <v>6628.363636363636</v>
      </c>
      <c r="N295" s="194">
        <f>I285*N291</f>
        <v>-1171.7613636363637</v>
      </c>
      <c r="O295" s="194">
        <f>L295+M295+N295</f>
        <v>6344.704545454545</v>
      </c>
    </row>
    <row r="296" spans="1:15" hidden="1">
      <c r="L296" s="194">
        <f>J285*L291</f>
        <v>19538.25</v>
      </c>
      <c r="M296" s="194">
        <f>J285*M291</f>
        <v>145824</v>
      </c>
      <c r="N296" s="194">
        <f>J285*N291</f>
        <v>-25778.750000000004</v>
      </c>
      <c r="O296" s="194">
        <f>L296+M296+N296</f>
        <v>139583.5</v>
      </c>
    </row>
    <row r="297" spans="1:15" hidden="1"/>
    <row r="298" spans="1:15" hidden="1">
      <c r="C298" s="184"/>
      <c r="D298" s="180">
        <v>242</v>
      </c>
      <c r="E298" s="241"/>
      <c r="F298" s="241"/>
      <c r="G298" s="241">
        <v>1</v>
      </c>
      <c r="H298" s="180">
        <v>224</v>
      </c>
      <c r="I298" s="180">
        <v>3</v>
      </c>
      <c r="J298" s="180">
        <v>69</v>
      </c>
      <c r="K298" s="180">
        <f>D298+G298+H298+I298+J298</f>
        <v>539</v>
      </c>
      <c r="L298" s="190" t="s">
        <v>311</v>
      </c>
      <c r="M298" s="190" t="s">
        <v>312</v>
      </c>
      <c r="N298" s="190" t="s">
        <v>313</v>
      </c>
    </row>
    <row r="299" spans="1:15" ht="27.6" hidden="1">
      <c r="A299" s="80" t="s">
        <v>315</v>
      </c>
      <c r="B299" s="211" t="s">
        <v>290</v>
      </c>
      <c r="C299" s="229">
        <v>98261</v>
      </c>
      <c r="D299" s="230"/>
      <c r="E299" s="245"/>
      <c r="F299" s="245"/>
      <c r="G299" s="245"/>
      <c r="H299" s="228"/>
      <c r="I299" s="228"/>
      <c r="J299" s="228"/>
      <c r="K299" s="228"/>
      <c r="L299" s="194">
        <f>C299+C301+C305</f>
        <v>598302</v>
      </c>
      <c r="M299" s="194">
        <f>C303</f>
        <v>874944</v>
      </c>
      <c r="N299" s="194">
        <f>C300+C302</f>
        <v>1479238</v>
      </c>
      <c r="O299" s="194">
        <f>L299+M299+N299</f>
        <v>2952484</v>
      </c>
    </row>
    <row r="300" spans="1:15" hidden="1">
      <c r="B300" s="89" t="s">
        <v>225</v>
      </c>
      <c r="C300" s="229">
        <v>1362189</v>
      </c>
      <c r="D300" s="230"/>
      <c r="E300" s="245"/>
      <c r="F300" s="245"/>
      <c r="G300" s="245"/>
      <c r="H300" s="228"/>
      <c r="I300" s="228"/>
      <c r="J300" s="228"/>
      <c r="K300" s="228"/>
      <c r="L300" s="194">
        <f>L299/K298</f>
        <v>1110.0222634508348</v>
      </c>
      <c r="M300" s="194">
        <f>M299/K298</f>
        <v>1623.2727272727273</v>
      </c>
      <c r="N300" s="194">
        <f>N299/K298</f>
        <v>2744.4118738404454</v>
      </c>
    </row>
    <row r="301" spans="1:15" hidden="1">
      <c r="B301" s="89" t="s">
        <v>225</v>
      </c>
      <c r="C301" s="229">
        <v>164828</v>
      </c>
      <c r="D301" s="230"/>
      <c r="E301" s="245"/>
      <c r="F301" s="245"/>
      <c r="G301" s="245"/>
      <c r="H301" s="228"/>
      <c r="I301" s="228"/>
      <c r="J301" s="228"/>
      <c r="K301" s="228"/>
    </row>
    <row r="302" spans="1:15" hidden="1">
      <c r="B302" s="89" t="s">
        <v>289</v>
      </c>
      <c r="C302" s="229">
        <v>117049</v>
      </c>
      <c r="D302" s="230"/>
      <c r="E302" s="245"/>
      <c r="F302" s="245"/>
      <c r="G302" s="245"/>
      <c r="H302" s="228"/>
      <c r="I302" s="228"/>
      <c r="J302" s="228"/>
      <c r="K302" s="228"/>
      <c r="L302" s="194">
        <f>C299+C301+575056</f>
        <v>838145</v>
      </c>
      <c r="M302" s="194">
        <f>2624832</f>
        <v>2624832</v>
      </c>
      <c r="N302" s="194">
        <f>C300</f>
        <v>1362189</v>
      </c>
    </row>
    <row r="303" spans="1:15" hidden="1">
      <c r="B303" s="89" t="s">
        <v>305</v>
      </c>
      <c r="C303" s="229">
        <v>874944</v>
      </c>
      <c r="D303" s="228"/>
      <c r="E303" s="245"/>
      <c r="F303" s="245"/>
      <c r="G303" s="245"/>
      <c r="H303" s="228"/>
      <c r="I303" s="228"/>
      <c r="J303" s="228"/>
      <c r="K303" s="228"/>
      <c r="L303" s="194">
        <f>L302-L299</f>
        <v>239843</v>
      </c>
      <c r="M303" s="194">
        <f>M302-M299</f>
        <v>1749888</v>
      </c>
      <c r="N303" s="194">
        <f>N302-N299</f>
        <v>-117049</v>
      </c>
    </row>
    <row r="304" spans="1:15" hidden="1">
      <c r="B304" s="89" t="s">
        <v>258</v>
      </c>
      <c r="C304" s="229">
        <v>0</v>
      </c>
      <c r="D304" s="228"/>
      <c r="E304" s="245"/>
      <c r="F304" s="245"/>
      <c r="G304" s="245"/>
      <c r="H304" s="228"/>
      <c r="I304" s="228"/>
      <c r="J304" s="228"/>
      <c r="K304" s="228"/>
      <c r="L304" s="194">
        <f>L303/K298</f>
        <v>444.97773654916512</v>
      </c>
      <c r="M304" s="194">
        <f>M303/K298</f>
        <v>3246.5454545454545</v>
      </c>
      <c r="N304" s="194">
        <f>N303/K298</f>
        <v>-217.1595547309833</v>
      </c>
    </row>
    <row r="305" spans="1:15" hidden="1">
      <c r="B305" s="89" t="s">
        <v>306</v>
      </c>
      <c r="C305" s="229">
        <v>335213</v>
      </c>
      <c r="D305" s="228"/>
      <c r="E305" s="245"/>
      <c r="F305" s="245"/>
      <c r="G305" s="245"/>
      <c r="H305" s="228"/>
      <c r="I305" s="228"/>
      <c r="J305" s="228"/>
      <c r="K305" s="228"/>
      <c r="L305" s="194">
        <f>D298*L304</f>
        <v>107684.61224489796</v>
      </c>
      <c r="M305" s="194">
        <f>D298*M304</f>
        <v>785664</v>
      </c>
      <c r="N305" s="194">
        <f>D298*N304</f>
        <v>-52552.612244897959</v>
      </c>
      <c r="O305" s="194">
        <f>L305+M305+N305</f>
        <v>840796</v>
      </c>
    </row>
    <row r="306" spans="1:15" hidden="1">
      <c r="B306" s="101" t="s">
        <v>112</v>
      </c>
      <c r="C306" s="229">
        <f>SUM(C299:C305)</f>
        <v>2952484</v>
      </c>
      <c r="D306" s="228"/>
      <c r="E306" s="245"/>
      <c r="F306" s="245"/>
      <c r="G306" s="245"/>
      <c r="H306" s="228"/>
      <c r="I306" s="228"/>
      <c r="J306" s="228"/>
      <c r="K306" s="228"/>
      <c r="L306" s="194">
        <f>G298*L304</f>
        <v>444.97773654916512</v>
      </c>
      <c r="M306" s="194">
        <f>G298*M304</f>
        <v>3246.5454545454545</v>
      </c>
      <c r="N306" s="194">
        <f>G298*N304</f>
        <v>-217.1595547309833</v>
      </c>
      <c r="O306" s="194">
        <f>L306+M306+N306</f>
        <v>3474.363636363636</v>
      </c>
    </row>
    <row r="307" spans="1:15" hidden="1">
      <c r="L307" s="194">
        <f>H298*L304</f>
        <v>99675.012987012989</v>
      </c>
      <c r="M307" s="194">
        <f>H298*M304</f>
        <v>727226.18181818177</v>
      </c>
      <c r="N307" s="194">
        <f>H298*N304</f>
        <v>-48643.740259740262</v>
      </c>
      <c r="O307" s="194">
        <f>L307+M307+N307</f>
        <v>778257.45454545447</v>
      </c>
    </row>
    <row r="308" spans="1:15" hidden="1">
      <c r="L308" s="194">
        <f>I298*L304</f>
        <v>1334.9332096474955</v>
      </c>
      <c r="M308" s="194">
        <f>I298*M304</f>
        <v>9739.636363636364</v>
      </c>
      <c r="N308" s="194">
        <f>I298*N304</f>
        <v>-651.47866419294996</v>
      </c>
      <c r="O308" s="194">
        <f>L308+M308+N308</f>
        <v>10423.09090909091</v>
      </c>
    </row>
    <row r="309" spans="1:15" hidden="1">
      <c r="L309" s="194">
        <f>J298*L304</f>
        <v>30703.463821892394</v>
      </c>
      <c r="M309" s="194">
        <f>J298*M304</f>
        <v>224011.63636363635</v>
      </c>
      <c r="N309" s="194">
        <f>J298*N304</f>
        <v>-14984.009276437848</v>
      </c>
      <c r="O309" s="194">
        <f>L309+M309+N309</f>
        <v>239731.09090909091</v>
      </c>
    </row>
    <row r="310" spans="1:15" hidden="1"/>
    <row r="311" spans="1:15" hidden="1">
      <c r="C311" s="184"/>
      <c r="D311" s="180">
        <v>206</v>
      </c>
      <c r="E311" s="241"/>
      <c r="F311" s="241"/>
      <c r="G311" s="241">
        <v>5</v>
      </c>
      <c r="H311" s="180">
        <v>238</v>
      </c>
      <c r="I311" s="180">
        <v>1</v>
      </c>
      <c r="J311" s="180">
        <v>33</v>
      </c>
      <c r="K311" s="180">
        <f>D311+G311+H311+I311+J311</f>
        <v>483</v>
      </c>
      <c r="L311" s="190" t="s">
        <v>311</v>
      </c>
      <c r="M311" s="190" t="s">
        <v>312</v>
      </c>
      <c r="N311" s="190" t="s">
        <v>313</v>
      </c>
    </row>
    <row r="312" spans="1:15" ht="27.6" hidden="1">
      <c r="A312" s="80" t="s">
        <v>316</v>
      </c>
      <c r="B312" s="211" t="s">
        <v>290</v>
      </c>
      <c r="C312" s="229">
        <v>88052</v>
      </c>
      <c r="D312" s="230"/>
      <c r="E312" s="245"/>
      <c r="F312" s="245"/>
      <c r="G312" s="245"/>
      <c r="H312" s="228"/>
      <c r="I312" s="228"/>
      <c r="J312" s="228"/>
      <c r="K312" s="228"/>
      <c r="L312" s="194">
        <f>C312+C318</f>
        <v>388924</v>
      </c>
      <c r="M312" s="194">
        <f>C316+C317</f>
        <v>1185246</v>
      </c>
      <c r="N312" s="194">
        <f>C313+C315</f>
        <v>2227002</v>
      </c>
      <c r="O312" s="194">
        <f>L312+M312+N312</f>
        <v>3801172</v>
      </c>
    </row>
    <row r="313" spans="1:15" hidden="1">
      <c r="B313" s="89" t="s">
        <v>225</v>
      </c>
      <c r="C313" s="229">
        <v>2026333</v>
      </c>
      <c r="D313" s="230"/>
      <c r="E313" s="245"/>
      <c r="F313" s="245"/>
      <c r="G313" s="245"/>
      <c r="H313" s="228"/>
      <c r="I313" s="228"/>
      <c r="J313" s="228"/>
      <c r="K313" s="228"/>
      <c r="L313" s="194">
        <f>L312/K311</f>
        <v>805.22567287784682</v>
      </c>
      <c r="M313" s="194">
        <f>M312/K311</f>
        <v>2453.9254658385094</v>
      </c>
      <c r="N313" s="194">
        <f>N312/K311</f>
        <v>4610.7701863354041</v>
      </c>
    </row>
    <row r="314" spans="1:15" hidden="1">
      <c r="B314" s="89" t="s">
        <v>225</v>
      </c>
      <c r="C314" s="229">
        <v>0</v>
      </c>
      <c r="D314" s="230"/>
      <c r="E314" s="245"/>
      <c r="F314" s="245"/>
      <c r="G314" s="245"/>
      <c r="H314" s="228"/>
      <c r="I314" s="228"/>
      <c r="J314" s="228"/>
      <c r="K314" s="228"/>
    </row>
    <row r="315" spans="1:15" hidden="1">
      <c r="B315" s="89" t="s">
        <v>289</v>
      </c>
      <c r="C315" s="229">
        <v>200669</v>
      </c>
      <c r="D315" s="230"/>
      <c r="E315" s="245"/>
      <c r="F315" s="245"/>
      <c r="G315" s="245"/>
      <c r="H315" s="228"/>
      <c r="I315" s="228"/>
      <c r="J315" s="228"/>
      <c r="K315" s="228"/>
      <c r="L315" s="194">
        <f>C312+515309</f>
        <v>603361</v>
      </c>
      <c r="M315" s="194">
        <f>C317+2499840</f>
        <v>2851806</v>
      </c>
      <c r="N315" s="194">
        <f>C313</f>
        <v>2026333</v>
      </c>
    </row>
    <row r="316" spans="1:15" hidden="1">
      <c r="B316" s="89" t="s">
        <v>305</v>
      </c>
      <c r="C316" s="229">
        <v>833280</v>
      </c>
      <c r="D316" s="228"/>
      <c r="E316" s="245"/>
      <c r="F316" s="245"/>
      <c r="G316" s="245"/>
      <c r="H316" s="228"/>
      <c r="I316" s="228"/>
      <c r="J316" s="228"/>
      <c r="K316" s="228"/>
      <c r="L316" s="194">
        <f>L315-L312</f>
        <v>214437</v>
      </c>
      <c r="M316" s="194">
        <f>M315-M312</f>
        <v>1666560</v>
      </c>
      <c r="N316" s="194">
        <f>N315-N312</f>
        <v>-200669</v>
      </c>
    </row>
    <row r="317" spans="1:15" hidden="1">
      <c r="B317" s="89" t="s">
        <v>258</v>
      </c>
      <c r="C317" s="229">
        <v>351966</v>
      </c>
      <c r="D317" s="228"/>
      <c r="E317" s="245"/>
      <c r="F317" s="245"/>
      <c r="G317" s="245"/>
      <c r="H317" s="228"/>
      <c r="I317" s="228"/>
      <c r="J317" s="228"/>
      <c r="K317" s="228"/>
      <c r="L317" s="194">
        <f>L316/K311</f>
        <v>443.96894409937886</v>
      </c>
      <c r="M317" s="194">
        <f>M316/K311</f>
        <v>3450.4347826086955</v>
      </c>
      <c r="N317" s="194">
        <f>N316/K311</f>
        <v>-415.463768115942</v>
      </c>
    </row>
    <row r="318" spans="1:15" hidden="1">
      <c r="B318" s="89" t="s">
        <v>306</v>
      </c>
      <c r="C318" s="229">
        <v>300872</v>
      </c>
      <c r="D318" s="228"/>
      <c r="E318" s="245"/>
      <c r="F318" s="245"/>
      <c r="G318" s="245"/>
      <c r="H318" s="228"/>
      <c r="I318" s="228"/>
      <c r="J318" s="228"/>
      <c r="K318" s="228"/>
      <c r="L318" s="194">
        <f>D311*L317</f>
        <v>91457.602484472038</v>
      </c>
      <c r="M318" s="194">
        <f>M317*D311</f>
        <v>710789.56521739124</v>
      </c>
      <c r="N318" s="194">
        <f>D311*N317</f>
        <v>-85585.536231884049</v>
      </c>
      <c r="O318" s="194">
        <f>L318+M318+N318</f>
        <v>716661.63146997918</v>
      </c>
    </row>
    <row r="319" spans="1:15" hidden="1">
      <c r="B319" s="101" t="s">
        <v>112</v>
      </c>
      <c r="C319" s="229">
        <f>SUM(C312:C318)</f>
        <v>3801172</v>
      </c>
      <c r="D319" s="228"/>
      <c r="E319" s="245"/>
      <c r="F319" s="245"/>
      <c r="G319" s="245"/>
      <c r="H319" s="228"/>
      <c r="I319" s="228"/>
      <c r="J319" s="228"/>
      <c r="K319" s="228"/>
      <c r="L319" s="194">
        <f>G311*L317</f>
        <v>2219.8447204968943</v>
      </c>
      <c r="M319" s="194">
        <f>G311*M317</f>
        <v>17252.173913043476</v>
      </c>
      <c r="N319" s="194">
        <f>G311*N317</f>
        <v>-2077.31884057971</v>
      </c>
      <c r="O319" s="194">
        <f>L319+M319+N319</f>
        <v>17394.699792960659</v>
      </c>
    </row>
    <row r="320" spans="1:15" hidden="1">
      <c r="L320" s="194">
        <f>H311*L317</f>
        <v>105664.60869565216</v>
      </c>
      <c r="M320" s="194">
        <f>H311*M317</f>
        <v>821203.47826086951</v>
      </c>
      <c r="N320" s="194">
        <f>H311*N317</f>
        <v>-98880.376811594193</v>
      </c>
      <c r="O320" s="194">
        <f>L320+M320+N320</f>
        <v>827987.71014492749</v>
      </c>
    </row>
    <row r="321" spans="1:17" hidden="1">
      <c r="L321" s="194">
        <f>I311*L317</f>
        <v>443.96894409937886</v>
      </c>
      <c r="M321" s="194">
        <f>I311*M317</f>
        <v>3450.4347826086955</v>
      </c>
      <c r="N321" s="194">
        <f>I311*N317</f>
        <v>-415.463768115942</v>
      </c>
      <c r="O321" s="194">
        <f>L321+M321+N321</f>
        <v>3478.9399585921324</v>
      </c>
    </row>
    <row r="322" spans="1:17" hidden="1">
      <c r="L322" s="194">
        <f>J311*L317</f>
        <v>14650.975155279502</v>
      </c>
      <c r="M322" s="194">
        <f>J311*M317</f>
        <v>113864.34782608695</v>
      </c>
      <c r="N322" s="194">
        <f>J311*N317</f>
        <v>-13710.304347826086</v>
      </c>
      <c r="O322" s="194">
        <f>L322+M322+N322</f>
        <v>114805.01863354037</v>
      </c>
    </row>
    <row r="323" spans="1:17" hidden="1">
      <c r="N323" s="190" t="s">
        <v>311</v>
      </c>
      <c r="O323" s="190" t="s">
        <v>312</v>
      </c>
      <c r="P323" s="190" t="s">
        <v>313</v>
      </c>
    </row>
    <row r="324" spans="1:17" hidden="1">
      <c r="C324" s="184"/>
      <c r="D324" s="180">
        <v>316</v>
      </c>
      <c r="E324" s="241"/>
      <c r="F324" s="241"/>
      <c r="G324" s="241">
        <v>2</v>
      </c>
      <c r="H324" s="180">
        <v>196</v>
      </c>
      <c r="I324" s="180">
        <v>206</v>
      </c>
      <c r="J324" s="180">
        <v>1</v>
      </c>
      <c r="K324" s="180">
        <v>51</v>
      </c>
      <c r="L324" s="241">
        <v>53</v>
      </c>
      <c r="M324" s="241">
        <f>D324+G324+H324+I324+J324+K324+L324</f>
        <v>825</v>
      </c>
    </row>
    <row r="325" spans="1:17" ht="27.6" hidden="1">
      <c r="A325" s="80" t="s">
        <v>317</v>
      </c>
      <c r="B325" s="211" t="s">
        <v>290</v>
      </c>
      <c r="C325" s="192">
        <v>150399</v>
      </c>
      <c r="D325" s="230"/>
      <c r="E325" s="245"/>
      <c r="F325" s="245"/>
      <c r="G325" s="245"/>
      <c r="H325" s="228"/>
      <c r="I325" s="228"/>
      <c r="J325" s="228"/>
      <c r="K325" s="180"/>
      <c r="L325" s="241"/>
      <c r="M325" s="241"/>
      <c r="N325" s="194">
        <f>C325+C331</f>
        <v>662764</v>
      </c>
      <c r="O325" s="194">
        <f>C329+C330</f>
        <v>1800175</v>
      </c>
      <c r="P325" s="194">
        <f>C326+C328</f>
        <v>182500</v>
      </c>
      <c r="Q325" s="194">
        <f>N325+O325+P325</f>
        <v>2645439</v>
      </c>
    </row>
    <row r="326" spans="1:17" hidden="1">
      <c r="B326" s="89" t="s">
        <v>225</v>
      </c>
      <c r="C326" s="192">
        <v>179700</v>
      </c>
      <c r="D326" s="230"/>
      <c r="E326" s="245"/>
      <c r="F326" s="245"/>
      <c r="G326" s="245"/>
      <c r="H326" s="228"/>
      <c r="I326" s="228"/>
      <c r="J326" s="228"/>
      <c r="K326" s="180"/>
      <c r="L326" s="241"/>
      <c r="M326" s="241"/>
      <c r="N326" s="194">
        <f>N325/M324</f>
        <v>803.35030303030305</v>
      </c>
      <c r="O326" s="194">
        <f>O325/M324</f>
        <v>2182.030303030303</v>
      </c>
      <c r="P326" s="194">
        <f>P325/M324</f>
        <v>221.21212121212122</v>
      </c>
    </row>
    <row r="327" spans="1:17" hidden="1">
      <c r="B327" s="89" t="s">
        <v>225</v>
      </c>
      <c r="C327" s="192">
        <v>0</v>
      </c>
      <c r="D327" s="230"/>
      <c r="E327" s="245"/>
      <c r="F327" s="245"/>
      <c r="G327" s="245"/>
      <c r="H327" s="228"/>
      <c r="I327" s="228"/>
      <c r="J327" s="228"/>
      <c r="K327" s="180"/>
      <c r="L327" s="241"/>
      <c r="M327" s="241"/>
    </row>
    <row r="328" spans="1:17" hidden="1">
      <c r="B328" s="89" t="s">
        <v>289</v>
      </c>
      <c r="C328" s="192">
        <v>2800</v>
      </c>
      <c r="D328" s="230"/>
      <c r="E328" s="245"/>
      <c r="F328" s="245"/>
      <c r="G328" s="245"/>
      <c r="H328" s="228"/>
      <c r="I328" s="228"/>
      <c r="J328" s="228"/>
      <c r="K328" s="180"/>
      <c r="L328" s="241"/>
      <c r="M328" s="241"/>
      <c r="N328" s="194">
        <f>C325+880187</f>
        <v>1030586</v>
      </c>
      <c r="O328" s="194">
        <f>C330+3874752</f>
        <v>4383343</v>
      </c>
      <c r="P328" s="194">
        <f>C326</f>
        <v>179700</v>
      </c>
    </row>
    <row r="329" spans="1:17" hidden="1">
      <c r="B329" s="89" t="s">
        <v>305</v>
      </c>
      <c r="C329" s="192">
        <v>1291584</v>
      </c>
      <c r="D329" s="228"/>
      <c r="E329" s="245"/>
      <c r="F329" s="245"/>
      <c r="G329" s="245"/>
      <c r="H329" s="228"/>
      <c r="I329" s="228"/>
      <c r="J329" s="228"/>
      <c r="K329" s="180"/>
      <c r="L329" s="241"/>
      <c r="M329" s="241"/>
      <c r="N329" s="194">
        <f>N328-N325</f>
        <v>367822</v>
      </c>
      <c r="O329" s="194">
        <f>O328-O325</f>
        <v>2583168</v>
      </c>
      <c r="P329" s="194">
        <f>P328-P325</f>
        <v>-2800</v>
      </c>
    </row>
    <row r="330" spans="1:17" hidden="1">
      <c r="B330" s="89" t="s">
        <v>258</v>
      </c>
      <c r="C330" s="192">
        <v>508591</v>
      </c>
      <c r="D330" s="228"/>
      <c r="E330" s="245"/>
      <c r="F330" s="245"/>
      <c r="G330" s="245"/>
      <c r="H330" s="228"/>
      <c r="I330" s="228"/>
      <c r="J330" s="228"/>
      <c r="K330" s="180"/>
      <c r="L330" s="241"/>
      <c r="M330" s="241"/>
      <c r="N330" s="194">
        <f>N329/M324</f>
        <v>445.84484848484851</v>
      </c>
      <c r="O330" s="194">
        <f>O329/M324</f>
        <v>3131.1127272727272</v>
      </c>
      <c r="P330" s="194">
        <f>P329/M324</f>
        <v>-3.393939393939394</v>
      </c>
    </row>
    <row r="331" spans="1:17" hidden="1">
      <c r="B331" s="89" t="s">
        <v>306</v>
      </c>
      <c r="C331" s="192">
        <v>512365</v>
      </c>
      <c r="D331" s="228"/>
      <c r="E331" s="245"/>
      <c r="F331" s="245"/>
      <c r="G331" s="245"/>
      <c r="H331" s="228"/>
      <c r="I331" s="228"/>
      <c r="J331" s="228"/>
      <c r="K331" s="180"/>
      <c r="L331" s="241"/>
      <c r="M331" s="241"/>
      <c r="N331" s="194">
        <f>D324*N330</f>
        <v>140886.97212121214</v>
      </c>
      <c r="O331" s="194">
        <f>D324*O330</f>
        <v>989431.62181818183</v>
      </c>
      <c r="P331" s="194">
        <f>D324*P330</f>
        <v>-1072.4848484848485</v>
      </c>
      <c r="Q331" s="194">
        <f>N331+O331+P331</f>
        <v>1129246.1090909091</v>
      </c>
    </row>
    <row r="332" spans="1:17" hidden="1">
      <c r="B332" s="101" t="s">
        <v>112</v>
      </c>
      <c r="C332" s="229">
        <f>SUM(C325:C331)</f>
        <v>2645439</v>
      </c>
      <c r="D332" s="228"/>
      <c r="E332" s="245"/>
      <c r="F332" s="245"/>
      <c r="G332" s="245"/>
      <c r="H332" s="228"/>
      <c r="I332" s="228"/>
      <c r="J332" s="228"/>
      <c r="K332" s="180"/>
      <c r="L332" s="241"/>
      <c r="M332" s="241"/>
      <c r="N332" s="194">
        <f>G324*N330</f>
        <v>891.68969696969702</v>
      </c>
      <c r="O332" s="194">
        <f>G324*O330</f>
        <v>6262.2254545454543</v>
      </c>
      <c r="P332" s="194">
        <f>G324*P330</f>
        <v>-6.7878787878787881</v>
      </c>
      <c r="Q332" s="194">
        <f t="shared" ref="Q332:Q337" si="52">N332+O332+P332</f>
        <v>7147.1272727272726</v>
      </c>
    </row>
    <row r="333" spans="1:17" hidden="1">
      <c r="N333" s="194">
        <f>H324*N330</f>
        <v>87385.590303030302</v>
      </c>
      <c r="O333" s="194">
        <f>H324*O330</f>
        <v>613698.09454545449</v>
      </c>
      <c r="P333" s="194">
        <f>H324*P330</f>
        <v>-665.21212121212125</v>
      </c>
      <c r="Q333" s="194">
        <f t="shared" si="52"/>
        <v>700418.47272727266</v>
      </c>
    </row>
    <row r="334" spans="1:17" hidden="1">
      <c r="N334" s="194">
        <f>I324*N330</f>
        <v>91844.038787878788</v>
      </c>
      <c r="O334" s="194">
        <f>I324*O330</f>
        <v>645009.2218181818</v>
      </c>
      <c r="P334" s="194">
        <f>I324*P330</f>
        <v>-699.15151515151513</v>
      </c>
      <c r="Q334" s="194">
        <f t="shared" si="52"/>
        <v>736154.10909090913</v>
      </c>
    </row>
    <row r="335" spans="1:17" hidden="1">
      <c r="N335" s="194">
        <f>J324*N330</f>
        <v>445.84484848484851</v>
      </c>
      <c r="O335" s="194">
        <f>J324*O330</f>
        <v>3131.1127272727272</v>
      </c>
      <c r="P335" s="194">
        <f>J324*P330</f>
        <v>-3.393939393939394</v>
      </c>
      <c r="Q335" s="194">
        <f t="shared" si="52"/>
        <v>3573.5636363636363</v>
      </c>
    </row>
    <row r="336" spans="1:17" hidden="1">
      <c r="N336" s="194">
        <f>K324*N330</f>
        <v>22738.087272727273</v>
      </c>
      <c r="O336" s="194">
        <f>K324*O330</f>
        <v>159686.74909090908</v>
      </c>
      <c r="P336" s="194">
        <f>K324*P330</f>
        <v>-173.09090909090909</v>
      </c>
      <c r="Q336" s="194">
        <f t="shared" si="52"/>
        <v>182251.74545454545</v>
      </c>
    </row>
    <row r="337" spans="1:17" hidden="1">
      <c r="N337" s="194">
        <f>L324*N330</f>
        <v>23629.77696969697</v>
      </c>
      <c r="O337" s="194">
        <f>L324*O330</f>
        <v>165948.97454545455</v>
      </c>
      <c r="P337" s="194">
        <f>L324*P330</f>
        <v>-179.87878787878788</v>
      </c>
      <c r="Q337" s="194">
        <f t="shared" si="52"/>
        <v>189398.87272727274</v>
      </c>
    </row>
    <row r="338" spans="1:17" hidden="1">
      <c r="M338" s="190" t="s">
        <v>311</v>
      </c>
      <c r="N338" s="190" t="s">
        <v>312</v>
      </c>
      <c r="O338" s="190" t="s">
        <v>313</v>
      </c>
    </row>
    <row r="339" spans="1:17" hidden="1">
      <c r="C339" s="184"/>
      <c r="D339" s="180">
        <v>67</v>
      </c>
      <c r="E339" s="241"/>
      <c r="F339" s="241"/>
      <c r="G339" s="241">
        <v>17</v>
      </c>
      <c r="H339" s="180">
        <v>1</v>
      </c>
      <c r="I339" s="180">
        <v>72</v>
      </c>
      <c r="J339" s="180">
        <v>44</v>
      </c>
      <c r="K339" s="180">
        <v>17</v>
      </c>
      <c r="L339" s="241">
        <f>D339+G339+H339+I339+J339+K339</f>
        <v>218</v>
      </c>
    </row>
    <row r="340" spans="1:17" ht="27.6" hidden="1">
      <c r="A340" s="80" t="s">
        <v>318</v>
      </c>
      <c r="B340" s="211" t="s">
        <v>290</v>
      </c>
      <c r="C340" s="229">
        <v>39742</v>
      </c>
      <c r="D340" s="230"/>
      <c r="E340" s="245"/>
      <c r="F340" s="245"/>
      <c r="G340" s="245"/>
      <c r="H340" s="228"/>
      <c r="I340" s="228"/>
      <c r="J340" s="228"/>
      <c r="K340" s="228"/>
      <c r="L340" s="245"/>
      <c r="M340" s="194">
        <f>C340+C342+C346</f>
        <v>195953</v>
      </c>
      <c r="N340" s="194">
        <f>C344+C345</f>
        <v>542463</v>
      </c>
      <c r="O340" s="194">
        <f>C341+C343</f>
        <v>2064267</v>
      </c>
      <c r="P340" s="194">
        <f>M340+N340+O340</f>
        <v>2802683</v>
      </c>
    </row>
    <row r="341" spans="1:17" hidden="1">
      <c r="B341" s="89" t="s">
        <v>225</v>
      </c>
      <c r="C341" s="229">
        <v>1880332</v>
      </c>
      <c r="D341" s="230"/>
      <c r="E341" s="245"/>
      <c r="F341" s="245"/>
      <c r="G341" s="245"/>
      <c r="H341" s="228"/>
      <c r="I341" s="228"/>
      <c r="J341" s="228"/>
      <c r="K341" s="228"/>
      <c r="L341" s="241"/>
      <c r="M341" s="194">
        <f>M340/L339</f>
        <v>898.86697247706422</v>
      </c>
      <c r="N341" s="194">
        <f>N340/L339</f>
        <v>2488.3623853211011</v>
      </c>
      <c r="O341" s="194">
        <f>O340/L339</f>
        <v>9469.1146788990827</v>
      </c>
    </row>
    <row r="342" spans="1:17" hidden="1">
      <c r="B342" s="89" t="s">
        <v>225</v>
      </c>
      <c r="C342" s="229">
        <v>21109</v>
      </c>
      <c r="D342" s="230"/>
      <c r="E342" s="245"/>
      <c r="F342" s="245"/>
      <c r="G342" s="245"/>
      <c r="H342" s="228"/>
      <c r="I342" s="228"/>
      <c r="J342" s="228"/>
      <c r="K342" s="228"/>
      <c r="L342" s="241"/>
    </row>
    <row r="343" spans="1:17" hidden="1">
      <c r="B343" s="89" t="s">
        <v>289</v>
      </c>
      <c r="C343" s="229">
        <v>183935</v>
      </c>
      <c r="D343" s="230"/>
      <c r="E343" s="245"/>
      <c r="F343" s="245"/>
      <c r="G343" s="245"/>
      <c r="H343" s="228"/>
      <c r="I343" s="228"/>
      <c r="J343" s="228"/>
      <c r="K343" s="228"/>
      <c r="L343" s="241"/>
      <c r="M343" s="194">
        <f>C340+232583</f>
        <v>272325</v>
      </c>
      <c r="N343" s="194">
        <f>C345+1499904</f>
        <v>1542399</v>
      </c>
      <c r="O343" s="194">
        <f>C341</f>
        <v>1880332</v>
      </c>
    </row>
    <row r="344" spans="1:17" hidden="1">
      <c r="B344" s="89" t="s">
        <v>305</v>
      </c>
      <c r="C344" s="229">
        <v>499968</v>
      </c>
      <c r="D344" s="228"/>
      <c r="E344" s="245"/>
      <c r="F344" s="245"/>
      <c r="G344" s="245"/>
      <c r="H344" s="228"/>
      <c r="I344" s="228"/>
      <c r="J344" s="228"/>
      <c r="K344" s="228"/>
      <c r="L344" s="241"/>
      <c r="M344" s="194">
        <f>M343-M340</f>
        <v>76372</v>
      </c>
      <c r="N344" s="194">
        <f>N343-N340</f>
        <v>999936</v>
      </c>
      <c r="O344" s="194">
        <f>O343-O340</f>
        <v>-183935</v>
      </c>
    </row>
    <row r="345" spans="1:17" hidden="1">
      <c r="B345" s="89" t="s">
        <v>258</v>
      </c>
      <c r="C345" s="229">
        <v>42495</v>
      </c>
      <c r="D345" s="228"/>
      <c r="E345" s="245"/>
      <c r="F345" s="245"/>
      <c r="G345" s="245"/>
      <c r="H345" s="228"/>
      <c r="I345" s="228"/>
      <c r="J345" s="228"/>
      <c r="K345" s="228"/>
      <c r="L345" s="241"/>
      <c r="M345" s="194">
        <f>M344/L339</f>
        <v>350.33027522935782</v>
      </c>
      <c r="N345" s="194">
        <f>N344/L339</f>
        <v>4586.8623853211011</v>
      </c>
      <c r="O345" s="194">
        <f>O344/L339</f>
        <v>-843.7385321100918</v>
      </c>
    </row>
    <row r="346" spans="1:17" hidden="1">
      <c r="B346" s="89" t="s">
        <v>306</v>
      </c>
      <c r="C346" s="229">
        <v>135102</v>
      </c>
      <c r="D346" s="228"/>
      <c r="E346" s="245"/>
      <c r="F346" s="245"/>
      <c r="G346" s="245"/>
      <c r="H346" s="228"/>
      <c r="I346" s="228"/>
      <c r="J346" s="228"/>
      <c r="K346" s="228"/>
      <c r="L346" s="241"/>
      <c r="M346" s="194">
        <f>D339*M345</f>
        <v>23472.128440366974</v>
      </c>
      <c r="N346" s="194">
        <f>D339*N345</f>
        <v>307319.77981651376</v>
      </c>
      <c r="O346" s="194">
        <f>D339*O345</f>
        <v>-56530.481651376147</v>
      </c>
      <c r="P346" s="194">
        <f t="shared" ref="P346:P351" si="53">M346+N346+O346</f>
        <v>274261.42660550459</v>
      </c>
    </row>
    <row r="347" spans="1:17" hidden="1">
      <c r="B347" s="101" t="s">
        <v>112</v>
      </c>
      <c r="C347" s="229">
        <f>SUM(C340:C346)</f>
        <v>2802683</v>
      </c>
      <c r="D347" s="228"/>
      <c r="E347" s="245"/>
      <c r="F347" s="245"/>
      <c r="G347" s="245"/>
      <c r="H347" s="228"/>
      <c r="I347" s="228"/>
      <c r="J347" s="228"/>
      <c r="K347" s="228"/>
      <c r="L347" s="241"/>
      <c r="M347" s="194">
        <f>G339*M345</f>
        <v>5955.6146788990827</v>
      </c>
      <c r="N347" s="194">
        <f>G339*N345</f>
        <v>77976.660550458721</v>
      </c>
      <c r="O347" s="194">
        <f>G339*O345</f>
        <v>-14343.555045871561</v>
      </c>
      <c r="P347" s="194">
        <f t="shared" si="53"/>
        <v>69588.72018348625</v>
      </c>
    </row>
    <row r="348" spans="1:17" hidden="1">
      <c r="M348" s="194">
        <f>H339*M345</f>
        <v>350.33027522935782</v>
      </c>
      <c r="N348" s="194">
        <f>H339*N345</f>
        <v>4586.8623853211011</v>
      </c>
      <c r="O348" s="194">
        <f>H339*O345</f>
        <v>-843.7385321100918</v>
      </c>
      <c r="P348" s="194">
        <f t="shared" si="53"/>
        <v>4093.4541284403667</v>
      </c>
    </row>
    <row r="349" spans="1:17" hidden="1">
      <c r="M349" s="194">
        <f>I339*M345</f>
        <v>25223.779816513765</v>
      </c>
      <c r="N349" s="194">
        <f>I339*N345</f>
        <v>330254.09174311929</v>
      </c>
      <c r="O349" s="194">
        <f>I339*O345</f>
        <v>-60749.17431192661</v>
      </c>
      <c r="P349" s="194">
        <f t="shared" si="53"/>
        <v>294728.69724770647</v>
      </c>
    </row>
    <row r="350" spans="1:17" hidden="1">
      <c r="M350" s="194">
        <f>J339*M345</f>
        <v>15414.532110091744</v>
      </c>
      <c r="N350" s="194">
        <f>J339*N345</f>
        <v>201821.94495412844</v>
      </c>
      <c r="O350" s="194">
        <f>J339*O345</f>
        <v>-37124.495412844037</v>
      </c>
      <c r="P350" s="194">
        <f t="shared" si="53"/>
        <v>180111.98165137615</v>
      </c>
    </row>
    <row r="351" spans="1:17" hidden="1">
      <c r="M351" s="194">
        <f>K339*M345</f>
        <v>5955.6146788990827</v>
      </c>
      <c r="N351" s="194">
        <f>K339*N345</f>
        <v>77976.660550458721</v>
      </c>
      <c r="O351" s="194">
        <f>K339*O345</f>
        <v>-14343.555045871561</v>
      </c>
      <c r="P351" s="194">
        <f t="shared" si="53"/>
        <v>69588.72018348625</v>
      </c>
    </row>
    <row r="352" spans="1:17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6"/>
    <mergeCell ref="B12:B23"/>
    <mergeCell ref="B24:B29"/>
    <mergeCell ref="A47:A80"/>
    <mergeCell ref="B47:B56"/>
    <mergeCell ref="B57:B64"/>
    <mergeCell ref="B66:B69"/>
    <mergeCell ref="B31:B35"/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260"/>
  <sheetViews>
    <sheetView zoomScale="60" zoomScaleNormal="60" workbookViewId="0">
      <pane xSplit="1" ySplit="13" topLeftCell="J116" activePane="bottomRight" state="frozen"/>
      <selection pane="topRight" activeCell="B1" sqref="B1"/>
      <selection pane="bottomLeft" activeCell="A12" sqref="A12"/>
      <selection pane="bottomRight" activeCell="W1" sqref="W1:AD1048576"/>
    </sheetView>
  </sheetViews>
  <sheetFormatPr defaultColWidth="9.109375" defaultRowHeight="13.8"/>
  <cols>
    <col min="1" max="1" width="30.6640625" style="80" customWidth="1"/>
    <col min="2" max="2" width="21.5546875" style="80" customWidth="1"/>
    <col min="3" max="3" width="23.6640625" style="80" customWidth="1"/>
    <col min="4" max="4" width="8.6640625" style="190" customWidth="1"/>
    <col min="5" max="5" width="14.33203125" style="190" customWidth="1"/>
    <col min="6" max="6" width="13.5546875" style="190" customWidth="1"/>
    <col min="7" max="7" width="14" style="190" customWidth="1"/>
    <col min="8" max="9" width="14.109375" style="190" customWidth="1"/>
    <col min="10" max="10" width="17.33203125" style="190" customWidth="1"/>
    <col min="11" max="11" width="17.109375" style="190" customWidth="1"/>
    <col min="12" max="12" width="16.6640625" style="190" customWidth="1"/>
    <col min="13" max="13" width="14.88671875" style="190" customWidth="1"/>
    <col min="14" max="14" width="16.33203125" style="190" customWidth="1"/>
    <col min="15" max="15" width="18.44140625" style="190" customWidth="1"/>
    <col min="16" max="16" width="5.6640625" style="190" hidden="1" customWidth="1"/>
    <col min="17" max="17" width="16.109375" style="190" customWidth="1"/>
    <col min="18" max="18" width="0.44140625" style="190" hidden="1" customWidth="1"/>
    <col min="19" max="19" width="15.33203125" style="190" customWidth="1"/>
    <col min="20" max="20" width="16.5546875" style="190" customWidth="1"/>
    <col min="21" max="21" width="17.33203125" style="190" customWidth="1"/>
    <col min="22" max="22" width="16" style="190" customWidth="1"/>
    <col min="23" max="23" width="15.33203125" style="80" hidden="1" customWidth="1"/>
    <col min="24" max="24" width="17.5546875" style="80" hidden="1" customWidth="1"/>
    <col min="25" max="25" width="18.6640625" style="80" hidden="1" customWidth="1"/>
    <col min="26" max="26" width="9.109375" style="80" hidden="1" customWidth="1"/>
    <col min="27" max="27" width="16.5546875" style="80" hidden="1" customWidth="1"/>
    <col min="28" max="28" width="17.109375" style="80" hidden="1" customWidth="1"/>
    <col min="29" max="29" width="14.33203125" style="80" hidden="1" customWidth="1"/>
    <col min="30" max="30" width="9.109375" style="80" hidden="1" customWidth="1"/>
    <col min="31" max="33" width="9.109375" style="80" customWidth="1"/>
    <col min="34" max="34" width="14.88671875" style="80" customWidth="1"/>
    <col min="35" max="16384" width="9.109375" style="80"/>
  </cols>
  <sheetData>
    <row r="1" spans="1:29" hidden="1">
      <c r="T1" s="193" t="s">
        <v>203</v>
      </c>
    </row>
    <row r="2" spans="1:29" hidden="1">
      <c r="T2" s="193" t="s">
        <v>204</v>
      </c>
    </row>
    <row r="3" spans="1:29">
      <c r="T3" s="193" t="s">
        <v>295</v>
      </c>
    </row>
    <row r="4" spans="1:29">
      <c r="T4" s="193" t="s">
        <v>361</v>
      </c>
    </row>
    <row r="5" spans="1:29">
      <c r="T5" s="193" t="s">
        <v>175</v>
      </c>
    </row>
    <row r="6" spans="1:29">
      <c r="T6" s="193" t="s">
        <v>299</v>
      </c>
    </row>
    <row r="7" spans="1:29">
      <c r="A7" s="361" t="s">
        <v>261</v>
      </c>
      <c r="B7" s="361"/>
      <c r="C7" s="362"/>
      <c r="D7" s="361"/>
      <c r="E7" s="361"/>
      <c r="F7" s="362"/>
      <c r="G7" s="362"/>
      <c r="H7" s="361"/>
      <c r="I7" s="361"/>
      <c r="J7" s="361"/>
      <c r="K7" s="362"/>
      <c r="L7" s="361"/>
      <c r="M7" s="361"/>
      <c r="N7" s="361"/>
      <c r="O7" s="361"/>
      <c r="P7" s="362"/>
      <c r="Q7" s="362"/>
      <c r="R7" s="362"/>
      <c r="S7" s="362"/>
      <c r="T7" s="361"/>
      <c r="U7" s="361"/>
      <c r="V7" s="361"/>
    </row>
    <row r="8" spans="1:29" ht="17.399999999999999">
      <c r="A8" s="219" t="s">
        <v>155</v>
      </c>
    </row>
    <row r="10" spans="1:29" ht="41.4">
      <c r="A10" s="235" t="s">
        <v>3</v>
      </c>
      <c r="B10" s="235" t="s">
        <v>81</v>
      </c>
      <c r="C10" s="235" t="s">
        <v>152</v>
      </c>
      <c r="D10" s="255" t="s">
        <v>4</v>
      </c>
      <c r="E10" s="363" t="s">
        <v>5</v>
      </c>
      <c r="F10" s="369"/>
      <c r="G10" s="369"/>
      <c r="H10" s="369"/>
      <c r="I10" s="370"/>
      <c r="J10" s="363" t="s">
        <v>6</v>
      </c>
      <c r="K10" s="364"/>
      <c r="L10" s="364"/>
      <c r="M10" s="365"/>
      <c r="N10" s="318" t="s">
        <v>7</v>
      </c>
      <c r="O10" s="318"/>
      <c r="P10" s="318"/>
      <c r="Q10" s="318"/>
      <c r="R10" s="318"/>
      <c r="S10" s="318"/>
      <c r="T10" s="318"/>
      <c r="U10" s="318"/>
      <c r="V10" s="318"/>
    </row>
    <row r="11" spans="1:29">
      <c r="A11" s="235"/>
      <c r="B11" s="235"/>
      <c r="C11" s="235"/>
      <c r="D11" s="255"/>
      <c r="E11" s="366"/>
      <c r="F11" s="367"/>
      <c r="G11" s="368"/>
      <c r="H11" s="254"/>
      <c r="I11" s="254"/>
      <c r="J11" s="255"/>
      <c r="K11" s="298"/>
      <c r="L11" s="306"/>
      <c r="M11" s="285">
        <f>(701-700.04)/144</f>
        <v>6.6666666666669195E-3</v>
      </c>
      <c r="N11" s="363"/>
      <c r="O11" s="369"/>
      <c r="P11" s="369"/>
      <c r="Q11" s="369"/>
      <c r="R11" s="369"/>
      <c r="S11" s="369"/>
      <c r="T11" s="370"/>
      <c r="U11" s="307"/>
      <c r="V11" s="307"/>
    </row>
    <row r="12" spans="1:29" ht="75" customHeight="1">
      <c r="A12" s="82"/>
      <c r="B12" s="82"/>
      <c r="C12" s="82"/>
      <c r="D12" s="45"/>
      <c r="E12" s="281" t="s">
        <v>342</v>
      </c>
      <c r="F12" s="212" t="s">
        <v>344</v>
      </c>
      <c r="G12" s="212" t="s">
        <v>263</v>
      </c>
      <c r="H12" s="256" t="s">
        <v>205</v>
      </c>
      <c r="I12" s="256" t="s">
        <v>262</v>
      </c>
      <c r="J12" s="255" t="s">
        <v>79</v>
      </c>
      <c r="K12" s="298" t="s">
        <v>224</v>
      </c>
      <c r="L12" s="304" t="s">
        <v>11</v>
      </c>
      <c r="M12" s="296" t="s">
        <v>12</v>
      </c>
      <c r="N12" s="360" t="s">
        <v>183</v>
      </c>
      <c r="O12" s="360"/>
      <c r="P12" s="360"/>
      <c r="Q12" s="360"/>
      <c r="R12" s="360"/>
      <c r="S12" s="360"/>
      <c r="T12" s="360"/>
      <c r="U12" s="311" t="s">
        <v>211</v>
      </c>
      <c r="V12" s="311" t="s">
        <v>262</v>
      </c>
      <c r="AA12" s="80">
        <v>21722659.059999999</v>
      </c>
      <c r="AB12" s="85">
        <f>AA12+U22</f>
        <v>23184442.439999998</v>
      </c>
    </row>
    <row r="13" spans="1:29" ht="81" customHeight="1">
      <c r="A13" s="83" t="s">
        <v>13</v>
      </c>
      <c r="B13" s="83" t="s">
        <v>14</v>
      </c>
      <c r="C13" s="83"/>
      <c r="D13" s="255" t="s">
        <v>15</v>
      </c>
      <c r="E13" s="281" t="s">
        <v>16</v>
      </c>
      <c r="F13" s="281" t="s">
        <v>16</v>
      </c>
      <c r="G13" s="255" t="s">
        <v>16</v>
      </c>
      <c r="H13" s="255" t="s">
        <v>16</v>
      </c>
      <c r="I13" s="255" t="s">
        <v>16</v>
      </c>
      <c r="J13" s="255" t="s">
        <v>17</v>
      </c>
      <c r="K13" s="298" t="s">
        <v>17</v>
      </c>
      <c r="L13" s="304" t="s">
        <v>17</v>
      </c>
      <c r="M13" s="275" t="s">
        <v>17</v>
      </c>
      <c r="N13" s="307" t="s">
        <v>85</v>
      </c>
      <c r="O13" s="307" t="s">
        <v>83</v>
      </c>
      <c r="P13" s="47" t="s">
        <v>228</v>
      </c>
      <c r="Q13" s="307" t="s">
        <v>84</v>
      </c>
      <c r="R13" s="47" t="s">
        <v>227</v>
      </c>
      <c r="S13" s="47" t="s">
        <v>252</v>
      </c>
      <c r="T13" s="307" t="s">
        <v>12</v>
      </c>
      <c r="U13" s="307" t="s">
        <v>17</v>
      </c>
      <c r="V13" s="307" t="s">
        <v>17</v>
      </c>
      <c r="W13" s="85"/>
      <c r="AA13" s="85">
        <f>U14-AB12</f>
        <v>1.2084506452083588E-3</v>
      </c>
    </row>
    <row r="14" spans="1:29" ht="21.6" customHeight="1">
      <c r="A14" s="237" t="s">
        <v>18</v>
      </c>
      <c r="B14" s="82"/>
      <c r="C14" s="82"/>
      <c r="D14" s="45"/>
      <c r="E14" s="191"/>
      <c r="F14" s="191"/>
      <c r="G14" s="191"/>
      <c r="H14" s="191"/>
      <c r="I14" s="191"/>
      <c r="J14" s="46"/>
      <c r="K14" s="46"/>
      <c r="L14" s="46"/>
      <c r="M14" s="213"/>
      <c r="N14" s="198">
        <f>N15+N21</f>
        <v>9072374.9993999992</v>
      </c>
      <c r="O14" s="198">
        <f>O15+O21</f>
        <v>4969701.002599814</v>
      </c>
      <c r="P14" s="198"/>
      <c r="Q14" s="198">
        <f>Q15+Q21</f>
        <v>9360019.9799520019</v>
      </c>
      <c r="R14" s="198"/>
      <c r="S14" s="198">
        <f>S22</f>
        <v>1461783.38</v>
      </c>
      <c r="T14" s="198">
        <f>T15+T21+T22</f>
        <v>24863879.371951815</v>
      </c>
      <c r="U14" s="198">
        <f>U15+U21+U22</f>
        <v>23184442.441208448</v>
      </c>
      <c r="V14" s="198">
        <f>V15+V21+V22</f>
        <v>23184442.441208448</v>
      </c>
      <c r="W14" s="85">
        <f>9360019.98</f>
        <v>9360019.9800000004</v>
      </c>
      <c r="X14" s="85">
        <f>W14-Q14</f>
        <v>4.7998502850532532E-5</v>
      </c>
      <c r="Y14" s="80">
        <f>X14/144</f>
        <v>3.3332293646203146E-7</v>
      </c>
      <c r="AA14" s="80">
        <v>8719839.9800000004</v>
      </c>
      <c r="AB14" s="85">
        <f>AA14-Q14</f>
        <v>-640179.9999520015</v>
      </c>
      <c r="AC14" s="124">
        <f>AB14/I22</f>
        <v>-4267.8666663466765</v>
      </c>
    </row>
    <row r="15" spans="1:29" ht="85.5" customHeight="1">
      <c r="A15" s="235" t="s">
        <v>247</v>
      </c>
      <c r="B15" s="84" t="s">
        <v>76</v>
      </c>
      <c r="C15" s="84"/>
      <c r="D15" s="45"/>
      <c r="E15" s="191"/>
      <c r="F15" s="191"/>
      <c r="G15" s="191"/>
      <c r="H15" s="191"/>
      <c r="I15" s="191"/>
      <c r="J15" s="46"/>
      <c r="K15" s="46"/>
      <c r="L15" s="46"/>
      <c r="M15" s="46"/>
      <c r="N15" s="46">
        <f>N16+N17+N19+N18+N20</f>
        <v>9072374.9993999992</v>
      </c>
      <c r="O15" s="46">
        <f>O16+O17+O19+O18+O20-0.01</f>
        <v>4969701.002599814</v>
      </c>
      <c r="P15" s="46">
        <f>P16+P17+P19+P18+P20</f>
        <v>0</v>
      </c>
      <c r="Q15" s="46">
        <f>Q16+Q17+Q19+Q18+Q20</f>
        <v>8434957.8499520011</v>
      </c>
      <c r="R15" s="46">
        <f>R16+R17+R19+R18+R20</f>
        <v>0</v>
      </c>
      <c r="S15" s="46">
        <f>S16+S17+S19+S18+S20</f>
        <v>0</v>
      </c>
      <c r="T15" s="46">
        <f>T16+T17+T19+T18+T20</f>
        <v>22477033.861951817</v>
      </c>
      <c r="U15" s="46">
        <f>U16+U17+U19+U18+U20-0.01</f>
        <v>20797596.93120845</v>
      </c>
      <c r="V15" s="46">
        <f>V16+V17+V19+V18+V20-0.01</f>
        <v>20797596.93120845</v>
      </c>
      <c r="W15" s="85">
        <v>21722659.059999999</v>
      </c>
      <c r="X15" s="85"/>
    </row>
    <row r="16" spans="1:29" ht="15.75" customHeight="1">
      <c r="A16" s="83"/>
      <c r="B16" s="97" t="s">
        <v>271</v>
      </c>
      <c r="C16" s="371" t="s">
        <v>274</v>
      </c>
      <c r="D16" s="44" t="s">
        <v>20</v>
      </c>
      <c r="E16" s="197">
        <v>19</v>
      </c>
      <c r="F16" s="197">
        <v>0</v>
      </c>
      <c r="G16" s="197">
        <f t="shared" ref="G16:G20" si="0">((E16*8)+(F16*4))/12</f>
        <v>12.666666666666666</v>
      </c>
      <c r="H16" s="197">
        <v>19</v>
      </c>
      <c r="I16" s="197">
        <v>19</v>
      </c>
      <c r="J16" s="46">
        <f>49378.38+5671.1863-131.3-0.6389-0.1528-0.0145-0.0174</f>
        <v>54917.4427</v>
      </c>
      <c r="K16" s="46">
        <f>(12142.68*1.802017)+8329.23-1146.2-3.11+176.9843+9199.0942+1235+165.87+25.7199+0.0076</f>
        <v>39863.911785559998</v>
      </c>
      <c r="L16" s="46">
        <f>50454.5766+0.00627+270+410.666663-4.297066+834.239466+12623.42922-6012.518445</f>
        <v>58576.102707999999</v>
      </c>
      <c r="M16" s="46">
        <f>J16+K16+L16</f>
        <v>153357.45719356</v>
      </c>
      <c r="N16" s="46">
        <f>G16*J16+0.06</f>
        <v>695621.00086666667</v>
      </c>
      <c r="O16" s="46">
        <f>G16*K16+0.12</f>
        <v>504943.00261709327</v>
      </c>
      <c r="P16" s="46"/>
      <c r="Q16" s="46">
        <f>G16*L16</f>
        <v>741963.96763466659</v>
      </c>
      <c r="R16" s="46"/>
      <c r="S16" s="46">
        <v>0</v>
      </c>
      <c r="T16" s="46">
        <f t="shared" ref="T16:T21" si="1">SUM(N16:Q16)</f>
        <v>1942527.9711184264</v>
      </c>
      <c r="U16" s="46">
        <v>2490000</v>
      </c>
      <c r="V16" s="46">
        <f t="shared" ref="V16:V21" si="2">U16</f>
        <v>2490000</v>
      </c>
      <c r="X16" s="85">
        <f>W15-U14</f>
        <v>-1461783.3812084496</v>
      </c>
    </row>
    <row r="17" spans="1:29" ht="15.75" customHeight="1">
      <c r="A17" s="88"/>
      <c r="B17" s="97" t="s">
        <v>269</v>
      </c>
      <c r="C17" s="373"/>
      <c r="D17" s="256" t="s">
        <v>20</v>
      </c>
      <c r="E17" s="197">
        <v>60</v>
      </c>
      <c r="F17" s="197">
        <v>54</v>
      </c>
      <c r="G17" s="197">
        <f t="shared" si="0"/>
        <v>58</v>
      </c>
      <c r="H17" s="197">
        <v>60</v>
      </c>
      <c r="I17" s="197">
        <v>60</v>
      </c>
      <c r="J17" s="46">
        <f>39098.57+5671.1863-131.3-0.63-0.1528-0.0145-0.0174</f>
        <v>44637.641600000003</v>
      </c>
      <c r="K17" s="46">
        <f t="shared" ref="K17:K20" si="3">(12142.68*1.802017)+8329.23-1146.2-3.11+176.9843+9199.0942+1235+165.87+25.7199+0.0076</f>
        <v>39863.911785559998</v>
      </c>
      <c r="L17" s="46">
        <f t="shared" ref="L17:L20" si="4">50454.5766+0.00627+270+410.666663-4.297066+834.239466+12623.42922-6012.518445</f>
        <v>58576.102707999999</v>
      </c>
      <c r="M17" s="46">
        <f>J17+K17+L17</f>
        <v>143077.65609355998</v>
      </c>
      <c r="N17" s="46">
        <f>G17*J17-0.21</f>
        <v>2588983.0028000004</v>
      </c>
      <c r="O17" s="46">
        <f>G17*K17+0.12</f>
        <v>2312107.0035624802</v>
      </c>
      <c r="P17" s="46"/>
      <c r="Q17" s="46">
        <f>G17*L17</f>
        <v>3397413.957064</v>
      </c>
      <c r="R17" s="46"/>
      <c r="S17" s="46">
        <v>0</v>
      </c>
      <c r="T17" s="46">
        <f t="shared" si="1"/>
        <v>8298503.963426481</v>
      </c>
      <c r="U17" s="46">
        <f>6879303.84-48983.57-1048520.24+2050469.99+1461783.38</f>
        <v>9294053.3999999985</v>
      </c>
      <c r="V17" s="46">
        <f t="shared" si="2"/>
        <v>9294053.3999999985</v>
      </c>
      <c r="X17" s="85"/>
    </row>
    <row r="18" spans="1:29" ht="120" customHeight="1">
      <c r="A18" s="88"/>
      <c r="B18" s="93" t="s">
        <v>268</v>
      </c>
      <c r="C18" s="372"/>
      <c r="D18" s="256" t="s">
        <v>20</v>
      </c>
      <c r="E18" s="197">
        <v>22</v>
      </c>
      <c r="F18" s="197">
        <v>60</v>
      </c>
      <c r="G18" s="197">
        <f t="shared" si="0"/>
        <v>34.666666666666664</v>
      </c>
      <c r="H18" s="197">
        <v>22</v>
      </c>
      <c r="I18" s="197">
        <v>22</v>
      </c>
      <c r="J18" s="214">
        <f>77037.7+5671.1863-131.3-0.63-0.1528-0.0145-0.0174</f>
        <v>82576.771599999993</v>
      </c>
      <c r="K18" s="46">
        <f t="shared" si="3"/>
        <v>39863.911785559998</v>
      </c>
      <c r="L18" s="46">
        <f t="shared" si="4"/>
        <v>58576.102707999999</v>
      </c>
      <c r="M18" s="46">
        <f t="shared" ref="M18:M58" si="5">J18+K18+L18</f>
        <v>181016.78609355999</v>
      </c>
      <c r="N18" s="46">
        <f>G18*J18-0.42</f>
        <v>2862660.9954666663</v>
      </c>
      <c r="O18" s="46">
        <f>G18*K18+0.06</f>
        <v>1381949.0018994133</v>
      </c>
      <c r="P18" s="46"/>
      <c r="Q18" s="46">
        <f>G18*L18</f>
        <v>2030638.2272106665</v>
      </c>
      <c r="R18" s="46"/>
      <c r="S18" s="46">
        <v>0</v>
      </c>
      <c r="T18" s="46">
        <f t="shared" si="1"/>
        <v>6275248.224576747</v>
      </c>
      <c r="U18" s="46">
        <v>3491663.84</v>
      </c>
      <c r="V18" s="46">
        <f t="shared" si="2"/>
        <v>3491663.84</v>
      </c>
      <c r="X18" s="85"/>
    </row>
    <row r="19" spans="1:29" ht="138.75" customHeight="1">
      <c r="A19" s="88"/>
      <c r="B19" s="97" t="s">
        <v>269</v>
      </c>
      <c r="C19" s="93" t="s">
        <v>273</v>
      </c>
      <c r="D19" s="256" t="s">
        <v>20</v>
      </c>
      <c r="E19" s="197">
        <v>17</v>
      </c>
      <c r="F19" s="197">
        <v>18</v>
      </c>
      <c r="G19" s="197">
        <f t="shared" si="0"/>
        <v>17.333333333333332</v>
      </c>
      <c r="H19" s="197">
        <v>17</v>
      </c>
      <c r="I19" s="197">
        <v>17</v>
      </c>
      <c r="J19" s="215">
        <f>75101.54+5671.1863-131.3885-0.63-0.1528-0.0145-0.0174</f>
        <v>80640.523099999991</v>
      </c>
      <c r="K19" s="46">
        <f t="shared" si="3"/>
        <v>39863.911785559998</v>
      </c>
      <c r="L19" s="46">
        <f t="shared" si="4"/>
        <v>58576.102707999999</v>
      </c>
      <c r="M19" s="46">
        <f t="shared" si="5"/>
        <v>179080.53759355997</v>
      </c>
      <c r="N19" s="46">
        <f>G19*J19-0.07</f>
        <v>1397768.9970666664</v>
      </c>
      <c r="O19" s="46">
        <f>G19*K19-0.47</f>
        <v>690974.00094970665</v>
      </c>
      <c r="P19" s="46"/>
      <c r="Q19" s="46">
        <f>G19*L19-0.47</f>
        <v>1015318.6436053333</v>
      </c>
      <c r="R19" s="46"/>
      <c r="S19" s="46">
        <v>0</v>
      </c>
      <c r="T19" s="46">
        <f t="shared" si="1"/>
        <v>3104061.6416217061</v>
      </c>
      <c r="U19" s="46">
        <v>2665187.64</v>
      </c>
      <c r="V19" s="46">
        <f t="shared" si="2"/>
        <v>2665187.64</v>
      </c>
      <c r="X19" s="85"/>
    </row>
    <row r="20" spans="1:29" ht="107.25" customHeight="1">
      <c r="A20" s="88"/>
      <c r="B20" s="93" t="s">
        <v>270</v>
      </c>
      <c r="C20" s="93" t="s">
        <v>272</v>
      </c>
      <c r="D20" s="256" t="s">
        <v>31</v>
      </c>
      <c r="E20" s="197">
        <v>32</v>
      </c>
      <c r="F20" s="197">
        <v>0</v>
      </c>
      <c r="G20" s="197">
        <f t="shared" si="0"/>
        <v>21.333333333333332</v>
      </c>
      <c r="H20" s="197">
        <v>32</v>
      </c>
      <c r="I20" s="197">
        <v>32</v>
      </c>
      <c r="J20" s="215">
        <f>758131.11+5671.1863-131.3-0.63-0.1528-0.0145-0.0174</f>
        <v>763670.18159999978</v>
      </c>
      <c r="K20" s="46">
        <f t="shared" si="3"/>
        <v>39863.911785559998</v>
      </c>
      <c r="L20" s="46">
        <f t="shared" si="4"/>
        <v>58576.102707999999</v>
      </c>
      <c r="M20" s="46">
        <v>856310.33297555987</v>
      </c>
      <c r="N20" s="46">
        <f>(((3*8)+(0*4))/12)*J20+0.64</f>
        <v>1527341.0031999995</v>
      </c>
      <c r="O20" s="46">
        <f>(((3*8)+(0*4))/12)*K20+0.18</f>
        <v>79728.003571119989</v>
      </c>
      <c r="P20" s="46"/>
      <c r="Q20" s="46">
        <f>G20*L20-0.47</f>
        <v>1249623.0544373333</v>
      </c>
      <c r="R20" s="46"/>
      <c r="S20" s="46"/>
      <c r="T20" s="46">
        <f t="shared" si="1"/>
        <v>2856692.061208453</v>
      </c>
      <c r="U20" s="46">
        <f>T20</f>
        <v>2856692.061208453</v>
      </c>
      <c r="V20" s="46">
        <f t="shared" si="2"/>
        <v>2856692.061208453</v>
      </c>
      <c r="X20" s="85">
        <f>((3*8)+(0*4))/12</f>
        <v>2</v>
      </c>
    </row>
    <row r="21" spans="1:29" s="252" customFormat="1" ht="63" customHeight="1">
      <c r="A21" s="287" t="s">
        <v>248</v>
      </c>
      <c r="B21" s="196" t="s">
        <v>28</v>
      </c>
      <c r="C21" s="196" t="s">
        <v>219</v>
      </c>
      <c r="D21" s="45"/>
      <c r="E21" s="197">
        <f>E19+E18+E17+E16+E20</f>
        <v>150</v>
      </c>
      <c r="F21" s="197">
        <f>F19+F18+F17+F16+F20</f>
        <v>132</v>
      </c>
      <c r="G21" s="197">
        <f>G19+G18+G17+G16+G20</f>
        <v>144</v>
      </c>
      <c r="H21" s="197">
        <f t="shared" ref="H21:I21" si="6">H19+H18+H17+H16+H20</f>
        <v>150</v>
      </c>
      <c r="I21" s="197">
        <f t="shared" si="6"/>
        <v>150</v>
      </c>
      <c r="J21" s="46">
        <v>0</v>
      </c>
      <c r="K21" s="46"/>
      <c r="L21" s="46">
        <f>Q21/G21</f>
        <v>6424.0425694444448</v>
      </c>
      <c r="M21" s="46">
        <f>J21+K21+L21</f>
        <v>6424.0425694444448</v>
      </c>
      <c r="N21" s="203">
        <f>E21*J21</f>
        <v>0</v>
      </c>
      <c r="O21" s="46"/>
      <c r="P21" s="46"/>
      <c r="Q21" s="46">
        <v>925062.13</v>
      </c>
      <c r="R21" s="46"/>
      <c r="S21" s="46">
        <v>0</v>
      </c>
      <c r="T21" s="46">
        <f t="shared" si="1"/>
        <v>925062.13</v>
      </c>
      <c r="U21" s="46">
        <f>T21</f>
        <v>925062.13</v>
      </c>
      <c r="V21" s="46">
        <f t="shared" si="2"/>
        <v>925062.13</v>
      </c>
      <c r="AA21" s="274">
        <f>18835786.28+U35</f>
        <v>19648621.560000002</v>
      </c>
      <c r="AB21" s="274">
        <f>U25-AA21</f>
        <v>0</v>
      </c>
      <c r="AC21" s="274"/>
    </row>
    <row r="22" spans="1:29" s="190" customFormat="1" ht="18.75" customHeight="1">
      <c r="A22" s="239"/>
      <c r="B22" s="196" t="s">
        <v>28</v>
      </c>
      <c r="C22" s="196" t="s">
        <v>220</v>
      </c>
      <c r="D22" s="45"/>
      <c r="E22" s="197"/>
      <c r="F22" s="197"/>
      <c r="G22" s="197">
        <v>144</v>
      </c>
      <c r="H22" s="197">
        <v>150</v>
      </c>
      <c r="I22" s="197">
        <v>150</v>
      </c>
      <c r="J22" s="46"/>
      <c r="K22" s="46"/>
      <c r="L22" s="46">
        <f>S22/G22</f>
        <v>10151.273472222221</v>
      </c>
      <c r="M22" s="46">
        <f>J22+K22+L22</f>
        <v>10151.273472222221</v>
      </c>
      <c r="N22" s="203"/>
      <c r="O22" s="46"/>
      <c r="P22" s="46"/>
      <c r="Q22" s="46"/>
      <c r="R22" s="46"/>
      <c r="S22" s="46">
        <f>1461783.38</f>
        <v>1461783.38</v>
      </c>
      <c r="T22" s="46">
        <f>S22</f>
        <v>1461783.38</v>
      </c>
      <c r="U22" s="46">
        <f>S22</f>
        <v>1461783.38</v>
      </c>
      <c r="V22" s="46">
        <f>S22</f>
        <v>1461783.38</v>
      </c>
    </row>
    <row r="23" spans="1:29" ht="18.75" hidden="1" customHeight="1">
      <c r="A23" s="236"/>
      <c r="B23" s="128"/>
      <c r="C23" s="127" t="s">
        <v>226</v>
      </c>
      <c r="D23" s="256"/>
      <c r="E23" s="197"/>
      <c r="F23" s="197"/>
      <c r="G23" s="197"/>
      <c r="H23" s="197"/>
      <c r="I23" s="197"/>
      <c r="J23" s="46"/>
      <c r="K23" s="46"/>
      <c r="L23" s="46"/>
      <c r="M23" s="46">
        <f t="shared" si="5"/>
        <v>0</v>
      </c>
      <c r="N23" s="203"/>
      <c r="O23" s="46"/>
      <c r="P23" s="203"/>
      <c r="Q23" s="46"/>
      <c r="R23" s="46"/>
      <c r="S23" s="46"/>
      <c r="T23" s="46">
        <f>N23+O23+P23+Q23</f>
        <v>0</v>
      </c>
      <c r="U23" s="46">
        <f>T23</f>
        <v>0</v>
      </c>
      <c r="V23" s="46">
        <f>U23</f>
        <v>0</v>
      </c>
    </row>
    <row r="24" spans="1:29" ht="18.75" customHeight="1">
      <c r="A24" s="236"/>
      <c r="B24" s="128"/>
      <c r="C24" s="127"/>
      <c r="D24" s="256"/>
      <c r="E24" s="197"/>
      <c r="F24" s="197"/>
      <c r="G24" s="197"/>
      <c r="H24" s="197"/>
      <c r="I24" s="197"/>
      <c r="J24" s="46"/>
      <c r="K24" s="46"/>
      <c r="L24" s="46"/>
      <c r="M24" s="46">
        <f t="shared" si="5"/>
        <v>0</v>
      </c>
      <c r="N24" s="203"/>
      <c r="O24" s="46"/>
      <c r="P24" s="203"/>
      <c r="Q24" s="46"/>
      <c r="R24" s="46"/>
      <c r="S24" s="46"/>
      <c r="T24" s="46">
        <f>O24</f>
        <v>0</v>
      </c>
      <c r="U24" s="46">
        <f>T24</f>
        <v>0</v>
      </c>
      <c r="V24" s="46">
        <f>U24</f>
        <v>0</v>
      </c>
    </row>
    <row r="25" spans="1:29" ht="18.75" customHeight="1">
      <c r="A25" s="237" t="s">
        <v>35</v>
      </c>
      <c r="B25" s="236"/>
      <c r="C25" s="127"/>
      <c r="D25" s="201"/>
      <c r="E25" s="217"/>
      <c r="F25" s="217"/>
      <c r="G25" s="217"/>
      <c r="H25" s="217"/>
      <c r="I25" s="217"/>
      <c r="J25" s="198"/>
      <c r="K25" s="198"/>
      <c r="L25" s="213"/>
      <c r="M25" s="46">
        <f t="shared" si="5"/>
        <v>0</v>
      </c>
      <c r="N25" s="198">
        <f>N26+N34</f>
        <v>9209921.9994710665</v>
      </c>
      <c r="O25" s="198">
        <f>O26</f>
        <v>3811496.9964404805</v>
      </c>
      <c r="P25" s="204">
        <f>P26</f>
        <v>0</v>
      </c>
      <c r="Q25" s="198">
        <f>Q26+Q34</f>
        <v>6390252.5499614403</v>
      </c>
      <c r="R25" s="198">
        <f>R26</f>
        <v>0</v>
      </c>
      <c r="S25" s="198">
        <f>S35</f>
        <v>812835.28</v>
      </c>
      <c r="T25" s="198">
        <f>T26+T34+T35</f>
        <v>20224506.825872988</v>
      </c>
      <c r="U25" s="198">
        <f>U26+U34+U35-0.99</f>
        <v>19648621.560000002</v>
      </c>
      <c r="V25" s="198">
        <f>V26+V34+V35-0.99</f>
        <v>19648621.560000002</v>
      </c>
      <c r="W25" s="80">
        <v>6390252.5499999998</v>
      </c>
      <c r="X25" s="85">
        <f>W25-Q25</f>
        <v>3.8559548556804657E-5</v>
      </c>
      <c r="Y25" s="80">
        <f>X25/108</f>
        <v>3.570328570074505E-7</v>
      </c>
      <c r="AA25" s="80">
        <v>6003686.5499999998</v>
      </c>
      <c r="AB25" s="85">
        <f>AA25-Q25</f>
        <v>-386565.99996144045</v>
      </c>
      <c r="AC25" s="80">
        <f>AB25/I34</f>
        <v>-3482.5765762291931</v>
      </c>
    </row>
    <row r="26" spans="1:29" ht="84.75" customHeight="1">
      <c r="A26" s="235" t="s">
        <v>247</v>
      </c>
      <c r="B26" s="84" t="s">
        <v>76</v>
      </c>
      <c r="C26" s="128"/>
      <c r="D26" s="45"/>
      <c r="E26" s="216"/>
      <c r="F26" s="216"/>
      <c r="G26" s="216"/>
      <c r="H26" s="216"/>
      <c r="I26" s="216"/>
      <c r="J26" s="46"/>
      <c r="K26" s="46"/>
      <c r="L26" s="46"/>
      <c r="M26" s="46">
        <f t="shared" si="5"/>
        <v>0</v>
      </c>
      <c r="N26" s="46">
        <f>SUM(N27:N35)-0.01</f>
        <v>9209921.9994710665</v>
      </c>
      <c r="O26" s="46">
        <f>SUM(O27:O35)</f>
        <v>3811496.9964404805</v>
      </c>
      <c r="P26" s="203"/>
      <c r="Q26" s="46">
        <f>SUM(Q27:Q31)</f>
        <v>5782868.5899614403</v>
      </c>
      <c r="R26" s="46"/>
      <c r="S26" s="46"/>
      <c r="T26" s="46">
        <f>SUM(T27:T33)-0.01</f>
        <v>18804287.585872985</v>
      </c>
      <c r="U26" s="46">
        <f>SUM(U27:U33)-0.02</f>
        <v>18228403.309999999</v>
      </c>
      <c r="V26" s="46">
        <f>SUM(V27:V33)-0.02</f>
        <v>18228403.309999999</v>
      </c>
      <c r="W26" s="85">
        <v>18835786.280000001</v>
      </c>
      <c r="Y26" s="85"/>
      <c r="AA26" s="85"/>
    </row>
    <row r="27" spans="1:29" ht="52.5" customHeight="1">
      <c r="A27" s="83"/>
      <c r="B27" s="97" t="s">
        <v>271</v>
      </c>
      <c r="C27" s="374" t="s">
        <v>274</v>
      </c>
      <c r="D27" s="256" t="s">
        <v>20</v>
      </c>
      <c r="E27" s="197">
        <v>17</v>
      </c>
      <c r="F27" s="197">
        <v>19</v>
      </c>
      <c r="G27" s="197">
        <f t="shared" ref="G27:G33" si="7">((E27*8)+(F27*4))/12</f>
        <v>17.666666666666668</v>
      </c>
      <c r="H27" s="197">
        <v>13</v>
      </c>
      <c r="I27" s="197">
        <v>13</v>
      </c>
      <c r="J27" s="46">
        <f>43138.04+2775.31+2668.6294+0.0067593+101.9722</f>
        <v>48683.958359299992</v>
      </c>
      <c r="K27" s="46">
        <f>(12142.68*1.802017)+12312.12+949.8177+148.395</f>
        <v>35291.648485559999</v>
      </c>
      <c r="L27" s="46">
        <f>47485.28351+180.1801837+90.09009008+859.7848649+4929.740888</f>
        <v>53545.079536680001</v>
      </c>
      <c r="M27" s="46">
        <f t="shared" si="5"/>
        <v>137520.68638153997</v>
      </c>
      <c r="N27" s="46">
        <f>G27*J27-0.26</f>
        <v>860083.00434763322</v>
      </c>
      <c r="O27" s="46">
        <f>G27*K27</f>
        <v>623485.78991156002</v>
      </c>
      <c r="P27" s="203"/>
      <c r="Q27" s="46">
        <f>G27*L27</f>
        <v>945963.07181468012</v>
      </c>
      <c r="R27" s="46"/>
      <c r="S27" s="46"/>
      <c r="T27" s="46">
        <f>SUM(N27:Q27)</f>
        <v>2429531.8660738734</v>
      </c>
      <c r="U27" s="46">
        <v>1641571.38</v>
      </c>
      <c r="V27" s="46">
        <f>U27</f>
        <v>1641571.38</v>
      </c>
      <c r="X27" s="85">
        <f>W26-U25</f>
        <v>-812835.28000000119</v>
      </c>
    </row>
    <row r="28" spans="1:29" ht="52.5" customHeight="1">
      <c r="A28" s="83"/>
      <c r="B28" s="97" t="s">
        <v>269</v>
      </c>
      <c r="C28" s="375"/>
      <c r="D28" s="256" t="s">
        <v>20</v>
      </c>
      <c r="E28" s="197">
        <v>20</v>
      </c>
      <c r="F28" s="197">
        <v>0</v>
      </c>
      <c r="G28" s="197">
        <f t="shared" si="7"/>
        <v>13.333333333333334</v>
      </c>
      <c r="H28" s="197">
        <v>24</v>
      </c>
      <c r="I28" s="197">
        <v>24</v>
      </c>
      <c r="J28" s="46">
        <f>34198.17+2775.31+2668.6294+0.0067593+101.9722</f>
        <v>39744.088359299989</v>
      </c>
      <c r="K28" s="46">
        <f t="shared" ref="K28:K31" si="8">(12142.68*1.802017)+12312.12+949.8177+148.395</f>
        <v>35291.648485559999</v>
      </c>
      <c r="L28" s="46">
        <f t="shared" ref="L28:L31" si="9">47485.28351+180.1801837+90.09009008+859.7848649+4929.740888</f>
        <v>53545.079536680001</v>
      </c>
      <c r="M28" s="46">
        <f t="shared" si="5"/>
        <v>128580.81638153999</v>
      </c>
      <c r="N28" s="46">
        <f>G28*J28-0.18</f>
        <v>529920.9981239998</v>
      </c>
      <c r="O28" s="46">
        <f>G28*K28-0.31</f>
        <v>470555.00314079999</v>
      </c>
      <c r="P28" s="203"/>
      <c r="Q28" s="46">
        <f>G28*L28</f>
        <v>713934.39382240002</v>
      </c>
      <c r="R28" s="46"/>
      <c r="S28" s="46"/>
      <c r="T28" s="46">
        <f>SUM(N28:Q28)</f>
        <v>1714410.3950871998</v>
      </c>
      <c r="U28" s="46">
        <v>2816035.73</v>
      </c>
      <c r="V28" s="46">
        <f>U28</f>
        <v>2816035.73</v>
      </c>
    </row>
    <row r="29" spans="1:29" ht="54.75" customHeight="1">
      <c r="A29" s="83"/>
      <c r="B29" s="97" t="s">
        <v>333</v>
      </c>
      <c r="C29" s="374" t="s">
        <v>275</v>
      </c>
      <c r="D29" s="256" t="s">
        <v>20</v>
      </c>
      <c r="E29" s="197">
        <v>18</v>
      </c>
      <c r="F29" s="197">
        <v>0</v>
      </c>
      <c r="G29" s="197">
        <f t="shared" si="7"/>
        <v>12</v>
      </c>
      <c r="H29" s="197">
        <v>18</v>
      </c>
      <c r="I29" s="197">
        <v>18</v>
      </c>
      <c r="J29" s="46">
        <f>142093.58+2775.31+2668.6294+0.0067593+101.9722</f>
        <v>147639.49835929999</v>
      </c>
      <c r="K29" s="46">
        <f t="shared" si="8"/>
        <v>35291.648485559999</v>
      </c>
      <c r="L29" s="46">
        <f t="shared" si="9"/>
        <v>53545.079536680001</v>
      </c>
      <c r="M29" s="46">
        <f t="shared" si="5"/>
        <v>236476.22638154001</v>
      </c>
      <c r="N29" s="46">
        <f>G29*J29+0.02</f>
        <v>1771674.0003116</v>
      </c>
      <c r="O29" s="46">
        <f>G29*K29</f>
        <v>423499.78182671999</v>
      </c>
      <c r="P29" s="203"/>
      <c r="Q29" s="46">
        <f>G29*L29</f>
        <v>642540.95444015996</v>
      </c>
      <c r="R29" s="46"/>
      <c r="S29" s="46"/>
      <c r="T29" s="46">
        <f>SUM(N29:Q29)</f>
        <v>2837714.7365784803</v>
      </c>
      <c r="U29" s="46">
        <v>4054144.04</v>
      </c>
      <c r="V29" s="46">
        <f>U29</f>
        <v>4054144.04</v>
      </c>
    </row>
    <row r="30" spans="1:29" ht="50.25" customHeight="1">
      <c r="A30" s="83"/>
      <c r="B30" s="97" t="s">
        <v>301</v>
      </c>
      <c r="C30" s="376"/>
      <c r="D30" s="256" t="s">
        <v>20</v>
      </c>
      <c r="E30" s="197">
        <v>13</v>
      </c>
      <c r="F30" s="197">
        <v>30</v>
      </c>
      <c r="G30" s="197">
        <f t="shared" si="7"/>
        <v>18.666666666666668</v>
      </c>
      <c r="H30" s="197">
        <v>13</v>
      </c>
      <c r="I30" s="197">
        <v>13</v>
      </c>
      <c r="J30" s="46">
        <f>142093.58+2775.31+2668.6294+0.0067593+101.9722</f>
        <v>147639.49835929999</v>
      </c>
      <c r="K30" s="46">
        <f t="shared" si="8"/>
        <v>35291.648485559999</v>
      </c>
      <c r="L30" s="46">
        <f t="shared" si="9"/>
        <v>53545.079536680001</v>
      </c>
      <c r="M30" s="46">
        <f t="shared" si="5"/>
        <v>236476.22638154001</v>
      </c>
      <c r="N30" s="46">
        <f>G30*J30+0.7</f>
        <v>2755938.0027069338</v>
      </c>
      <c r="O30" s="46">
        <f>G30*K30-0.44</f>
        <v>658776.99839712004</v>
      </c>
      <c r="P30" s="203"/>
      <c r="Q30" s="46">
        <f>G30*L30</f>
        <v>999508.15135136014</v>
      </c>
      <c r="R30" s="46"/>
      <c r="S30" s="46"/>
      <c r="T30" s="46">
        <f>SUM(N30:Q30)</f>
        <v>4414223.1524554137</v>
      </c>
      <c r="U30" s="46">
        <v>2927993.38</v>
      </c>
      <c r="V30" s="46">
        <f>U30</f>
        <v>2927993.38</v>
      </c>
    </row>
    <row r="31" spans="1:29" ht="105.75" customHeight="1">
      <c r="A31" s="83"/>
      <c r="B31" s="93" t="s">
        <v>277</v>
      </c>
      <c r="C31" s="93" t="s">
        <v>276</v>
      </c>
      <c r="D31" s="256" t="s">
        <v>20</v>
      </c>
      <c r="E31" s="197">
        <v>43</v>
      </c>
      <c r="F31" s="197">
        <v>53</v>
      </c>
      <c r="G31" s="197">
        <f t="shared" si="7"/>
        <v>46.333333333333336</v>
      </c>
      <c r="H31" s="197">
        <v>43</v>
      </c>
      <c r="I31" s="197">
        <v>43</v>
      </c>
      <c r="J31" s="215">
        <f>65511.03+2775.31+2668.6294+0.0067593+101.9722</f>
        <v>71056.948359300004</v>
      </c>
      <c r="K31" s="46">
        <f t="shared" si="8"/>
        <v>35291.648485559999</v>
      </c>
      <c r="L31" s="46">
        <f t="shared" si="9"/>
        <v>53545.079536680001</v>
      </c>
      <c r="M31" s="46">
        <f t="shared" si="5"/>
        <v>159893.67638154002</v>
      </c>
      <c r="N31" s="46">
        <f>G31*J31-0.27+1</f>
        <v>3292306.0039809002</v>
      </c>
      <c r="O31" s="46">
        <f>G31*K31-0.29</f>
        <v>1635179.4231642799</v>
      </c>
      <c r="P31" s="203"/>
      <c r="Q31" s="46">
        <f>G31*L31</f>
        <v>2480922.0185328401</v>
      </c>
      <c r="R31" s="46"/>
      <c r="S31" s="46"/>
      <c r="T31" s="46">
        <f>SUM(N31:Q31)</f>
        <v>7408407.4456780199</v>
      </c>
      <c r="U31" s="46">
        <f>7227653.95-438995.15-812835.53+812835.28+0.25</f>
        <v>6788658.7999999998</v>
      </c>
      <c r="V31" s="46">
        <f>U31</f>
        <v>6788658.7999999998</v>
      </c>
    </row>
    <row r="32" spans="1:29" ht="18.75" hidden="1" customHeight="1">
      <c r="A32" s="83"/>
      <c r="B32" s="128"/>
      <c r="C32" s="127" t="s">
        <v>226</v>
      </c>
      <c r="D32" s="256"/>
      <c r="E32" s="197"/>
      <c r="F32" s="197"/>
      <c r="G32" s="197">
        <f t="shared" si="7"/>
        <v>0</v>
      </c>
      <c r="H32" s="197"/>
      <c r="I32" s="197"/>
      <c r="J32" s="46"/>
      <c r="K32" s="46"/>
      <c r="L32" s="46"/>
      <c r="M32" s="46">
        <f t="shared" si="5"/>
        <v>0</v>
      </c>
      <c r="N32" s="203"/>
      <c r="O32" s="46"/>
      <c r="P32" s="203"/>
      <c r="Q32" s="46"/>
      <c r="R32" s="46"/>
      <c r="S32" s="46"/>
      <c r="T32" s="46">
        <f>N32</f>
        <v>0</v>
      </c>
      <c r="U32" s="46">
        <f t="shared" ref="U32:V34" si="10">T32</f>
        <v>0</v>
      </c>
      <c r="V32" s="46">
        <f t="shared" si="10"/>
        <v>0</v>
      </c>
    </row>
    <row r="33" spans="1:29" ht="20.25" hidden="1" customHeight="1">
      <c r="A33" s="83"/>
      <c r="B33" s="128"/>
      <c r="C33" s="127"/>
      <c r="D33" s="256"/>
      <c r="E33" s="197"/>
      <c r="F33" s="197"/>
      <c r="G33" s="197">
        <f t="shared" si="7"/>
        <v>0</v>
      </c>
      <c r="H33" s="197"/>
      <c r="I33" s="197"/>
      <c r="J33" s="46"/>
      <c r="K33" s="46"/>
      <c r="L33" s="46"/>
      <c r="M33" s="46">
        <f t="shared" si="5"/>
        <v>0</v>
      </c>
      <c r="N33" s="203"/>
      <c r="O33" s="46"/>
      <c r="P33" s="203"/>
      <c r="Q33" s="46"/>
      <c r="R33" s="46"/>
      <c r="S33" s="46"/>
      <c r="T33" s="46">
        <f>O33</f>
        <v>0</v>
      </c>
      <c r="U33" s="46">
        <f t="shared" si="10"/>
        <v>0</v>
      </c>
      <c r="V33" s="46">
        <f t="shared" si="10"/>
        <v>0</v>
      </c>
    </row>
    <row r="34" spans="1:29" ht="64.5" customHeight="1">
      <c r="A34" s="235" t="s">
        <v>248</v>
      </c>
      <c r="B34" s="236" t="s">
        <v>327</v>
      </c>
      <c r="C34" s="127" t="s">
        <v>219</v>
      </c>
      <c r="D34" s="256" t="s">
        <v>20</v>
      </c>
      <c r="E34" s="197">
        <f>E27+E28+E29+E30+E31</f>
        <v>111</v>
      </c>
      <c r="F34" s="197">
        <f>F27+F28+F29+F30+F31</f>
        <v>102</v>
      </c>
      <c r="G34" s="197">
        <f>G27+G28+G29+G30+G31</f>
        <v>108</v>
      </c>
      <c r="H34" s="197">
        <v>111</v>
      </c>
      <c r="I34" s="197">
        <v>111</v>
      </c>
      <c r="J34" s="46" t="s">
        <v>23</v>
      </c>
      <c r="K34" s="46"/>
      <c r="L34" s="46">
        <f>Q34/G34</f>
        <v>5623.9255555555555</v>
      </c>
      <c r="M34" s="46">
        <f t="shared" si="5"/>
        <v>5623.9255555555555</v>
      </c>
      <c r="N34" s="203">
        <f>E34*J34</f>
        <v>0</v>
      </c>
      <c r="O34" s="46"/>
      <c r="P34" s="203"/>
      <c r="Q34" s="46">
        <v>607383.96</v>
      </c>
      <c r="R34" s="46"/>
      <c r="S34" s="46"/>
      <c r="T34" s="46">
        <f>SUM(N34:Q34)</f>
        <v>607383.96</v>
      </c>
      <c r="U34" s="46">
        <f t="shared" si="10"/>
        <v>607383.96</v>
      </c>
      <c r="V34" s="46">
        <f t="shared" si="10"/>
        <v>607383.96</v>
      </c>
    </row>
    <row r="35" spans="1:29">
      <c r="A35" s="86"/>
      <c r="B35" s="236" t="s">
        <v>327</v>
      </c>
      <c r="C35" s="127" t="s">
        <v>220</v>
      </c>
      <c r="D35" s="256"/>
      <c r="E35" s="197"/>
      <c r="F35" s="197"/>
      <c r="G35" s="197">
        <v>105</v>
      </c>
      <c r="H35" s="197">
        <v>105</v>
      </c>
      <c r="I35" s="197">
        <v>105</v>
      </c>
      <c r="J35" s="46"/>
      <c r="K35" s="46"/>
      <c r="L35" s="46">
        <f>S35/G35</f>
        <v>7741.288380952381</v>
      </c>
      <c r="M35" s="46">
        <f t="shared" si="5"/>
        <v>7741.288380952381</v>
      </c>
      <c r="N35" s="203"/>
      <c r="O35" s="46"/>
      <c r="P35" s="203"/>
      <c r="Q35" s="46"/>
      <c r="R35" s="46"/>
      <c r="S35" s="46">
        <v>812835.28</v>
      </c>
      <c r="T35" s="46">
        <f>S35</f>
        <v>812835.28</v>
      </c>
      <c r="U35" s="46">
        <f>S35</f>
        <v>812835.28</v>
      </c>
      <c r="V35" s="46">
        <f>S35</f>
        <v>812835.28</v>
      </c>
    </row>
    <row r="36" spans="1:29">
      <c r="A36" s="237" t="s">
        <v>40</v>
      </c>
      <c r="B36" s="94"/>
      <c r="C36" s="94"/>
      <c r="D36" s="251"/>
      <c r="E36" s="217"/>
      <c r="F36" s="217"/>
      <c r="G36" s="217"/>
      <c r="H36" s="217"/>
      <c r="I36" s="217"/>
      <c r="J36" s="198"/>
      <c r="K36" s="198"/>
      <c r="L36" s="198"/>
      <c r="M36" s="46">
        <f t="shared" si="5"/>
        <v>0</v>
      </c>
      <c r="N36" s="198">
        <f>N37+N45</f>
        <v>6860144.9957466666</v>
      </c>
      <c r="O36" s="198">
        <f>O37+O45</f>
        <v>3321394.9999930933</v>
      </c>
      <c r="P36" s="198"/>
      <c r="Q36" s="198">
        <f>Q37+Q45</f>
        <v>6067991.0299749114</v>
      </c>
      <c r="R36" s="198"/>
      <c r="S36" s="198">
        <f>S46</f>
        <v>967166.95</v>
      </c>
      <c r="T36" s="198">
        <f>T37+T45+T46</f>
        <v>17216697.975714672</v>
      </c>
      <c r="U36" s="198">
        <f>U37+U45+U46</f>
        <v>16192081.98</v>
      </c>
      <c r="V36" s="198">
        <f>V37+V45+V46</f>
        <v>16192081.98</v>
      </c>
      <c r="W36" s="85">
        <v>6067991.0300000003</v>
      </c>
      <c r="X36" s="85">
        <f>W36-Q36</f>
        <v>2.5088898837566376E-5</v>
      </c>
      <c r="Y36" s="80">
        <f>X36/G45</f>
        <v>2.2268253406124002E-7</v>
      </c>
      <c r="AA36" s="80">
        <v>5754388.0300000003</v>
      </c>
      <c r="AB36" s="85">
        <f>AA36-Q36</f>
        <v>-313602.9999749111</v>
      </c>
      <c r="AC36" s="80">
        <f>AB36/I45</f>
        <v>-2750.9035085518517</v>
      </c>
    </row>
    <row r="37" spans="1:29" ht="84" customHeight="1">
      <c r="A37" s="235" t="s">
        <v>247</v>
      </c>
      <c r="B37" s="84" t="s">
        <v>76</v>
      </c>
      <c r="C37" s="128"/>
      <c r="D37" s="52"/>
      <c r="E37" s="216"/>
      <c r="F37" s="216"/>
      <c r="G37" s="216"/>
      <c r="H37" s="216"/>
      <c r="I37" s="216"/>
      <c r="J37" s="46"/>
      <c r="K37" s="46"/>
      <c r="L37" s="46"/>
      <c r="M37" s="46">
        <f t="shared" si="5"/>
        <v>0</v>
      </c>
      <c r="N37" s="46">
        <f>SUM(N38:N46)</f>
        <v>6860144.9957466666</v>
      </c>
      <c r="O37" s="46">
        <f>SUM(O38:O46)</f>
        <v>3321394.9999930933</v>
      </c>
      <c r="P37" s="46"/>
      <c r="Q37" s="46">
        <f>SUM(Q38:Q40)</f>
        <v>5175810.6899749115</v>
      </c>
      <c r="R37" s="46"/>
      <c r="S37" s="46"/>
      <c r="T37" s="46">
        <f>SUM(T38:T44)</f>
        <v>15357350.685714671</v>
      </c>
      <c r="U37" s="46">
        <f>SUM(U38:U44)</f>
        <v>14332734.690000001</v>
      </c>
      <c r="V37" s="46">
        <f>SUM(V38:V44)</f>
        <v>14332734.690000001</v>
      </c>
      <c r="W37" s="85">
        <v>15224915.029999999</v>
      </c>
      <c r="AA37" s="85">
        <f>15224915.03+U46</f>
        <v>16192081.979999999</v>
      </c>
      <c r="AB37" s="85">
        <f>U36-AA37</f>
        <v>0</v>
      </c>
    </row>
    <row r="38" spans="1:29" ht="56.25" customHeight="1">
      <c r="A38" s="83"/>
      <c r="B38" s="97" t="s">
        <v>271</v>
      </c>
      <c r="C38" s="371" t="s">
        <v>274</v>
      </c>
      <c r="D38" s="256" t="s">
        <v>20</v>
      </c>
      <c r="E38" s="197">
        <v>19</v>
      </c>
      <c r="F38" s="197">
        <v>21</v>
      </c>
      <c r="G38" s="197">
        <f>((E38*8)+(F38*4))/12</f>
        <v>19.666666666666668</v>
      </c>
      <c r="H38" s="197">
        <v>19</v>
      </c>
      <c r="I38" s="197">
        <v>19</v>
      </c>
      <c r="J38" s="46">
        <f>43138.04+1744.28+1869.04386+947.62062+2.8035</f>
        <v>47701.787980000001</v>
      </c>
      <c r="K38" s="46">
        <f>(12142.68*1.802017)+6669.01+442.123+342.0938+1.012+143.8584+0.42447</f>
        <v>29479.837455560002</v>
      </c>
      <c r="L38" s="46">
        <f>41633.620087772+290.3508771+572.3684211+417.7631579+3025.045592</f>
        <v>45939.148135871998</v>
      </c>
      <c r="M38" s="46">
        <f t="shared" si="5"/>
        <v>123120.77357143202</v>
      </c>
      <c r="N38" s="46">
        <f>G38*J38-0.16-0.01</f>
        <v>938134.99360666669</v>
      </c>
      <c r="O38" s="46">
        <f>(G38*K38)-0.14</f>
        <v>579769.99662601342</v>
      </c>
      <c r="P38" s="203"/>
      <c r="Q38" s="46">
        <f>G38*L38</f>
        <v>903469.91333881603</v>
      </c>
      <c r="R38" s="46"/>
      <c r="S38" s="46"/>
      <c r="T38" s="46">
        <f>SUM(N38:Q38)</f>
        <v>2421374.9035714958</v>
      </c>
      <c r="U38" s="46">
        <f>2168192.28</f>
        <v>2168192.2799999998</v>
      </c>
      <c r="V38" s="46">
        <f>U38</f>
        <v>2168192.2799999998</v>
      </c>
      <c r="X38" s="85">
        <f>W37-U36</f>
        <v>-967166.95000000112</v>
      </c>
    </row>
    <row r="39" spans="1:29" ht="54" customHeight="1">
      <c r="A39" s="88"/>
      <c r="B39" s="97" t="s">
        <v>269</v>
      </c>
      <c r="C39" s="372"/>
      <c r="D39" s="44" t="s">
        <v>20</v>
      </c>
      <c r="E39" s="197">
        <v>19</v>
      </c>
      <c r="F39" s="197">
        <v>19</v>
      </c>
      <c r="G39" s="197">
        <f>((E39*8)+(F39*4))/12</f>
        <v>19</v>
      </c>
      <c r="H39" s="197">
        <v>19</v>
      </c>
      <c r="I39" s="197">
        <v>19</v>
      </c>
      <c r="J39" s="46">
        <f>34198.17+1744.28+1869.04386+947.62062+2.8035</f>
        <v>38761.917979999998</v>
      </c>
      <c r="K39" s="46">
        <f t="shared" ref="K39:K40" si="11">(12142.68*1.802017)+6669.01+442.123+342.0938+1.012+143.8584+0.42447</f>
        <v>29479.837455560002</v>
      </c>
      <c r="L39" s="46">
        <f>41633.620087772+290.3508771+572.3684211+417.7631579+3025.045592</f>
        <v>45939.148135871998</v>
      </c>
      <c r="M39" s="46">
        <f t="shared" si="5"/>
        <v>114180.90357143199</v>
      </c>
      <c r="N39" s="46">
        <f>G39*J39-0.44</f>
        <v>736476.00162</v>
      </c>
      <c r="O39" s="46">
        <f>G39*K39+0.09</f>
        <v>560117.00165563996</v>
      </c>
      <c r="P39" s="203"/>
      <c r="Q39" s="46">
        <f>G39*L39</f>
        <v>872843.814581568</v>
      </c>
      <c r="R39" s="46"/>
      <c r="S39" s="46"/>
      <c r="T39" s="46">
        <f>SUM(N39:Q39)</f>
        <v>2169436.8178572077</v>
      </c>
      <c r="U39" s="46">
        <f>1998334.28</f>
        <v>1998334.28</v>
      </c>
      <c r="V39" s="46">
        <f>U39</f>
        <v>1998334.28</v>
      </c>
    </row>
    <row r="40" spans="1:29" ht="110.4">
      <c r="A40" s="88"/>
      <c r="B40" s="97" t="s">
        <v>269</v>
      </c>
      <c r="C40" s="93" t="s">
        <v>273</v>
      </c>
      <c r="D40" s="256" t="s">
        <v>20</v>
      </c>
      <c r="E40" s="197">
        <v>76</v>
      </c>
      <c r="F40" s="197">
        <v>70</v>
      </c>
      <c r="G40" s="197">
        <f>((E40*8)+(F40*4))/12</f>
        <v>74</v>
      </c>
      <c r="H40" s="197">
        <v>76</v>
      </c>
      <c r="I40" s="197">
        <v>76</v>
      </c>
      <c r="J40" s="215">
        <f>65511.03+1744.28+1869.04386+947.62062+2.8035</f>
        <v>70074.777979999999</v>
      </c>
      <c r="K40" s="46">
        <f t="shared" si="11"/>
        <v>29479.837455560002</v>
      </c>
      <c r="L40" s="46">
        <f>41633.620087772+290.3508771+572.3684211+417.7631579+3025.045592</f>
        <v>45939.148135871998</v>
      </c>
      <c r="M40" s="46">
        <f t="shared" si="5"/>
        <v>145493.76357143201</v>
      </c>
      <c r="N40" s="46">
        <f>G40*J40+0.43</f>
        <v>5185534.0005199993</v>
      </c>
      <c r="O40" s="46">
        <f>G40*K40+0.03</f>
        <v>2181508.0017114398</v>
      </c>
      <c r="P40" s="203"/>
      <c r="Q40" s="46">
        <f>G40*L40</f>
        <v>3399496.9620545278</v>
      </c>
      <c r="R40" s="46"/>
      <c r="S40" s="46"/>
      <c r="T40" s="46">
        <f>SUM(N40:Q40)</f>
        <v>10766538.964285968</v>
      </c>
      <c r="U40" s="46">
        <f>10330958.13-134750-997166.95+967166.95</f>
        <v>10166208.130000001</v>
      </c>
      <c r="V40" s="46">
        <f>U40</f>
        <v>10166208.130000001</v>
      </c>
    </row>
    <row r="41" spans="1:29" s="190" customFormat="1" hidden="1">
      <c r="A41" s="239"/>
      <c r="B41" s="200" t="s">
        <v>259</v>
      </c>
      <c r="C41" s="196" t="s">
        <v>226</v>
      </c>
      <c r="D41" s="45"/>
      <c r="E41" s="197"/>
      <c r="F41" s="197"/>
      <c r="G41" s="197"/>
      <c r="H41" s="197"/>
      <c r="I41" s="197"/>
      <c r="J41" s="46"/>
      <c r="K41" s="46">
        <f t="shared" ref="K41:K44" si="12">(12142.68*1.802017)+6669.01+442.123+342.0938+1.012+143.8584+0.4244</f>
        <v>29479.83738556</v>
      </c>
      <c r="L41" s="46"/>
      <c r="M41" s="46">
        <f t="shared" si="5"/>
        <v>29479.83738556</v>
      </c>
      <c r="N41" s="203"/>
      <c r="O41" s="46"/>
      <c r="P41" s="203"/>
      <c r="Q41" s="46"/>
      <c r="R41" s="46"/>
      <c r="S41" s="46"/>
      <c r="T41" s="46">
        <f>O41</f>
        <v>0</v>
      </c>
      <c r="U41" s="46">
        <f t="shared" ref="U41:V45" si="13">T41</f>
        <v>0</v>
      </c>
      <c r="V41" s="46">
        <f>U41</f>
        <v>0</v>
      </c>
    </row>
    <row r="42" spans="1:29" s="190" customFormat="1" hidden="1">
      <c r="A42" s="239"/>
      <c r="B42" s="200" t="s">
        <v>260</v>
      </c>
      <c r="C42" s="196" t="s">
        <v>226</v>
      </c>
      <c r="D42" s="45"/>
      <c r="E42" s="197"/>
      <c r="F42" s="197"/>
      <c r="G42" s="197"/>
      <c r="H42" s="197"/>
      <c r="I42" s="197"/>
      <c r="J42" s="46"/>
      <c r="K42" s="46">
        <f t="shared" si="12"/>
        <v>29479.83738556</v>
      </c>
      <c r="L42" s="46"/>
      <c r="M42" s="46">
        <f t="shared" si="5"/>
        <v>29479.83738556</v>
      </c>
      <c r="N42" s="203"/>
      <c r="O42" s="46"/>
      <c r="P42" s="203"/>
      <c r="Q42" s="46"/>
      <c r="R42" s="46"/>
      <c r="S42" s="46"/>
      <c r="T42" s="46">
        <f>N42</f>
        <v>0</v>
      </c>
      <c r="U42" s="46">
        <f t="shared" si="13"/>
        <v>0</v>
      </c>
      <c r="V42" s="46">
        <f t="shared" si="13"/>
        <v>0</v>
      </c>
    </row>
    <row r="43" spans="1:29" ht="45.75" hidden="1" customHeight="1">
      <c r="A43" s="88"/>
      <c r="B43" s="128" t="s">
        <v>254</v>
      </c>
      <c r="C43" s="127" t="s">
        <v>226</v>
      </c>
      <c r="D43" s="256"/>
      <c r="E43" s="197"/>
      <c r="F43" s="197"/>
      <c r="G43" s="197"/>
      <c r="H43" s="197"/>
      <c r="I43" s="197"/>
      <c r="J43" s="46"/>
      <c r="K43" s="46">
        <f t="shared" si="12"/>
        <v>29479.83738556</v>
      </c>
      <c r="L43" s="46"/>
      <c r="M43" s="46">
        <f t="shared" si="5"/>
        <v>29479.83738556</v>
      </c>
      <c r="N43" s="203"/>
      <c r="O43" s="46"/>
      <c r="P43" s="203"/>
      <c r="Q43" s="46"/>
      <c r="R43" s="46"/>
      <c r="S43" s="46"/>
      <c r="T43" s="46">
        <f>N43</f>
        <v>0</v>
      </c>
      <c r="U43" s="46">
        <f t="shared" si="13"/>
        <v>0</v>
      </c>
      <c r="V43" s="46">
        <f t="shared" si="13"/>
        <v>0</v>
      </c>
    </row>
    <row r="44" spans="1:29" hidden="1">
      <c r="A44" s="88"/>
      <c r="B44" s="128" t="s">
        <v>257</v>
      </c>
      <c r="C44" s="127"/>
      <c r="D44" s="256"/>
      <c r="E44" s="197"/>
      <c r="F44" s="197"/>
      <c r="G44" s="197"/>
      <c r="H44" s="197"/>
      <c r="I44" s="197"/>
      <c r="J44" s="46"/>
      <c r="K44" s="46">
        <f t="shared" si="12"/>
        <v>29479.83738556</v>
      </c>
      <c r="L44" s="46"/>
      <c r="M44" s="46">
        <f t="shared" si="5"/>
        <v>29479.83738556</v>
      </c>
      <c r="N44" s="203"/>
      <c r="O44" s="46"/>
      <c r="P44" s="203"/>
      <c r="Q44" s="46"/>
      <c r="R44" s="46"/>
      <c r="S44" s="46"/>
      <c r="T44" s="46">
        <f>O44</f>
        <v>0</v>
      </c>
      <c r="U44" s="46">
        <f t="shared" si="13"/>
        <v>0</v>
      </c>
      <c r="V44" s="46">
        <f t="shared" si="13"/>
        <v>0</v>
      </c>
    </row>
    <row r="45" spans="1:29" ht="63" customHeight="1">
      <c r="A45" s="235" t="s">
        <v>248</v>
      </c>
      <c r="B45" s="236" t="s">
        <v>327</v>
      </c>
      <c r="C45" s="127" t="s">
        <v>219</v>
      </c>
      <c r="D45" s="44" t="s">
        <v>20</v>
      </c>
      <c r="E45" s="197">
        <f>E40+E39+E38</f>
        <v>114</v>
      </c>
      <c r="F45" s="197">
        <f>F40+F39+F38</f>
        <v>110</v>
      </c>
      <c r="G45" s="197">
        <f>G40+G39+G38</f>
        <v>112.66666666666667</v>
      </c>
      <c r="H45" s="197">
        <f>H40+H39+H38</f>
        <v>114</v>
      </c>
      <c r="I45" s="197">
        <f>I40+I39+I38</f>
        <v>114</v>
      </c>
      <c r="J45" s="46" t="s">
        <v>23</v>
      </c>
      <c r="K45" s="46"/>
      <c r="L45" s="46">
        <f>Q45/G45</f>
        <v>7918.7604142011824</v>
      </c>
      <c r="M45" s="46">
        <f t="shared" si="5"/>
        <v>7918.7604142011824</v>
      </c>
      <c r="N45" s="203">
        <f>G45*J45</f>
        <v>0</v>
      </c>
      <c r="O45" s="46">
        <f>G45*K45</f>
        <v>0</v>
      </c>
      <c r="P45" s="203"/>
      <c r="Q45" s="46">
        <v>892180.34</v>
      </c>
      <c r="R45" s="46"/>
      <c r="S45" s="46"/>
      <c r="T45" s="46">
        <f>SUM(N45:Q45)</f>
        <v>892180.34</v>
      </c>
      <c r="U45" s="46">
        <f>T45</f>
        <v>892180.34</v>
      </c>
      <c r="V45" s="46">
        <f t="shared" si="13"/>
        <v>892180.34</v>
      </c>
    </row>
    <row r="46" spans="1:29">
      <c r="A46" s="86"/>
      <c r="B46" s="236" t="s">
        <v>327</v>
      </c>
      <c r="C46" s="127" t="s">
        <v>220</v>
      </c>
      <c r="D46" s="44"/>
      <c r="E46" s="197"/>
      <c r="F46" s="197"/>
      <c r="G46" s="197">
        <v>111</v>
      </c>
      <c r="H46" s="197">
        <v>111</v>
      </c>
      <c r="I46" s="197">
        <v>111</v>
      </c>
      <c r="J46" s="46"/>
      <c r="K46" s="46"/>
      <c r="L46" s="46">
        <f>S46/G46</f>
        <v>8713.2157657657644</v>
      </c>
      <c r="M46" s="46">
        <f t="shared" si="5"/>
        <v>8713.2157657657644</v>
      </c>
      <c r="N46" s="203"/>
      <c r="O46" s="46"/>
      <c r="P46" s="203"/>
      <c r="Q46" s="46"/>
      <c r="R46" s="46"/>
      <c r="S46" s="46">
        <v>967166.95</v>
      </c>
      <c r="T46" s="46">
        <f>S46</f>
        <v>967166.95</v>
      </c>
      <c r="U46" s="46">
        <f>S46</f>
        <v>967166.95</v>
      </c>
      <c r="V46" s="46">
        <f>S46</f>
        <v>967166.95</v>
      </c>
    </row>
    <row r="47" spans="1:29">
      <c r="A47" s="286" t="s">
        <v>44</v>
      </c>
      <c r="B47" s="94"/>
      <c r="C47" s="94"/>
      <c r="D47" s="251"/>
      <c r="E47" s="217"/>
      <c r="F47" s="217"/>
      <c r="G47" s="217"/>
      <c r="H47" s="217"/>
      <c r="I47" s="217"/>
      <c r="J47" s="198"/>
      <c r="K47" s="198"/>
      <c r="L47" s="198"/>
      <c r="M47" s="46">
        <f t="shared" si="5"/>
        <v>0</v>
      </c>
      <c r="N47" s="198">
        <f>N48+N56</f>
        <v>13424327.003958331</v>
      </c>
      <c r="O47" s="198">
        <f>O48+O56</f>
        <v>5947476.996991667</v>
      </c>
      <c r="P47" s="198"/>
      <c r="Q47" s="198">
        <f>Q48+Q56</f>
        <v>10459393.529999999</v>
      </c>
      <c r="R47" s="198"/>
      <c r="S47" s="198">
        <f>S57</f>
        <v>1853605.77</v>
      </c>
      <c r="T47" s="198">
        <f>T48+T56+T57</f>
        <v>31684803.300950002</v>
      </c>
      <c r="U47" s="198">
        <f>U48+U56+U57</f>
        <v>30997025.300000001</v>
      </c>
      <c r="V47" s="198">
        <f>V48+V56+V57</f>
        <v>30997025.300000001</v>
      </c>
      <c r="W47" s="280">
        <v>10459393.529999999</v>
      </c>
      <c r="X47" s="85">
        <f>W47-Q47</f>
        <v>0</v>
      </c>
      <c r="Y47" s="80">
        <f>X47/G56</f>
        <v>0</v>
      </c>
      <c r="AA47" s="80">
        <v>10354392.529999999</v>
      </c>
      <c r="AB47" s="85">
        <f>AA47-Q47</f>
        <v>-105001</v>
      </c>
      <c r="AC47" s="80">
        <f>AB47/I56</f>
        <v>-483.87557603686633</v>
      </c>
    </row>
    <row r="48" spans="1:29" ht="85.5" customHeight="1">
      <c r="A48" s="235" t="s">
        <v>247</v>
      </c>
      <c r="B48" s="84" t="s">
        <v>76</v>
      </c>
      <c r="C48" s="128"/>
      <c r="D48" s="52"/>
      <c r="E48" s="216"/>
      <c r="F48" s="216"/>
      <c r="G48" s="216"/>
      <c r="H48" s="216"/>
      <c r="I48" s="216"/>
      <c r="J48" s="46"/>
      <c r="K48" s="46"/>
      <c r="L48" s="46"/>
      <c r="M48" s="46">
        <f t="shared" si="5"/>
        <v>0</v>
      </c>
      <c r="N48" s="46">
        <f>SUM(N49:N57)</f>
        <v>13424327.003958331</v>
      </c>
      <c r="O48" s="46">
        <f>SUM(O49:O57)</f>
        <v>5947476.996991667</v>
      </c>
      <c r="P48" s="203"/>
      <c r="Q48" s="46">
        <f>SUM(Q49:Q52)</f>
        <v>8678806.4299999997</v>
      </c>
      <c r="R48" s="46"/>
      <c r="S48" s="46"/>
      <c r="T48" s="46">
        <f>SUM(T49:T55)</f>
        <v>28050610.430950001</v>
      </c>
      <c r="U48" s="46">
        <f>SUM(U49:U55)+0.01</f>
        <v>27362832.43</v>
      </c>
      <c r="V48" s="46">
        <f>SUM(V49:V55)+0.01</f>
        <v>27362832.43</v>
      </c>
      <c r="W48" s="85">
        <v>29143419.530000001</v>
      </c>
      <c r="X48" s="85"/>
      <c r="AA48" s="85">
        <f>29143419.53+U57</f>
        <v>30997025.300000001</v>
      </c>
      <c r="AB48" s="85">
        <f>U47-AA48</f>
        <v>0</v>
      </c>
    </row>
    <row r="49" spans="1:28" ht="51.75" customHeight="1">
      <c r="A49" s="83"/>
      <c r="B49" s="97" t="s">
        <v>271</v>
      </c>
      <c r="C49" s="374" t="s">
        <v>278</v>
      </c>
      <c r="D49" s="256" t="s">
        <v>20</v>
      </c>
      <c r="E49" s="197">
        <v>29</v>
      </c>
      <c r="F49" s="197">
        <v>40</v>
      </c>
      <c r="G49" s="197">
        <f>((E49*8)+(F49*4))/12</f>
        <v>32.666666666666664</v>
      </c>
      <c r="H49" s="197">
        <v>29</v>
      </c>
      <c r="I49" s="197">
        <v>29</v>
      </c>
      <c r="J49" s="46">
        <f>43138.04+1793.27+1921.543779+228.091-0.365</f>
        <v>47080.579779</v>
      </c>
      <c r="K49" s="46">
        <f>(12142.68*1.802017)+5363.18+18.433+1135.9554-1.82+151-0.1698</f>
        <v>28547.894385560001</v>
      </c>
      <c r="L49" s="46">
        <f>39321.40751+96.77419507-408.7557604+501.1981567+602.5891626+1545.05808-0.00047997</f>
        <v>41658.270863999998</v>
      </c>
      <c r="M49" s="46">
        <f t="shared" si="5"/>
        <v>117286.74502855999</v>
      </c>
      <c r="N49" s="46">
        <f>G49*J49-0.61</f>
        <v>1537964.9961139997</v>
      </c>
      <c r="O49" s="46">
        <f>G49*K49</f>
        <v>932564.54992829333</v>
      </c>
      <c r="P49" s="203"/>
      <c r="Q49" s="46">
        <f>G49*L49</f>
        <v>1360836.8482239998</v>
      </c>
      <c r="R49" s="46"/>
      <c r="S49" s="46"/>
      <c r="T49" s="46">
        <f>SUM(N49:Q49)</f>
        <v>3831366.3942662934</v>
      </c>
      <c r="U49" s="46">
        <v>3205068.27</v>
      </c>
      <c r="V49" s="46">
        <f>U49</f>
        <v>3205068.27</v>
      </c>
      <c r="X49" s="85">
        <f>W48-U47</f>
        <v>-1853605.7699999996</v>
      </c>
    </row>
    <row r="50" spans="1:28" ht="51" customHeight="1">
      <c r="A50" s="88"/>
      <c r="B50" s="97" t="s">
        <v>269</v>
      </c>
      <c r="C50" s="375"/>
      <c r="D50" s="44" t="s">
        <v>20</v>
      </c>
      <c r="E50" s="197">
        <v>89</v>
      </c>
      <c r="F50" s="197">
        <v>60</v>
      </c>
      <c r="G50" s="197">
        <f>((E50*8)+(F50*4))/12</f>
        <v>79.333333333333329</v>
      </c>
      <c r="H50" s="197">
        <v>89</v>
      </c>
      <c r="I50" s="197">
        <v>89</v>
      </c>
      <c r="J50" s="46">
        <f>34198.17+1793.27+1921.543779+228.091-0.365</f>
        <v>38140.709778999997</v>
      </c>
      <c r="K50" s="46">
        <f>(12142.68*1.802017)+5363.18+18.433+1135.9554-1.82+151-0.1698</f>
        <v>28547.894385560001</v>
      </c>
      <c r="L50" s="46">
        <f t="shared" ref="L50:L52" si="14">39321.40751+96.77419507-408.7557604+501.1981567+602.5891626+1545.05808-0.00047997</f>
        <v>41658.270863999998</v>
      </c>
      <c r="M50" s="46">
        <f t="shared" si="5"/>
        <v>108346.87502856</v>
      </c>
      <c r="N50" s="46">
        <f>G50*J50-0.64</f>
        <v>3025829.0024673329</v>
      </c>
      <c r="O50" s="46">
        <f>G50*K50-0.62</f>
        <v>2264799.0012544263</v>
      </c>
      <c r="P50" s="203"/>
      <c r="Q50" s="46">
        <f>G50*L50</f>
        <v>3304889.4885439998</v>
      </c>
      <c r="R50" s="46"/>
      <c r="S50" s="46"/>
      <c r="T50" s="46">
        <f>SUM(N50:Q50)</f>
        <v>8595517.492265759</v>
      </c>
      <c r="U50" s="46">
        <f>9054656.32+108760</f>
        <v>9163416.3200000003</v>
      </c>
      <c r="V50" s="46">
        <f>U50</f>
        <v>9163416.3200000003</v>
      </c>
    </row>
    <row r="51" spans="1:28" ht="96.6">
      <c r="A51" s="83"/>
      <c r="B51" s="97" t="s">
        <v>301</v>
      </c>
      <c r="C51" s="93" t="s">
        <v>279</v>
      </c>
      <c r="D51" s="256" t="s">
        <v>20</v>
      </c>
      <c r="E51" s="197">
        <v>24</v>
      </c>
      <c r="F51" s="197">
        <v>37</v>
      </c>
      <c r="G51" s="197">
        <f>((E51*8)+(F51*4))/12</f>
        <v>28.333333333333332</v>
      </c>
      <c r="H51" s="197">
        <v>24</v>
      </c>
      <c r="I51" s="197">
        <v>24</v>
      </c>
      <c r="J51" s="46">
        <f>142093.58+1793.27+1921.543779+228.091-0.365</f>
        <v>146036.11977899997</v>
      </c>
      <c r="K51" s="46">
        <f t="shared" ref="K51:K52" si="15">(12142.68*1.802017)+5363.18+18.433+1135.9554-1.82+151-0.1698</f>
        <v>28547.894385560001</v>
      </c>
      <c r="L51" s="46">
        <f t="shared" si="14"/>
        <v>41658.270863999998</v>
      </c>
      <c r="M51" s="46">
        <f t="shared" si="5"/>
        <v>216242.28502855997</v>
      </c>
      <c r="N51" s="46">
        <f>G51*J51-0.06</f>
        <v>4137690.0004049991</v>
      </c>
      <c r="O51" s="46">
        <f>G51*K51-0.01</f>
        <v>808856.99759086664</v>
      </c>
      <c r="P51" s="203"/>
      <c r="Q51" s="46">
        <f>G51*L51</f>
        <v>1180317.6744799998</v>
      </c>
      <c r="R51" s="46"/>
      <c r="S51" s="46"/>
      <c r="T51" s="46">
        <f>SUM(N51:Q51)</f>
        <v>6126864.6724758651</v>
      </c>
      <c r="U51" s="46">
        <v>5027403.5999999996</v>
      </c>
      <c r="V51" s="46">
        <f>U51</f>
        <v>5027403.5999999996</v>
      </c>
    </row>
    <row r="52" spans="1:28" ht="110.4">
      <c r="A52" s="83"/>
      <c r="B52" s="97" t="s">
        <v>267</v>
      </c>
      <c r="C52" s="93" t="s">
        <v>280</v>
      </c>
      <c r="D52" s="256" t="s">
        <v>20</v>
      </c>
      <c r="E52" s="197">
        <v>75</v>
      </c>
      <c r="F52" s="197">
        <v>54</v>
      </c>
      <c r="G52" s="197">
        <f>((E52*8)+(F52*4))/12</f>
        <v>68</v>
      </c>
      <c r="H52" s="197">
        <v>75</v>
      </c>
      <c r="I52" s="197">
        <v>75</v>
      </c>
      <c r="J52" s="215">
        <f>65511.03+1793.27+1921.543779+228.091-0.365</f>
        <v>69453.569778999998</v>
      </c>
      <c r="K52" s="46">
        <f t="shared" si="15"/>
        <v>28547.894385560001</v>
      </c>
      <c r="L52" s="46">
        <f t="shared" si="14"/>
        <v>41658.270863999998</v>
      </c>
      <c r="M52" s="46">
        <f t="shared" si="5"/>
        <v>139659.73502855998</v>
      </c>
      <c r="N52" s="46">
        <f>G52*J52+0.26</f>
        <v>4722843.0049719997</v>
      </c>
      <c r="O52" s="46">
        <f>G52*K52-0.37</f>
        <v>1941256.44821808</v>
      </c>
      <c r="P52" s="203"/>
      <c r="Q52" s="46">
        <f>G52*L52</f>
        <v>2832762.4187519997</v>
      </c>
      <c r="R52" s="46"/>
      <c r="S52" s="46"/>
      <c r="T52" s="46">
        <f>SUM(N52:Q52)</f>
        <v>9496861.8719420806</v>
      </c>
      <c r="U52" s="46">
        <v>9966944.2300000004</v>
      </c>
      <c r="V52" s="46">
        <f>U52</f>
        <v>9966944.2300000004</v>
      </c>
    </row>
    <row r="53" spans="1:28" s="190" customFormat="1" hidden="1">
      <c r="A53" s="239"/>
      <c r="B53" s="200"/>
      <c r="C53" s="196" t="s">
        <v>226</v>
      </c>
      <c r="D53" s="45"/>
      <c r="E53" s="197"/>
      <c r="F53" s="197"/>
      <c r="G53" s="197"/>
      <c r="H53" s="197"/>
      <c r="I53" s="197"/>
      <c r="J53" s="46"/>
      <c r="K53" s="46">
        <f t="shared" ref="K53:K55" si="16">(12142.68*1.802017)+5363.18+18.433+1135.9554-1.82+151-0.169</f>
        <v>28547.895185559999</v>
      </c>
      <c r="L53" s="46"/>
      <c r="M53" s="46">
        <f t="shared" si="5"/>
        <v>28547.895185559999</v>
      </c>
      <c r="N53" s="203"/>
      <c r="O53" s="46"/>
      <c r="P53" s="203"/>
      <c r="Q53" s="46"/>
      <c r="R53" s="46"/>
      <c r="S53" s="46"/>
      <c r="T53" s="46">
        <f>O53</f>
        <v>0</v>
      </c>
      <c r="U53" s="46">
        <f>T53</f>
        <v>0</v>
      </c>
      <c r="V53" s="46">
        <f>U53</f>
        <v>0</v>
      </c>
    </row>
    <row r="54" spans="1:28" ht="20.25" hidden="1" customHeight="1">
      <c r="A54" s="83"/>
      <c r="B54" s="128"/>
      <c r="C54" s="127" t="s">
        <v>226</v>
      </c>
      <c r="D54" s="256"/>
      <c r="E54" s="197"/>
      <c r="F54" s="197"/>
      <c r="G54" s="197"/>
      <c r="H54" s="197"/>
      <c r="I54" s="197"/>
      <c r="J54" s="46"/>
      <c r="K54" s="46">
        <f t="shared" si="16"/>
        <v>28547.895185559999</v>
      </c>
      <c r="L54" s="46"/>
      <c r="M54" s="46">
        <f t="shared" si="5"/>
        <v>28547.895185559999</v>
      </c>
      <c r="N54" s="203"/>
      <c r="O54" s="46"/>
      <c r="P54" s="203"/>
      <c r="Q54" s="46"/>
      <c r="R54" s="46"/>
      <c r="S54" s="46"/>
      <c r="T54" s="46">
        <f>N54</f>
        <v>0</v>
      </c>
      <c r="U54" s="46">
        <f t="shared" ref="U54:V56" si="17">T54</f>
        <v>0</v>
      </c>
      <c r="V54" s="46">
        <f t="shared" si="17"/>
        <v>0</v>
      </c>
    </row>
    <row r="55" spans="1:28" hidden="1">
      <c r="A55" s="83"/>
      <c r="B55" s="128"/>
      <c r="C55" s="127"/>
      <c r="D55" s="256"/>
      <c r="E55" s="197"/>
      <c r="F55" s="197"/>
      <c r="G55" s="197"/>
      <c r="H55" s="197"/>
      <c r="I55" s="197"/>
      <c r="J55" s="46"/>
      <c r="K55" s="46">
        <f t="shared" si="16"/>
        <v>28547.895185559999</v>
      </c>
      <c r="L55" s="46"/>
      <c r="M55" s="46">
        <f t="shared" si="5"/>
        <v>28547.895185559999</v>
      </c>
      <c r="N55" s="203"/>
      <c r="O55" s="46"/>
      <c r="P55" s="203"/>
      <c r="Q55" s="46"/>
      <c r="R55" s="46"/>
      <c r="S55" s="46"/>
      <c r="T55" s="46">
        <f>O55</f>
        <v>0</v>
      </c>
      <c r="U55" s="46">
        <f t="shared" si="17"/>
        <v>0</v>
      </c>
      <c r="V55" s="46">
        <f t="shared" si="17"/>
        <v>0</v>
      </c>
    </row>
    <row r="56" spans="1:28" ht="58.5" customHeight="1">
      <c r="A56" s="235" t="s">
        <v>248</v>
      </c>
      <c r="B56" s="236" t="s">
        <v>28</v>
      </c>
      <c r="C56" s="127" t="s">
        <v>219</v>
      </c>
      <c r="D56" s="44" t="s">
        <v>20</v>
      </c>
      <c r="E56" s="197">
        <f>E52+E51+E50+E49</f>
        <v>217</v>
      </c>
      <c r="F56" s="197">
        <f>F52+F51+F50+F49</f>
        <v>191</v>
      </c>
      <c r="G56" s="197">
        <f>G52+G51+G50+G49</f>
        <v>208.33333333333331</v>
      </c>
      <c r="H56" s="197">
        <v>217</v>
      </c>
      <c r="I56" s="197">
        <v>217</v>
      </c>
      <c r="J56" s="46" t="s">
        <v>23</v>
      </c>
      <c r="K56" s="46"/>
      <c r="L56" s="46">
        <f>Q56/G56</f>
        <v>8546.8180800000009</v>
      </c>
      <c r="M56" s="46">
        <f t="shared" si="5"/>
        <v>8546.8180800000009</v>
      </c>
      <c r="N56" s="203">
        <f>G56*J56</f>
        <v>0</v>
      </c>
      <c r="O56" s="46">
        <f>G56*K56</f>
        <v>0</v>
      </c>
      <c r="P56" s="203"/>
      <c r="Q56" s="46">
        <v>1780587.1</v>
      </c>
      <c r="R56" s="46"/>
      <c r="S56" s="46"/>
      <c r="T56" s="46">
        <f>SUM(N56:Q56)</f>
        <v>1780587.1</v>
      </c>
      <c r="U56" s="46">
        <f t="shared" si="17"/>
        <v>1780587.1</v>
      </c>
      <c r="V56" s="46">
        <f t="shared" si="17"/>
        <v>1780587.1</v>
      </c>
    </row>
    <row r="57" spans="1:28" ht="42" customHeight="1">
      <c r="A57" s="86"/>
      <c r="B57" s="236" t="s">
        <v>28</v>
      </c>
      <c r="C57" s="127" t="s">
        <v>220</v>
      </c>
      <c r="D57" s="44"/>
      <c r="E57" s="197"/>
      <c r="F57" s="197"/>
      <c r="G57" s="197">
        <v>212</v>
      </c>
      <c r="H57" s="197">
        <v>212</v>
      </c>
      <c r="I57" s="197">
        <v>212</v>
      </c>
      <c r="J57" s="46"/>
      <c r="K57" s="46"/>
      <c r="L57" s="46">
        <f>S57/G57</f>
        <v>8743.4234433962265</v>
      </c>
      <c r="M57" s="46">
        <f t="shared" si="5"/>
        <v>8743.4234433962265</v>
      </c>
      <c r="N57" s="203"/>
      <c r="O57" s="46"/>
      <c r="P57" s="203"/>
      <c r="Q57" s="46"/>
      <c r="R57" s="46"/>
      <c r="S57" s="46">
        <v>1853605.77</v>
      </c>
      <c r="T57" s="46">
        <f>S57</f>
        <v>1853605.77</v>
      </c>
      <c r="U57" s="46">
        <f>S57</f>
        <v>1853605.77</v>
      </c>
      <c r="V57" s="46">
        <f>S57</f>
        <v>1853605.77</v>
      </c>
    </row>
    <row r="58" spans="1:28">
      <c r="A58" s="237" t="s">
        <v>49</v>
      </c>
      <c r="B58" s="94"/>
      <c r="C58" s="94"/>
      <c r="D58" s="251"/>
      <c r="E58" s="217"/>
      <c r="F58" s="217"/>
      <c r="G58" s="217"/>
      <c r="H58" s="217"/>
      <c r="I58" s="217"/>
      <c r="J58" s="198"/>
      <c r="K58" s="198"/>
      <c r="L58" s="198"/>
      <c r="M58" s="46">
        <f t="shared" si="5"/>
        <v>0</v>
      </c>
      <c r="N58" s="198">
        <f>N59+N65</f>
        <v>6754946.0037416667</v>
      </c>
      <c r="O58" s="198">
        <f>O59+O65</f>
        <v>3249349.9959356668</v>
      </c>
      <c r="P58" s="204">
        <f>P59</f>
        <v>0</v>
      </c>
      <c r="Q58" s="198">
        <f>Q59+Q65</f>
        <v>5689141.5299583338</v>
      </c>
      <c r="R58" s="198">
        <f>R59</f>
        <v>0</v>
      </c>
      <c r="S58" s="198">
        <f>S66</f>
        <v>859116.54</v>
      </c>
      <c r="T58" s="198">
        <f>T59+T65+T66</f>
        <v>16552554.069635667</v>
      </c>
      <c r="U58" s="198">
        <f>U59+U65+U66</f>
        <v>15403439.069999997</v>
      </c>
      <c r="V58" s="198">
        <f>V59+V65+V66</f>
        <v>15403439.069999997</v>
      </c>
      <c r="W58" s="80">
        <v>5689141.5300000003</v>
      </c>
      <c r="X58" s="85">
        <f>W58-Q58</f>
        <v>4.1666440665721893E-5</v>
      </c>
      <c r="Y58" s="80">
        <f>X58/G65</f>
        <v>3.8461329845281751E-7</v>
      </c>
      <c r="AA58" s="80">
        <v>5552393.5300000003</v>
      </c>
      <c r="AB58" s="85">
        <f>AA58-Q58</f>
        <v>-136747.99995833356</v>
      </c>
    </row>
    <row r="59" spans="1:28" ht="84.75" customHeight="1">
      <c r="A59" s="235" t="s">
        <v>247</v>
      </c>
      <c r="B59" s="84" t="s">
        <v>76</v>
      </c>
      <c r="C59" s="128"/>
      <c r="D59" s="52"/>
      <c r="E59" s="216"/>
      <c r="F59" s="216"/>
      <c r="G59" s="216"/>
      <c r="H59" s="216"/>
      <c r="I59" s="216"/>
      <c r="J59" s="46"/>
      <c r="K59" s="46"/>
      <c r="L59" s="46"/>
      <c r="M59" s="46">
        <f t="shared" ref="M59:M101" si="18">J59+K59+L59</f>
        <v>0</v>
      </c>
      <c r="N59" s="46">
        <f>SUM(N60:N66)</f>
        <v>6754946.0037416667</v>
      </c>
      <c r="O59" s="46">
        <f>SUM(O60:O66)</f>
        <v>3249349.9959356668</v>
      </c>
      <c r="P59" s="205"/>
      <c r="Q59" s="46">
        <f>SUM(Q60:Q62)</f>
        <v>5014414.7099583335</v>
      </c>
      <c r="R59" s="46"/>
      <c r="S59" s="46"/>
      <c r="T59" s="46">
        <f>SUM(T60:T64)</f>
        <v>15018710.709635668</v>
      </c>
      <c r="U59" s="46">
        <f>SUM(U60:U64)+0.02</f>
        <v>13869595.709999997</v>
      </c>
      <c r="V59" s="46">
        <f>SUM(V60:V64)+0.02</f>
        <v>13869595.709999997</v>
      </c>
      <c r="W59" s="85">
        <v>14544322.529999999</v>
      </c>
      <c r="AA59" s="85">
        <f>14544322.53+U66</f>
        <v>15403439.07</v>
      </c>
      <c r="AB59" s="85">
        <f>U58-AA59</f>
        <v>0</v>
      </c>
    </row>
    <row r="60" spans="1:28" ht="51" customHeight="1">
      <c r="A60" s="83"/>
      <c r="B60" s="97" t="s">
        <v>281</v>
      </c>
      <c r="C60" s="371" t="s">
        <v>278</v>
      </c>
      <c r="D60" s="256" t="s">
        <v>20</v>
      </c>
      <c r="E60" s="197">
        <v>18</v>
      </c>
      <c r="F60" s="197">
        <v>21</v>
      </c>
      <c r="G60" s="197">
        <f>((E60*8)+(F60*4))/12</f>
        <v>19</v>
      </c>
      <c r="H60" s="197">
        <v>18</v>
      </c>
      <c r="I60" s="197">
        <v>18</v>
      </c>
      <c r="J60" s="46">
        <f>43138.04+2489.95+1907.927273+1382.6431-4.28+0.0132</f>
        <v>48914.293573000003</v>
      </c>
      <c r="K60" s="46">
        <f>(12142.68*1.802017)+7315.26+198.927+453.6315-1.395+146.27</f>
        <v>29994.009285560001</v>
      </c>
      <c r="L60" s="46">
        <f>44615.15191+1671.753105</f>
        <v>46286.905015000004</v>
      </c>
      <c r="M60" s="46">
        <f t="shared" si="18"/>
        <v>125195.20787355999</v>
      </c>
      <c r="N60" s="46">
        <f>G60*J60</f>
        <v>929371.57788700005</v>
      </c>
      <c r="O60" s="46">
        <f>G60*K60-0.18</f>
        <v>569885.99642563995</v>
      </c>
      <c r="P60" s="203"/>
      <c r="Q60" s="46">
        <f>G60*L60</f>
        <v>879451.19528500002</v>
      </c>
      <c r="R60" s="46"/>
      <c r="S60" s="46"/>
      <c r="T60" s="46">
        <f>SUM(N60:Q60)</f>
        <v>2378708.7695976398</v>
      </c>
      <c r="U60" s="46">
        <v>2132442.79</v>
      </c>
      <c r="V60" s="46">
        <f>U60</f>
        <v>2132442.79</v>
      </c>
      <c r="X60" s="85">
        <f>W59-U58</f>
        <v>-859116.53999999724</v>
      </c>
    </row>
    <row r="61" spans="1:28" ht="54" customHeight="1">
      <c r="A61" s="88"/>
      <c r="B61" s="97" t="s">
        <v>267</v>
      </c>
      <c r="C61" s="372"/>
      <c r="D61" s="44" t="s">
        <v>20</v>
      </c>
      <c r="E61" s="197">
        <v>17</v>
      </c>
      <c r="F61" s="197">
        <v>18</v>
      </c>
      <c r="G61" s="197">
        <f>((E61*8)+(F61*4))/12</f>
        <v>17.333333333333332</v>
      </c>
      <c r="H61" s="197">
        <v>17</v>
      </c>
      <c r="I61" s="197">
        <v>17</v>
      </c>
      <c r="J61" s="46">
        <f>34198.17+2489.95+1907.927273+1382.6431-4.28+0.0132</f>
        <v>39974.423573</v>
      </c>
      <c r="K61" s="46">
        <f t="shared" ref="K61:K62" si="19">(12142.68*1.802017)+7315.26+198.927+453.6315-1.395+146.27</f>
        <v>29994.009285560001</v>
      </c>
      <c r="L61" s="46">
        <f>44615.15191+1671.753105</f>
        <v>46286.905015000004</v>
      </c>
      <c r="M61" s="46">
        <f t="shared" si="18"/>
        <v>116255.33787356</v>
      </c>
      <c r="N61" s="46">
        <f>G61*J61</f>
        <v>692890.00859866664</v>
      </c>
      <c r="O61" s="46">
        <f>G61*K61-0.16</f>
        <v>519896.00094970671</v>
      </c>
      <c r="P61" s="203"/>
      <c r="Q61" s="46">
        <f>G61*L61</f>
        <v>802306.35359333339</v>
      </c>
      <c r="R61" s="46"/>
      <c r="S61" s="46"/>
      <c r="T61" s="46">
        <f>SUM(N61:Q61)</f>
        <v>2015092.3631417067</v>
      </c>
      <c r="U61" s="46">
        <v>1861995.96</v>
      </c>
      <c r="V61" s="46">
        <f>U61</f>
        <v>1861995.96</v>
      </c>
    </row>
    <row r="62" spans="1:28" ht="118.5" customHeight="1">
      <c r="A62" s="88"/>
      <c r="B62" s="97" t="s">
        <v>269</v>
      </c>
      <c r="C62" s="93" t="s">
        <v>282</v>
      </c>
      <c r="D62" s="44" t="s">
        <v>20</v>
      </c>
      <c r="E62" s="197">
        <v>75</v>
      </c>
      <c r="F62" s="197">
        <v>66</v>
      </c>
      <c r="G62" s="197">
        <f>((E62*8)+(F62*4))/12</f>
        <v>72</v>
      </c>
      <c r="H62" s="197">
        <v>75</v>
      </c>
      <c r="I62" s="197">
        <v>75</v>
      </c>
      <c r="J62" s="215">
        <f>65511.03+2489.95+1907.927273+1382.6431-4.28+0.0132</f>
        <v>71287.283572999993</v>
      </c>
      <c r="K62" s="46">
        <f t="shared" si="19"/>
        <v>29994.009285560001</v>
      </c>
      <c r="L62" s="46">
        <f>44615.15191+1671.753105</f>
        <v>46286.905015000004</v>
      </c>
      <c r="M62" s="46">
        <f t="shared" si="18"/>
        <v>147568.19787355998</v>
      </c>
      <c r="N62" s="46">
        <f>G62*J62</f>
        <v>5132684.4172559995</v>
      </c>
      <c r="O62" s="46">
        <f>G62*K62+0.33-1</f>
        <v>2159567.9985603201</v>
      </c>
      <c r="P62" s="203"/>
      <c r="Q62" s="46">
        <f>G62*L62</f>
        <v>3332657.1610800005</v>
      </c>
      <c r="R62" s="46"/>
      <c r="S62" s="46"/>
      <c r="T62" s="46">
        <f>SUM(N62:Q62)</f>
        <v>10624909.576896321</v>
      </c>
      <c r="U62" s="46">
        <f>9905156.94-889116.54+859116.54</f>
        <v>9875156.9399999976</v>
      </c>
      <c r="V62" s="46">
        <f>U62</f>
        <v>9875156.9399999976</v>
      </c>
    </row>
    <row r="63" spans="1:28" ht="43.5" hidden="1" customHeight="1">
      <c r="A63" s="88"/>
      <c r="B63" s="202" t="s">
        <v>254</v>
      </c>
      <c r="C63" s="127" t="s">
        <v>226</v>
      </c>
      <c r="D63" s="256"/>
      <c r="E63" s="197"/>
      <c r="F63" s="197"/>
      <c r="G63" s="197"/>
      <c r="H63" s="197"/>
      <c r="I63" s="197"/>
      <c r="J63" s="46"/>
      <c r="K63" s="46">
        <f t="shared" ref="K63:K64" si="20">(12142.68*1.802017)+7315.26+198.927+453.6315-1.395+147.7278</f>
        <v>29995.467085560002</v>
      </c>
      <c r="L63" s="46">
        <v>0</v>
      </c>
      <c r="M63" s="46">
        <v>0</v>
      </c>
      <c r="N63" s="203"/>
      <c r="O63" s="46"/>
      <c r="P63" s="203"/>
      <c r="Q63" s="46"/>
      <c r="R63" s="46"/>
      <c r="S63" s="46"/>
      <c r="T63" s="46">
        <f>N63</f>
        <v>0</v>
      </c>
      <c r="U63" s="46">
        <f t="shared" ref="U63:V65" si="21">T63</f>
        <v>0</v>
      </c>
      <c r="V63" s="46">
        <f t="shared" si="21"/>
        <v>0</v>
      </c>
    </row>
    <row r="64" spans="1:28" hidden="1">
      <c r="A64" s="88"/>
      <c r="B64" s="202" t="s">
        <v>257</v>
      </c>
      <c r="C64" s="127"/>
      <c r="D64" s="256"/>
      <c r="E64" s="197"/>
      <c r="F64" s="197"/>
      <c r="G64" s="197"/>
      <c r="H64" s="197"/>
      <c r="I64" s="197"/>
      <c r="J64" s="46"/>
      <c r="K64" s="46">
        <f t="shared" si="20"/>
        <v>29995.467085560002</v>
      </c>
      <c r="L64" s="46">
        <v>0</v>
      </c>
      <c r="M64" s="46">
        <v>0</v>
      </c>
      <c r="N64" s="203"/>
      <c r="O64" s="46"/>
      <c r="P64" s="203"/>
      <c r="Q64" s="46"/>
      <c r="R64" s="46"/>
      <c r="S64" s="46"/>
      <c r="T64" s="46">
        <f>O64</f>
        <v>0</v>
      </c>
      <c r="U64" s="46">
        <f t="shared" si="21"/>
        <v>0</v>
      </c>
      <c r="V64" s="46">
        <f t="shared" si="21"/>
        <v>0</v>
      </c>
    </row>
    <row r="65" spans="1:29" ht="61.5" customHeight="1">
      <c r="A65" s="93" t="s">
        <v>248</v>
      </c>
      <c r="B65" s="236" t="s">
        <v>28</v>
      </c>
      <c r="C65" s="127" t="s">
        <v>219</v>
      </c>
      <c r="D65" s="44" t="s">
        <v>20</v>
      </c>
      <c r="E65" s="197">
        <f>E60+E61+E62</f>
        <v>110</v>
      </c>
      <c r="F65" s="197">
        <f>F60+F61+F62</f>
        <v>105</v>
      </c>
      <c r="G65" s="197">
        <f>G60+G61+G62</f>
        <v>108.33333333333333</v>
      </c>
      <c r="H65" s="197">
        <v>110</v>
      </c>
      <c r="I65" s="197">
        <v>110</v>
      </c>
      <c r="J65" s="46" t="s">
        <v>23</v>
      </c>
      <c r="K65" s="46"/>
      <c r="L65" s="46">
        <f>Q65/G65</f>
        <v>6228.2475692307689</v>
      </c>
      <c r="M65" s="46">
        <f t="shared" si="18"/>
        <v>6228.2475692307689</v>
      </c>
      <c r="N65" s="46">
        <v>0</v>
      </c>
      <c r="O65" s="46"/>
      <c r="P65" s="203"/>
      <c r="Q65" s="46">
        <v>674726.82</v>
      </c>
      <c r="R65" s="46"/>
      <c r="S65" s="46"/>
      <c r="T65" s="46">
        <f>SUM(N65:Q65)</f>
        <v>674726.82</v>
      </c>
      <c r="U65" s="46">
        <f t="shared" si="21"/>
        <v>674726.82</v>
      </c>
      <c r="V65" s="46">
        <f t="shared" si="21"/>
        <v>674726.82</v>
      </c>
    </row>
    <row r="66" spans="1:29" ht="16.5" customHeight="1">
      <c r="A66" s="86"/>
      <c r="B66" s="236" t="s">
        <v>28</v>
      </c>
      <c r="C66" s="127" t="s">
        <v>220</v>
      </c>
      <c r="D66" s="44"/>
      <c r="E66" s="197"/>
      <c r="F66" s="197"/>
      <c r="G66" s="197">
        <v>108</v>
      </c>
      <c r="H66" s="197">
        <v>108</v>
      </c>
      <c r="I66" s="197">
        <v>108</v>
      </c>
      <c r="J66" s="46"/>
      <c r="K66" s="46"/>
      <c r="L66" s="46">
        <f>S66/G66</f>
        <v>7954.7827777777784</v>
      </c>
      <c r="M66" s="46">
        <f t="shared" si="18"/>
        <v>7954.7827777777784</v>
      </c>
      <c r="N66" s="203"/>
      <c r="O66" s="46"/>
      <c r="P66" s="203"/>
      <c r="Q66" s="46"/>
      <c r="R66" s="46"/>
      <c r="S66" s="46">
        <v>859116.54</v>
      </c>
      <c r="T66" s="46">
        <f>S66</f>
        <v>859116.54</v>
      </c>
      <c r="U66" s="46">
        <f>S66</f>
        <v>859116.54</v>
      </c>
      <c r="V66" s="46">
        <f>S66</f>
        <v>859116.54</v>
      </c>
    </row>
    <row r="67" spans="1:29">
      <c r="A67" s="237" t="s">
        <v>53</v>
      </c>
      <c r="B67" s="94"/>
      <c r="C67" s="94"/>
      <c r="D67" s="251"/>
      <c r="E67" s="217"/>
      <c r="F67" s="217"/>
      <c r="G67" s="217"/>
      <c r="H67" s="217"/>
      <c r="I67" s="217"/>
      <c r="J67" s="198"/>
      <c r="K67" s="198"/>
      <c r="L67" s="198"/>
      <c r="M67" s="46">
        <f t="shared" si="18"/>
        <v>0</v>
      </c>
      <c r="N67" s="198">
        <f>N68+N76</f>
        <v>8653911</v>
      </c>
      <c r="O67" s="198">
        <f>O68+O76</f>
        <v>4842036.2035007197</v>
      </c>
      <c r="P67" s="198"/>
      <c r="Q67" s="198">
        <f>Q68+Q76</f>
        <v>11782934.790029401</v>
      </c>
      <c r="R67" s="198"/>
      <c r="S67" s="198">
        <f>S77</f>
        <v>1486964.43</v>
      </c>
      <c r="T67" s="198">
        <f>T68+T76+T77</f>
        <v>26765846.423530124</v>
      </c>
      <c r="U67" s="198">
        <f>U68+U76+U77</f>
        <v>24559273.70506667</v>
      </c>
      <c r="V67" s="198">
        <f>V68+V76+V77</f>
        <v>24559273.70506667</v>
      </c>
      <c r="W67" s="80">
        <v>11782934.789999999</v>
      </c>
      <c r="X67" s="85">
        <f>W67-Q67</f>
        <v>-2.9401853680610657E-5</v>
      </c>
      <c r="Y67" s="124">
        <f>X67/G76</f>
        <v>-1.8149292395438681E-7</v>
      </c>
      <c r="AA67" s="80">
        <v>11530755.789999999</v>
      </c>
      <c r="AB67" s="85">
        <f>AA67-Q67</f>
        <v>-252179.00002940185</v>
      </c>
      <c r="AC67" s="80">
        <f>AB67/I76</f>
        <v>-1519.1506025867582</v>
      </c>
    </row>
    <row r="68" spans="1:29" ht="84.75" customHeight="1">
      <c r="A68" s="235" t="s">
        <v>247</v>
      </c>
      <c r="B68" s="84" t="s">
        <v>76</v>
      </c>
      <c r="C68" s="128"/>
      <c r="D68" s="52"/>
      <c r="E68" s="216"/>
      <c r="F68" s="216"/>
      <c r="G68" s="216"/>
      <c r="H68" s="216"/>
      <c r="I68" s="216"/>
      <c r="J68" s="46"/>
      <c r="K68" s="46"/>
      <c r="L68" s="46"/>
      <c r="M68" s="46">
        <f t="shared" si="18"/>
        <v>0</v>
      </c>
      <c r="N68" s="46">
        <f>SUM(N69:N77)</f>
        <v>8653911</v>
      </c>
      <c r="O68" s="46">
        <f>SUM(O69:O77)</f>
        <v>4842036.2035007197</v>
      </c>
      <c r="P68" s="203"/>
      <c r="Q68" s="46">
        <f>SUM(Q69:Q71)</f>
        <v>10751685.420029402</v>
      </c>
      <c r="R68" s="46"/>
      <c r="S68" s="46"/>
      <c r="T68" s="46">
        <f>SUM(T69:T75)</f>
        <v>24247632.623530123</v>
      </c>
      <c r="U68" s="46">
        <f>SUM(U69:U75)</f>
        <v>22041059.905066669</v>
      </c>
      <c r="V68" s="46">
        <f>SUM(V69:V75)</f>
        <v>22041059.905066669</v>
      </c>
      <c r="W68" s="85">
        <v>23072309.280000001</v>
      </c>
      <c r="AA68" s="85">
        <f>23072309.28+U77</f>
        <v>24559273.710000001</v>
      </c>
      <c r="AB68" s="85">
        <f>U67-AA68</f>
        <v>-4.933331161737442E-3</v>
      </c>
    </row>
    <row r="69" spans="1:29" ht="55.5" customHeight="1">
      <c r="A69" s="83"/>
      <c r="B69" s="97" t="s">
        <v>271</v>
      </c>
      <c r="C69" s="371" t="s">
        <v>278</v>
      </c>
      <c r="D69" s="256" t="s">
        <v>20</v>
      </c>
      <c r="E69" s="197">
        <v>29</v>
      </c>
      <c r="F69" s="197">
        <v>40</v>
      </c>
      <c r="G69" s="197">
        <f t="shared" ref="G69:G75" si="22">((E69*8)+(F69*4))/12</f>
        <v>32.666666666666664</v>
      </c>
      <c r="H69" s="197">
        <v>29</v>
      </c>
      <c r="I69" s="197">
        <v>29</v>
      </c>
      <c r="J69" s="46">
        <f>43138.04+1484.79+1591-119.5861-691.1881-175.3761-44.4984-11.2907-2.8648-0.7269-0.1844-0.0627+546.08</f>
        <v>45714.131800000003</v>
      </c>
      <c r="K69" s="46">
        <f>(12142.68*1.802017)+7859.13487+148.66665</f>
        <v>29889.117305560001</v>
      </c>
      <c r="L69" s="46">
        <f>61115.04283+222.8915676+391.5662651+1520.538012+3118.389844</f>
        <v>66368.428518700006</v>
      </c>
      <c r="M69" s="46">
        <f t="shared" si="18"/>
        <v>141971.67762426002</v>
      </c>
      <c r="N69" s="46">
        <f>G69*J69-0.31</f>
        <v>1493327.9954666665</v>
      </c>
      <c r="O69" s="46">
        <f>G69*K69+0.17</f>
        <v>976378.00198162673</v>
      </c>
      <c r="P69" s="203"/>
      <c r="Q69" s="46">
        <f>G69*L69</f>
        <v>2168035.3316108668</v>
      </c>
      <c r="R69" s="46"/>
      <c r="S69" s="46"/>
      <c r="T69" s="46">
        <f>SUM(N69:Q69)</f>
        <v>4637741.3290591603</v>
      </c>
      <c r="U69" s="46">
        <v>3884615.05</v>
      </c>
      <c r="V69" s="46">
        <f>U69</f>
        <v>3884615.05</v>
      </c>
      <c r="X69" s="85">
        <f>W68-U67</f>
        <v>-1486964.4250666685</v>
      </c>
    </row>
    <row r="70" spans="1:29" ht="53.25" customHeight="1">
      <c r="A70" s="88"/>
      <c r="B70" s="97" t="s">
        <v>269</v>
      </c>
      <c r="C70" s="372"/>
      <c r="D70" s="44" t="s">
        <v>20</v>
      </c>
      <c r="E70" s="197">
        <v>70</v>
      </c>
      <c r="F70" s="197">
        <v>34</v>
      </c>
      <c r="G70" s="197">
        <f t="shared" si="22"/>
        <v>58</v>
      </c>
      <c r="H70" s="197">
        <v>70</v>
      </c>
      <c r="I70" s="197">
        <v>70</v>
      </c>
      <c r="J70" s="46">
        <f>34198.17+1484.79+1591-119.5861-691.1881-175.3761-44.4984-11.2907-2.8648-0.7269-0.1844-0.0627+546.08</f>
        <v>36774.2618</v>
      </c>
      <c r="K70" s="46">
        <f t="shared" ref="K70:K71" si="23">(12142.68*1.802017)+7859.13487+148.66665</f>
        <v>29889.117305560001</v>
      </c>
      <c r="L70" s="46">
        <f>61115.04283+222.8915676+391.5662651+1520.538012+3118.389844</f>
        <v>66368.428518700006</v>
      </c>
      <c r="M70" s="46">
        <f t="shared" si="18"/>
        <v>133031.80762426002</v>
      </c>
      <c r="N70" s="46">
        <f>G70*J70-0.18</f>
        <v>2132907.0044</v>
      </c>
      <c r="O70" s="46">
        <f>G70*K70+0.2-0.8</f>
        <v>1733568.20372248</v>
      </c>
      <c r="P70" s="203"/>
      <c r="Q70" s="46">
        <f>G70*L70</f>
        <v>3849368.8540846002</v>
      </c>
      <c r="R70" s="46"/>
      <c r="S70" s="46"/>
      <c r="T70" s="46">
        <f>SUM(N70:Q70)</f>
        <v>7715844.0622070804</v>
      </c>
      <c r="U70" s="46">
        <f>8750866.88-1527592.43-6189+1486964.43-123978-0.01</f>
        <v>8580071.870000001</v>
      </c>
      <c r="V70" s="46">
        <f>U70</f>
        <v>8580071.870000001</v>
      </c>
    </row>
    <row r="71" spans="1:29" ht="138.75" customHeight="1">
      <c r="A71" s="88"/>
      <c r="B71" s="97" t="s">
        <v>269</v>
      </c>
      <c r="C71" s="93" t="s">
        <v>280</v>
      </c>
      <c r="D71" s="256" t="s">
        <v>20</v>
      </c>
      <c r="E71" s="197">
        <v>67</v>
      </c>
      <c r="F71" s="197">
        <v>80</v>
      </c>
      <c r="G71" s="197">
        <f t="shared" si="22"/>
        <v>71.333333333333329</v>
      </c>
      <c r="H71" s="197">
        <v>67</v>
      </c>
      <c r="I71" s="197">
        <v>67</v>
      </c>
      <c r="J71" s="46">
        <f>65511.03+1484.79+1591-119.5861-691.1881-175.3761-44.4984-11.2907-2.8648-0.7269-0.1844-0.0627+546.08</f>
        <v>68087.121800000023</v>
      </c>
      <c r="K71" s="46">
        <f t="shared" si="23"/>
        <v>29889.117305560001</v>
      </c>
      <c r="L71" s="46">
        <f>61115.04283+222.8915676+391.5662651+1520.538012+3118.389844</f>
        <v>66368.428518700006</v>
      </c>
      <c r="M71" s="46">
        <f t="shared" si="18"/>
        <v>164344.66762426004</v>
      </c>
      <c r="N71" s="46">
        <f>G71*J71-0.36</f>
        <v>4856880.9950666679</v>
      </c>
      <c r="O71" s="46">
        <f>G71*K71-0.37</f>
        <v>2132089.9977966133</v>
      </c>
      <c r="P71" s="203"/>
      <c r="Q71" s="46">
        <f>G71*L71</f>
        <v>4734281.2343339333</v>
      </c>
      <c r="R71" s="46"/>
      <c r="S71" s="46"/>
      <c r="T71" s="46">
        <f>SUM(N71:Q71)</f>
        <v>11723252.227197215</v>
      </c>
      <c r="U71" s="46">
        <f>9959919.18-554341.2</f>
        <v>9405577.9800000004</v>
      </c>
      <c r="V71" s="46">
        <f>U71</f>
        <v>9405577.9800000004</v>
      </c>
      <c r="W71" s="85">
        <f>T71-U71</f>
        <v>2317674.2471972145</v>
      </c>
    </row>
    <row r="72" spans="1:29" s="190" customFormat="1" ht="26.25" hidden="1" customHeight="1">
      <c r="A72" s="239"/>
      <c r="B72" s="200"/>
      <c r="C72" s="196" t="s">
        <v>226</v>
      </c>
      <c r="D72" s="45"/>
      <c r="E72" s="197"/>
      <c r="F72" s="197"/>
      <c r="G72" s="197">
        <f t="shared" si="22"/>
        <v>0</v>
      </c>
      <c r="H72" s="197"/>
      <c r="I72" s="197"/>
      <c r="J72" s="46">
        <v>0</v>
      </c>
      <c r="K72" s="46">
        <f t="shared" ref="K72:K73" si="24">(12142.68*1.802017)+7859.13487+148.6617</f>
        <v>29889.112355560002</v>
      </c>
      <c r="L72" s="46"/>
      <c r="M72" s="46">
        <v>0</v>
      </c>
      <c r="N72" s="46">
        <v>0</v>
      </c>
      <c r="O72" s="46">
        <v>0</v>
      </c>
      <c r="P72" s="203"/>
      <c r="Q72" s="46"/>
      <c r="R72" s="46"/>
      <c r="S72" s="46"/>
      <c r="T72" s="46">
        <f>O72</f>
        <v>0</v>
      </c>
      <c r="U72" s="46">
        <f t="shared" ref="U72:V76" si="25">T72</f>
        <v>0</v>
      </c>
      <c r="V72" s="46">
        <f t="shared" si="25"/>
        <v>0</v>
      </c>
    </row>
    <row r="73" spans="1:29" s="190" customFormat="1" ht="36" hidden="1" customHeight="1">
      <c r="A73" s="239"/>
      <c r="B73" s="200"/>
      <c r="C73" s="196" t="s">
        <v>226</v>
      </c>
      <c r="D73" s="45"/>
      <c r="E73" s="197"/>
      <c r="F73" s="197"/>
      <c r="G73" s="197">
        <f t="shared" si="22"/>
        <v>0</v>
      </c>
      <c r="H73" s="197"/>
      <c r="I73" s="197"/>
      <c r="J73" s="46">
        <v>0</v>
      </c>
      <c r="K73" s="46">
        <f t="shared" si="24"/>
        <v>29889.112355560002</v>
      </c>
      <c r="L73" s="46"/>
      <c r="M73" s="46">
        <v>0</v>
      </c>
      <c r="N73" s="46">
        <v>0</v>
      </c>
      <c r="O73" s="46">
        <v>0</v>
      </c>
      <c r="P73" s="203"/>
      <c r="Q73" s="46"/>
      <c r="R73" s="46"/>
      <c r="S73" s="46"/>
      <c r="T73" s="46">
        <f>N73</f>
        <v>0</v>
      </c>
      <c r="U73" s="46">
        <f t="shared" si="25"/>
        <v>0</v>
      </c>
      <c r="V73" s="46">
        <f t="shared" si="25"/>
        <v>0</v>
      </c>
    </row>
    <row r="74" spans="1:29" ht="77.25" customHeight="1">
      <c r="A74" s="88"/>
      <c r="B74" s="97" t="s">
        <v>181</v>
      </c>
      <c r="C74" s="295" t="s">
        <v>286</v>
      </c>
      <c r="D74" s="44" t="s">
        <v>20</v>
      </c>
      <c r="E74" s="197">
        <v>0</v>
      </c>
      <c r="F74" s="197">
        <v>34</v>
      </c>
      <c r="G74" s="197">
        <f t="shared" si="22"/>
        <v>11.333333333333334</v>
      </c>
      <c r="H74" s="197"/>
      <c r="I74" s="197"/>
      <c r="J74" s="46">
        <f>1554.8+1484.79+1591-119.5861-691.1881-175.3761-44.4984-11.2907-2.8648-0.7269-0.1844-0.0627+546.08</f>
        <v>4130.8918000000003</v>
      </c>
      <c r="K74" s="46"/>
      <c r="L74" s="46"/>
      <c r="M74" s="46">
        <f t="shared" si="18"/>
        <v>4130.8918000000003</v>
      </c>
      <c r="N74" s="46">
        <f>G74*J74+0.23</f>
        <v>46817.003733333346</v>
      </c>
      <c r="O74" s="46"/>
      <c r="P74" s="203"/>
      <c r="Q74" s="46"/>
      <c r="R74" s="46"/>
      <c r="S74" s="46"/>
      <c r="T74" s="46">
        <f>N74</f>
        <v>46817.003733333346</v>
      </c>
      <c r="U74" s="46">
        <f t="shared" si="25"/>
        <v>46817.003733333346</v>
      </c>
      <c r="V74" s="46">
        <f t="shared" si="25"/>
        <v>46817.003733333346</v>
      </c>
    </row>
    <row r="75" spans="1:29" ht="83.25" customHeight="1">
      <c r="A75" s="88"/>
      <c r="B75" s="97" t="s">
        <v>181</v>
      </c>
      <c r="C75" s="303" t="s">
        <v>284</v>
      </c>
      <c r="D75" s="44" t="s">
        <v>20</v>
      </c>
      <c r="E75" s="197">
        <v>0</v>
      </c>
      <c r="F75" s="197">
        <v>80</v>
      </c>
      <c r="G75" s="197">
        <f t="shared" si="22"/>
        <v>26.666666666666668</v>
      </c>
      <c r="H75" s="197"/>
      <c r="I75" s="197"/>
      <c r="J75" s="46">
        <f>2073.06+1484.79+1591-119.5861-691.1881-175.3761-44.4984-11.2907-2.8648-0.7269-0.1844-0.0627+546.08</f>
        <v>4649.1517999999987</v>
      </c>
      <c r="K75" s="46"/>
      <c r="L75" s="46"/>
      <c r="M75" s="46">
        <f t="shared" si="18"/>
        <v>4649.1517999999987</v>
      </c>
      <c r="N75" s="46">
        <f>G75*J75+0.62</f>
        <v>123978.0013333333</v>
      </c>
      <c r="O75" s="46"/>
      <c r="P75" s="203"/>
      <c r="Q75" s="46"/>
      <c r="R75" s="46"/>
      <c r="S75" s="46"/>
      <c r="T75" s="46">
        <f>N75</f>
        <v>123978.0013333333</v>
      </c>
      <c r="U75" s="46">
        <f t="shared" si="25"/>
        <v>123978.0013333333</v>
      </c>
      <c r="V75" s="46">
        <f t="shared" si="25"/>
        <v>123978.0013333333</v>
      </c>
    </row>
    <row r="76" spans="1:29" ht="60" customHeight="1">
      <c r="A76" s="235" t="s">
        <v>248</v>
      </c>
      <c r="B76" s="236" t="s">
        <v>327</v>
      </c>
      <c r="C76" s="127" t="s">
        <v>219</v>
      </c>
      <c r="D76" s="44" t="s">
        <v>20</v>
      </c>
      <c r="E76" s="197">
        <f>E71+E70+E69</f>
        <v>166</v>
      </c>
      <c r="F76" s="197">
        <f>F71+F70+F69</f>
        <v>154</v>
      </c>
      <c r="G76" s="197">
        <f>G71+G70+G69</f>
        <v>161.99999999999997</v>
      </c>
      <c r="H76" s="197">
        <f>H71+H70+H69</f>
        <v>166</v>
      </c>
      <c r="I76" s="197">
        <f>I71+I70+I69</f>
        <v>166</v>
      </c>
      <c r="J76" s="46">
        <v>0</v>
      </c>
      <c r="K76" s="46"/>
      <c r="L76" s="46">
        <f>Q76/G76</f>
        <v>6365.7368518518533</v>
      </c>
      <c r="M76" s="46">
        <f t="shared" si="18"/>
        <v>6365.7368518518533</v>
      </c>
      <c r="N76" s="203">
        <f>E76*J76</f>
        <v>0</v>
      </c>
      <c r="O76" s="46"/>
      <c r="P76" s="203"/>
      <c r="Q76" s="46">
        <v>1031249.37</v>
      </c>
      <c r="R76" s="46"/>
      <c r="S76" s="46"/>
      <c r="T76" s="46">
        <f>SUM(N76:Q76)</f>
        <v>1031249.37</v>
      </c>
      <c r="U76" s="46">
        <f t="shared" si="25"/>
        <v>1031249.37</v>
      </c>
      <c r="V76" s="46">
        <f t="shared" si="25"/>
        <v>1031249.37</v>
      </c>
    </row>
    <row r="77" spans="1:29">
      <c r="A77" s="86"/>
      <c r="B77" s="236" t="s">
        <v>327</v>
      </c>
      <c r="C77" s="127" t="s">
        <v>220</v>
      </c>
      <c r="D77" s="44"/>
      <c r="E77" s="197"/>
      <c r="F77" s="197"/>
      <c r="G77" s="197">
        <v>163</v>
      </c>
      <c r="H77" s="197">
        <v>163</v>
      </c>
      <c r="I77" s="197">
        <v>163</v>
      </c>
      <c r="J77" s="46"/>
      <c r="K77" s="46"/>
      <c r="L77" s="46">
        <f>S77/G77</f>
        <v>9122.4811656441707</v>
      </c>
      <c r="M77" s="46">
        <f t="shared" si="18"/>
        <v>9122.4811656441707</v>
      </c>
      <c r="N77" s="203"/>
      <c r="O77" s="46"/>
      <c r="P77" s="203"/>
      <c r="Q77" s="46"/>
      <c r="R77" s="46"/>
      <c r="S77" s="46">
        <v>1486964.43</v>
      </c>
      <c r="T77" s="46">
        <f>S77:S78</f>
        <v>1486964.43</v>
      </c>
      <c r="U77" s="46">
        <f>S77</f>
        <v>1486964.43</v>
      </c>
      <c r="V77" s="46">
        <f>S77</f>
        <v>1486964.43</v>
      </c>
    </row>
    <row r="78" spans="1:29">
      <c r="A78" s="286" t="s">
        <v>57</v>
      </c>
      <c r="B78" s="94"/>
      <c r="C78" s="94"/>
      <c r="D78" s="251"/>
      <c r="E78" s="217"/>
      <c r="F78" s="217"/>
      <c r="G78" s="217"/>
      <c r="H78" s="217"/>
      <c r="I78" s="217"/>
      <c r="J78" s="198"/>
      <c r="K78" s="46"/>
      <c r="L78" s="198"/>
      <c r="M78" s="46">
        <f t="shared" si="18"/>
        <v>0</v>
      </c>
      <c r="N78" s="198">
        <f>N79+N87</f>
        <v>7205471.0007626666</v>
      </c>
      <c r="O78" s="198">
        <f>O79+O87</f>
        <v>3370034.0030934801</v>
      </c>
      <c r="P78" s="204"/>
      <c r="Q78" s="198">
        <f>Q79+Q87</f>
        <v>6274526.3799767662</v>
      </c>
      <c r="R78" s="198"/>
      <c r="S78" s="198">
        <f>S88</f>
        <v>1061963.51</v>
      </c>
      <c r="T78" s="198">
        <f>T79+T87+T88</f>
        <v>17911994.893832918</v>
      </c>
      <c r="U78" s="198">
        <f>U79+U87+U88</f>
        <v>16936191.539999999</v>
      </c>
      <c r="V78" s="198">
        <f>V79+V87+V88</f>
        <v>16936191.539999999</v>
      </c>
      <c r="W78" s="85">
        <v>6274526.3799999999</v>
      </c>
      <c r="X78" s="85">
        <f>W78-Q78</f>
        <v>2.3233704268932343E-5</v>
      </c>
      <c r="Y78" s="80">
        <f>X78/G87</f>
        <v>1.9971665560686828E-7</v>
      </c>
      <c r="AA78" s="80">
        <v>5964695.5300000003</v>
      </c>
      <c r="AB78" s="85">
        <f>AA78-Q78</f>
        <v>-309830.84997676592</v>
      </c>
      <c r="AC78" s="80">
        <f>AB78/I87</f>
        <v>-2625.6851692946266</v>
      </c>
    </row>
    <row r="79" spans="1:29" ht="87" customHeight="1">
      <c r="A79" s="235" t="s">
        <v>247</v>
      </c>
      <c r="B79" s="84" t="s">
        <v>76</v>
      </c>
      <c r="C79" s="128"/>
      <c r="D79" s="52"/>
      <c r="E79" s="216"/>
      <c r="F79" s="216"/>
      <c r="G79" s="216"/>
      <c r="H79" s="216"/>
      <c r="I79" s="216"/>
      <c r="J79" s="46"/>
      <c r="K79" s="46"/>
      <c r="L79" s="46"/>
      <c r="M79" s="46">
        <f t="shared" si="18"/>
        <v>0</v>
      </c>
      <c r="N79" s="46">
        <f>SUM(N80:N86)-0.01</f>
        <v>7205471.0007626666</v>
      </c>
      <c r="O79" s="46">
        <f>SUM(O80:O88)+0.01</f>
        <v>3370034.0030934801</v>
      </c>
      <c r="P79" s="203"/>
      <c r="Q79" s="46">
        <f>SUM(Q80:Q84)</f>
        <v>5492846.4599767663</v>
      </c>
      <c r="R79" s="46"/>
      <c r="S79" s="46"/>
      <c r="T79" s="46">
        <f>SUM(T80:T86)</f>
        <v>16068351.463832915</v>
      </c>
      <c r="U79" s="46">
        <f>SUM(U80:U86)-0.9</f>
        <v>15092548.109999999</v>
      </c>
      <c r="V79" s="46">
        <f>SUM(V80:V86)-0.9</f>
        <v>15092548.109999999</v>
      </c>
      <c r="W79" s="85">
        <v>15874228.029999999</v>
      </c>
      <c r="AA79" s="85">
        <f>15874228.03+U88</f>
        <v>16936191.539999999</v>
      </c>
      <c r="AB79" s="85">
        <f>U78-AA79</f>
        <v>0</v>
      </c>
    </row>
    <row r="80" spans="1:29" ht="22.5" customHeight="1">
      <c r="A80" s="235"/>
      <c r="B80" s="97" t="s">
        <v>271</v>
      </c>
      <c r="C80" s="371" t="s">
        <v>278</v>
      </c>
      <c r="D80" s="256" t="s">
        <v>20</v>
      </c>
      <c r="E80" s="197">
        <v>1</v>
      </c>
      <c r="F80" s="197">
        <v>0</v>
      </c>
      <c r="G80" s="197">
        <f t="shared" ref="G80:G86" si="26">((E80*8)+(F80*4))/12</f>
        <v>0.66666666666666663</v>
      </c>
      <c r="H80" s="197">
        <v>1</v>
      </c>
      <c r="I80" s="197">
        <v>1</v>
      </c>
      <c r="J80" s="46">
        <f>43138.04+983.17+1842.381356-1729.9252-196.0777-0.0093-0.277+166.157-4.901+0.138+879.2873+0.15</f>
        <v>45078.133456000003</v>
      </c>
      <c r="K80" s="46">
        <f>(12142.68*1.802017)+6619.2666+468.19128</f>
        <v>28968.773665559998</v>
      </c>
      <c r="L80" s="46">
        <f>42890.0772+693.2118678+340.5720339+3292.584113</f>
        <v>47216.445214699997</v>
      </c>
      <c r="M80" s="46">
        <f t="shared" si="18"/>
        <v>121263.35233626</v>
      </c>
      <c r="N80" s="46">
        <f>G80*J80-0.09</f>
        <v>30051.998970666667</v>
      </c>
      <c r="O80" s="46">
        <f>G80*K80-0.52</f>
        <v>19311.995777039996</v>
      </c>
      <c r="P80" s="203"/>
      <c r="Q80" s="46">
        <f>G80*L80</f>
        <v>31477.63014313333</v>
      </c>
      <c r="R80" s="46"/>
      <c r="S80" s="46"/>
      <c r="T80" s="46">
        <f>N80+O80+P80+Q80+R80</f>
        <v>80841.624890839987</v>
      </c>
      <c r="U80" s="46">
        <v>114956.64</v>
      </c>
      <c r="V80" s="46">
        <f>U80</f>
        <v>114956.64</v>
      </c>
    </row>
    <row r="81" spans="1:29" ht="24" customHeight="1">
      <c r="A81" s="83"/>
      <c r="B81" s="97" t="s">
        <v>269</v>
      </c>
      <c r="C81" s="373"/>
      <c r="D81" s="256" t="s">
        <v>20</v>
      </c>
      <c r="E81" s="197">
        <v>44</v>
      </c>
      <c r="F81" s="197">
        <v>17</v>
      </c>
      <c r="G81" s="197">
        <f t="shared" si="26"/>
        <v>35</v>
      </c>
      <c r="H81" s="197">
        <v>44</v>
      </c>
      <c r="I81" s="197">
        <v>44</v>
      </c>
      <c r="J81" s="46">
        <f>34198.17+983.17+1842.381356-1729.9252-196.0777-0.0093-0.277+166.157-4.901+0.138+878.2873+0.15</f>
        <v>36137.263455999993</v>
      </c>
      <c r="K81" s="46">
        <f t="shared" ref="K81:K83" si="27">(12142.68*1.802017)+6619.2666+468.19128</f>
        <v>28968.773665559998</v>
      </c>
      <c r="L81" s="46">
        <f t="shared" ref="L81:L86" si="28">42890.0772+693.2118678+340.5720339+3292.584113</f>
        <v>47216.445214699997</v>
      </c>
      <c r="M81" s="46">
        <f t="shared" si="18"/>
        <v>112322.48233625999</v>
      </c>
      <c r="N81" s="46">
        <f>G81*J81+0.78</f>
        <v>1264805.0009599999</v>
      </c>
      <c r="O81" s="46">
        <f>G81*K81-0.08</f>
        <v>1013906.9982945999</v>
      </c>
      <c r="P81" s="203"/>
      <c r="Q81" s="46">
        <f>G81*L81</f>
        <v>1652575.5825145</v>
      </c>
      <c r="R81" s="46"/>
      <c r="S81" s="46"/>
      <c r="T81" s="46">
        <f t="shared" ref="T81:T87" si="29">SUM(N81:Q81)</f>
        <v>3931287.5817690995</v>
      </c>
      <c r="U81" s="46">
        <v>4664754.38</v>
      </c>
      <c r="V81" s="46">
        <f>U81</f>
        <v>4664754.38</v>
      </c>
      <c r="X81" s="85">
        <f>W79-U78</f>
        <v>-1061963.5099999998</v>
      </c>
    </row>
    <row r="82" spans="1:29" ht="123" customHeight="1">
      <c r="A82" s="83"/>
      <c r="B82" s="93" t="s">
        <v>268</v>
      </c>
      <c r="C82" s="372"/>
      <c r="D82" s="284" t="s">
        <v>20</v>
      </c>
      <c r="E82" s="197">
        <v>0</v>
      </c>
      <c r="F82" s="197">
        <v>23</v>
      </c>
      <c r="G82" s="197">
        <f t="shared" si="26"/>
        <v>7.666666666666667</v>
      </c>
      <c r="H82" s="197"/>
      <c r="I82" s="197"/>
      <c r="J82" s="215">
        <f>67236.92+983.17+1842.381356-1729.9252-196.0777-0.0093-0.277+166.157-4.901+0.138+879.2873+0.15</f>
        <v>69177.013456000001</v>
      </c>
      <c r="K82" s="46">
        <f t="shared" si="27"/>
        <v>28968.773665559998</v>
      </c>
      <c r="L82" s="46">
        <f t="shared" si="28"/>
        <v>47216.445214699997</v>
      </c>
      <c r="M82" s="46"/>
      <c r="N82" s="46">
        <f>G82*J82-0.1</f>
        <v>530357.00316266669</v>
      </c>
      <c r="O82" s="46">
        <f>G82*K82+0.07</f>
        <v>222094.00143596</v>
      </c>
      <c r="P82" s="203"/>
      <c r="Q82" s="46">
        <f>G82*L82</f>
        <v>361992.74664603331</v>
      </c>
      <c r="R82" s="46"/>
      <c r="S82" s="46"/>
      <c r="T82" s="46">
        <f t="shared" si="29"/>
        <v>1114443.75124466</v>
      </c>
      <c r="U82" s="46">
        <v>1114443.75</v>
      </c>
      <c r="V82" s="46">
        <f>U82</f>
        <v>1114443.75</v>
      </c>
    </row>
    <row r="83" spans="1:29" ht="110.4">
      <c r="A83" s="83"/>
      <c r="B83" s="97" t="s">
        <v>269</v>
      </c>
      <c r="C83" s="93" t="s">
        <v>273</v>
      </c>
      <c r="D83" s="256" t="s">
        <v>20</v>
      </c>
      <c r="E83" s="259">
        <v>73</v>
      </c>
      <c r="F83" s="197">
        <v>73</v>
      </c>
      <c r="G83" s="197">
        <f t="shared" si="26"/>
        <v>73</v>
      </c>
      <c r="H83" s="197">
        <v>73</v>
      </c>
      <c r="I83" s="197">
        <v>73</v>
      </c>
      <c r="J83" s="215">
        <f>65511.03+983.17+1842.381356-1729.9252-196.0777-0.0093-0.277+166.157-4.901+0.138+879.2873+0.15</f>
        <v>67451.123456000001</v>
      </c>
      <c r="K83" s="46">
        <f t="shared" si="27"/>
        <v>28968.773665559998</v>
      </c>
      <c r="L83" s="46">
        <f t="shared" si="28"/>
        <v>47216.445214699997</v>
      </c>
      <c r="M83" s="46">
        <f t="shared" si="18"/>
        <v>143636.34233626002</v>
      </c>
      <c r="N83" s="46">
        <f>G83*J83-0.01</f>
        <v>4923932.0022880007</v>
      </c>
      <c r="O83" s="46">
        <f>G83*K83+0.52</f>
        <v>2114720.9975858801</v>
      </c>
      <c r="P83" s="203"/>
      <c r="Q83" s="46">
        <f>G83*L83</f>
        <v>3446800.5006730999</v>
      </c>
      <c r="R83" s="46"/>
      <c r="S83" s="46"/>
      <c r="T83" s="46">
        <f t="shared" si="29"/>
        <v>10485453.500546981</v>
      </c>
      <c r="U83" s="46">
        <f>9949028.99+81799-1061963.51-91194.24</f>
        <v>8877670.2400000002</v>
      </c>
      <c r="V83" s="46">
        <f>U83</f>
        <v>8877670.2400000002</v>
      </c>
    </row>
    <row r="84" spans="1:29" ht="36" customHeight="1">
      <c r="A84" s="238"/>
      <c r="B84" s="97" t="s">
        <v>181</v>
      </c>
      <c r="C84" s="345" t="s">
        <v>286</v>
      </c>
      <c r="D84" s="284" t="s">
        <v>20</v>
      </c>
      <c r="E84" s="197">
        <v>45</v>
      </c>
      <c r="F84" s="197">
        <v>17</v>
      </c>
      <c r="G84" s="197">
        <f t="shared" si="26"/>
        <v>35.666666666666664</v>
      </c>
      <c r="H84" s="197">
        <v>45</v>
      </c>
      <c r="I84" s="197">
        <v>45</v>
      </c>
      <c r="J84" s="215">
        <f>1554.8+983.17+1842.381356-1729.9252-196.0777-0.0093-0.277+166.157-4.901+0.138+879.2873+0.15</f>
        <v>3494.8934560000007</v>
      </c>
      <c r="K84" s="46">
        <v>0</v>
      </c>
      <c r="L84" s="46">
        <f t="shared" si="28"/>
        <v>47216.445214699997</v>
      </c>
      <c r="M84" s="46">
        <f t="shared" si="18"/>
        <v>50711.338670699995</v>
      </c>
      <c r="N84" s="46">
        <f>G84*J84-0.2</f>
        <v>124650.99993066669</v>
      </c>
      <c r="O84" s="46">
        <v>0</v>
      </c>
      <c r="P84" s="203"/>
      <c r="Q84" s="46"/>
      <c r="R84" s="46"/>
      <c r="S84" s="46"/>
      <c r="T84" s="46">
        <f t="shared" si="29"/>
        <v>124650.99993066669</v>
      </c>
      <c r="U84" s="46">
        <v>93118.5</v>
      </c>
      <c r="V84" s="46">
        <f t="shared" ref="U84:V87" si="30">U84</f>
        <v>93118.5</v>
      </c>
    </row>
    <row r="85" spans="1:29" ht="47.25" customHeight="1">
      <c r="A85" s="283"/>
      <c r="B85" s="97" t="s">
        <v>345</v>
      </c>
      <c r="C85" s="377"/>
      <c r="D85" s="284" t="s">
        <v>20</v>
      </c>
      <c r="E85" s="197">
        <v>0</v>
      </c>
      <c r="F85" s="197">
        <v>23</v>
      </c>
      <c r="G85" s="197">
        <f t="shared" si="26"/>
        <v>7.666666666666667</v>
      </c>
      <c r="H85" s="197">
        <v>0</v>
      </c>
      <c r="I85" s="197">
        <v>0</v>
      </c>
      <c r="J85" s="215">
        <f>3109.58+983.17+1842.381356-1729.9252-196.0777-0.0093-0.277+166.157-4.901+0.138+879.2873+0.15</f>
        <v>5049.6734559999995</v>
      </c>
      <c r="K85" s="46">
        <v>0</v>
      </c>
      <c r="L85" s="46">
        <f t="shared" si="28"/>
        <v>47216.445214699997</v>
      </c>
      <c r="M85" s="46">
        <f t="shared" si="18"/>
        <v>52266.118670699994</v>
      </c>
      <c r="N85" s="46">
        <f>G85*J85-0.16</f>
        <v>38714.003162666661</v>
      </c>
      <c r="O85" s="46">
        <v>0</v>
      </c>
      <c r="P85" s="203"/>
      <c r="Q85" s="46"/>
      <c r="R85" s="46"/>
      <c r="S85" s="46"/>
      <c r="T85" s="46">
        <f t="shared" si="29"/>
        <v>38714.003162666661</v>
      </c>
      <c r="U85" s="46">
        <v>38714</v>
      </c>
      <c r="V85" s="46">
        <f>U85</f>
        <v>38714</v>
      </c>
    </row>
    <row r="86" spans="1:29" ht="81" customHeight="1">
      <c r="A86" s="238"/>
      <c r="B86" s="97" t="s">
        <v>181</v>
      </c>
      <c r="C86" s="303" t="s">
        <v>284</v>
      </c>
      <c r="D86" s="284" t="s">
        <v>20</v>
      </c>
      <c r="E86" s="197">
        <v>73</v>
      </c>
      <c r="F86" s="197">
        <v>73</v>
      </c>
      <c r="G86" s="197">
        <f t="shared" si="26"/>
        <v>73</v>
      </c>
      <c r="H86" s="197">
        <v>73</v>
      </c>
      <c r="I86" s="197">
        <v>73</v>
      </c>
      <c r="J86" s="215">
        <f>2073.06+983.17+1842.381356-1729.9252-196.0777-0.0093-0.277+166.157-4.901+0.138+879.2873+0.15</f>
        <v>4013.1534560000009</v>
      </c>
      <c r="K86" s="46">
        <v>0</v>
      </c>
      <c r="L86" s="46">
        <f t="shared" si="28"/>
        <v>47216.445214699997</v>
      </c>
      <c r="M86" s="46">
        <f t="shared" si="18"/>
        <v>51229.598670699997</v>
      </c>
      <c r="N86" s="46">
        <f>G86*J86-0.2</f>
        <v>292960.00228800008</v>
      </c>
      <c r="O86" s="46">
        <v>0</v>
      </c>
      <c r="P86" s="203"/>
      <c r="Q86" s="46"/>
      <c r="R86" s="46"/>
      <c r="S86" s="46"/>
      <c r="T86" s="46">
        <f t="shared" si="29"/>
        <v>292960.00228800008</v>
      </c>
      <c r="U86" s="46">
        <v>188891.5</v>
      </c>
      <c r="V86" s="46">
        <f t="shared" si="30"/>
        <v>188891.5</v>
      </c>
    </row>
    <row r="87" spans="1:29" ht="55.2">
      <c r="A87" s="235" t="s">
        <v>248</v>
      </c>
      <c r="B87" s="236" t="s">
        <v>28</v>
      </c>
      <c r="C87" s="127" t="s">
        <v>219</v>
      </c>
      <c r="D87" s="44" t="s">
        <v>20</v>
      </c>
      <c r="E87" s="197">
        <f>E80+E81+E82+E83</f>
        <v>118</v>
      </c>
      <c r="F87" s="197">
        <f>F80+F81+F82+F83</f>
        <v>113</v>
      </c>
      <c r="G87" s="197">
        <f>G80+G81+G82+G83</f>
        <v>116.33333333333333</v>
      </c>
      <c r="H87" s="197">
        <f>H80+H81+H82+H83</f>
        <v>118</v>
      </c>
      <c r="I87" s="197">
        <f>I80+I81+I82+I83</f>
        <v>118</v>
      </c>
      <c r="J87" s="46"/>
      <c r="K87" s="46"/>
      <c r="L87" s="46">
        <f>Q87/G87</f>
        <v>6719.3116332378231</v>
      </c>
      <c r="M87" s="46">
        <f t="shared" si="18"/>
        <v>6719.3116332378231</v>
      </c>
      <c r="N87" s="203">
        <v>0</v>
      </c>
      <c r="O87" s="46">
        <v>0</v>
      </c>
      <c r="P87" s="203"/>
      <c r="Q87" s="46">
        <v>781679.92</v>
      </c>
      <c r="R87" s="46"/>
      <c r="S87" s="46"/>
      <c r="T87" s="46">
        <f t="shared" si="29"/>
        <v>781679.92</v>
      </c>
      <c r="U87" s="46">
        <f t="shared" si="30"/>
        <v>781679.92</v>
      </c>
      <c r="V87" s="46">
        <f t="shared" si="30"/>
        <v>781679.92</v>
      </c>
    </row>
    <row r="88" spans="1:29" ht="18" customHeight="1">
      <c r="A88" s="86"/>
      <c r="B88" s="236" t="s">
        <v>28</v>
      </c>
      <c r="C88" s="127" t="s">
        <v>220</v>
      </c>
      <c r="D88" s="44"/>
      <c r="E88" s="197"/>
      <c r="F88" s="197"/>
      <c r="G88" s="197">
        <v>118</v>
      </c>
      <c r="H88" s="197">
        <v>118</v>
      </c>
      <c r="I88" s="197">
        <v>118</v>
      </c>
      <c r="J88" s="46"/>
      <c r="K88" s="46"/>
      <c r="L88" s="46">
        <f>S88/G88</f>
        <v>8999.6907627118653</v>
      </c>
      <c r="M88" s="46">
        <f t="shared" si="18"/>
        <v>8999.6907627118653</v>
      </c>
      <c r="N88" s="203"/>
      <c r="O88" s="46"/>
      <c r="P88" s="203"/>
      <c r="Q88" s="46"/>
      <c r="R88" s="46"/>
      <c r="S88" s="46">
        <v>1061963.51</v>
      </c>
      <c r="T88" s="46">
        <f>S88</f>
        <v>1061963.51</v>
      </c>
      <c r="U88" s="46">
        <f>S88</f>
        <v>1061963.51</v>
      </c>
      <c r="V88" s="46">
        <f>S88</f>
        <v>1061963.51</v>
      </c>
    </row>
    <row r="89" spans="1:29" ht="17.25" customHeight="1">
      <c r="A89" s="237" t="s">
        <v>61</v>
      </c>
      <c r="B89" s="94"/>
      <c r="C89" s="94"/>
      <c r="D89" s="251"/>
      <c r="E89" s="217"/>
      <c r="F89" s="217"/>
      <c r="G89" s="217"/>
      <c r="H89" s="217"/>
      <c r="I89" s="217"/>
      <c r="J89" s="198"/>
      <c r="K89" s="198"/>
      <c r="L89" s="198"/>
      <c r="M89" s="46">
        <f t="shared" si="18"/>
        <v>0</v>
      </c>
      <c r="N89" s="198">
        <f>N90+N96</f>
        <v>17807101.998597667</v>
      </c>
      <c r="O89" s="198">
        <f>O90+O96</f>
        <v>7216942.0036352389</v>
      </c>
      <c r="P89" s="198"/>
      <c r="Q89" s="198">
        <f>Q90+Q96</f>
        <v>12093994.529907301</v>
      </c>
      <c r="R89" s="198"/>
      <c r="S89" s="198">
        <f>S97</f>
        <v>1863094.52</v>
      </c>
      <c r="T89" s="198">
        <f>T90+T96+T97</f>
        <v>38981133.052140214</v>
      </c>
      <c r="U89" s="198">
        <f>U90+U96+U97</f>
        <v>37196244.050000004</v>
      </c>
      <c r="V89" s="198">
        <f>V90+V96+V97</f>
        <v>37196244.050000004</v>
      </c>
      <c r="W89" s="80">
        <v>12093994.529999999</v>
      </c>
      <c r="X89" s="85">
        <f>W89-Q89</f>
        <v>9.2698261141777039E-5</v>
      </c>
      <c r="Y89" s="80">
        <f>X89/G96</f>
        <v>4.047959001824325E-7</v>
      </c>
      <c r="AA89" s="80">
        <v>11727438.529999999</v>
      </c>
      <c r="AB89" s="85">
        <f>AA89-Q89</f>
        <v>-366555.99990730174</v>
      </c>
      <c r="AC89" s="124">
        <f>AB89/I96</f>
        <v>-1527.316666280424</v>
      </c>
    </row>
    <row r="90" spans="1:29" ht="83.25" customHeight="1">
      <c r="A90" s="235" t="s">
        <v>247</v>
      </c>
      <c r="B90" s="84" t="s">
        <v>76</v>
      </c>
      <c r="C90" s="128"/>
      <c r="D90" s="52"/>
      <c r="E90" s="216"/>
      <c r="F90" s="216"/>
      <c r="G90" s="216"/>
      <c r="H90" s="216"/>
      <c r="I90" s="216"/>
      <c r="J90" s="46"/>
      <c r="K90" s="46"/>
      <c r="L90" s="46"/>
      <c r="M90" s="46">
        <f t="shared" si="18"/>
        <v>0</v>
      </c>
      <c r="N90" s="46">
        <f>N91+N93+N95+N92+N94+0.01</f>
        <v>17807101.998597667</v>
      </c>
      <c r="O90" s="46">
        <f>SUM(O91:O97)+0.01</f>
        <v>7216942.0036352389</v>
      </c>
      <c r="P90" s="46"/>
      <c r="Q90" s="46">
        <f>SUM(Q91:Q95)</f>
        <v>10247308.749907302</v>
      </c>
      <c r="R90" s="46"/>
      <c r="S90" s="46"/>
      <c r="T90" s="46">
        <f>SUM(T91:T95)+0.02</f>
        <v>35271352.752140209</v>
      </c>
      <c r="U90" s="46">
        <f>SUM(U91:U95)-0.02</f>
        <v>33486463.750000004</v>
      </c>
      <c r="V90" s="46">
        <f>SUM(V91:V95)-0.02</f>
        <v>33486463.750000004</v>
      </c>
      <c r="W90" s="85">
        <v>35333149.530000001</v>
      </c>
      <c r="AA90" s="85">
        <f>35333149.53+U97</f>
        <v>37196244.050000004</v>
      </c>
      <c r="AB90" s="85">
        <f>U89-AA90</f>
        <v>0</v>
      </c>
    </row>
    <row r="91" spans="1:29" ht="96.6">
      <c r="A91" s="83"/>
      <c r="B91" s="97" t="s">
        <v>271</v>
      </c>
      <c r="C91" s="93" t="s">
        <v>278</v>
      </c>
      <c r="D91" s="256" t="s">
        <v>20</v>
      </c>
      <c r="E91" s="197">
        <v>32</v>
      </c>
      <c r="F91" s="197">
        <v>31</v>
      </c>
      <c r="G91" s="197">
        <f>((E91*8)+(F91*4))/12</f>
        <v>31.666666666666668</v>
      </c>
      <c r="H91" s="197">
        <v>32</v>
      </c>
      <c r="I91" s="197">
        <v>32</v>
      </c>
      <c r="J91" s="46">
        <f>43138.04+1277.05+2367.241667+611.0906-31.9847+0.0494-893.8545+0.6995</f>
        <v>46468.331967000013</v>
      </c>
      <c r="K91" s="46">
        <f>(12142.68*1.802017)+7978.93+65.604+1437.46+0.021998+151.6988</f>
        <v>31515.030583559997</v>
      </c>
      <c r="L91" s="46">
        <f>40511.42813-458.3333383+697.125+419.583333+3578.270019</f>
        <v>44748.073143700007</v>
      </c>
      <c r="M91" s="46">
        <f t="shared" si="18"/>
        <v>122731.43569426001</v>
      </c>
      <c r="N91" s="46">
        <f>G91*J91-0.18</f>
        <v>1471496.9989550004</v>
      </c>
      <c r="O91" s="46">
        <f>G91*K91+0.03</f>
        <v>997975.99847939995</v>
      </c>
      <c r="P91" s="46"/>
      <c r="Q91" s="46">
        <f>G91*L91</f>
        <v>1417022.3162171668</v>
      </c>
      <c r="R91" s="46"/>
      <c r="S91" s="46"/>
      <c r="T91" s="46">
        <f>SUM(N91:Q91)</f>
        <v>3886495.3136515673</v>
      </c>
      <c r="U91" s="46">
        <v>4758136.87</v>
      </c>
      <c r="V91" s="46">
        <f t="shared" ref="V91:V96" si="31">U91</f>
        <v>4758136.87</v>
      </c>
      <c r="X91" s="85">
        <f>W90-U89</f>
        <v>-1863094.5200000033</v>
      </c>
      <c r="AA91" s="85"/>
    </row>
    <row r="92" spans="1:29" ht="138">
      <c r="A92" s="88"/>
      <c r="B92" s="97" t="s">
        <v>269</v>
      </c>
      <c r="C92" s="93" t="s">
        <v>283</v>
      </c>
      <c r="D92" s="44" t="s">
        <v>20</v>
      </c>
      <c r="E92" s="197">
        <v>10</v>
      </c>
      <c r="F92" s="197">
        <v>10</v>
      </c>
      <c r="G92" s="197">
        <f>((E92*8)+(F92*4))/12</f>
        <v>10</v>
      </c>
      <c r="H92" s="197">
        <v>10</v>
      </c>
      <c r="I92" s="197">
        <v>10</v>
      </c>
      <c r="J92" s="46">
        <f>229832.84+1277.05+2367.241667+611.0906-31.9847+0.0494-893.8545+0.6995</f>
        <v>233163.13196699996</v>
      </c>
      <c r="K92" s="46">
        <f>(12142.68*1.802017)+7978.93+65.604+1437.46+0.021998+151.6988</f>
        <v>31515.030583559997</v>
      </c>
      <c r="L92" s="46">
        <f>40511.42813-458.3333383+697.125+419.583333+3578.270019</f>
        <v>44748.073143700007</v>
      </c>
      <c r="M92" s="46">
        <f t="shared" si="18"/>
        <v>309426.23569425999</v>
      </c>
      <c r="N92" s="46">
        <f>G92*J92-0.32</f>
        <v>2331630.9996699998</v>
      </c>
      <c r="O92" s="46">
        <f>G92*K92-0.31</f>
        <v>315149.99583559996</v>
      </c>
      <c r="P92" s="46"/>
      <c r="Q92" s="46">
        <f>G92*L92</f>
        <v>447480.7314370001</v>
      </c>
      <c r="R92" s="46"/>
      <c r="S92" s="46"/>
      <c r="T92" s="46">
        <f>SUM(N92:Q92)</f>
        <v>3094261.7269425998</v>
      </c>
      <c r="U92" s="46">
        <v>4747584.2300000004</v>
      </c>
      <c r="V92" s="46">
        <f t="shared" si="31"/>
        <v>4747584.2300000004</v>
      </c>
    </row>
    <row r="93" spans="1:29" ht="110.4">
      <c r="A93" s="88"/>
      <c r="B93" s="97" t="s">
        <v>269</v>
      </c>
      <c r="C93" s="234" t="s">
        <v>280</v>
      </c>
      <c r="D93" s="256" t="s">
        <v>20</v>
      </c>
      <c r="E93" s="197">
        <v>198</v>
      </c>
      <c r="F93" s="197">
        <v>166</v>
      </c>
      <c r="G93" s="197">
        <f>((E93*8)+(F93*4))/12</f>
        <v>187.33333333333334</v>
      </c>
      <c r="H93" s="197">
        <v>198</v>
      </c>
      <c r="I93" s="197">
        <v>198</v>
      </c>
      <c r="J93" s="215">
        <f>65511.03+1277.05+2367.241667+611.0906-31.9847+0.0494-893.8545+0.6995</f>
        <v>68841.321966999996</v>
      </c>
      <c r="K93" s="46">
        <f>(12142.68*1.802017)+7978.93+65.604+1437.46+0.021998+151.6988</f>
        <v>31515.030583559997</v>
      </c>
      <c r="L93" s="46">
        <f>40511.42813-458.3333383+697.125+419.583333+3578.270019</f>
        <v>44748.073143700007</v>
      </c>
      <c r="M93" s="46">
        <f t="shared" si="18"/>
        <v>145104.42569425999</v>
      </c>
      <c r="N93" s="46">
        <f>G93*J93-0.32</f>
        <v>12896273.995151334</v>
      </c>
      <c r="O93" s="46">
        <f>G93*K93+0.27</f>
        <v>5903815.9993202398</v>
      </c>
      <c r="P93" s="46"/>
      <c r="Q93" s="46">
        <f>G93*L93</f>
        <v>8382805.7022531349</v>
      </c>
      <c r="R93" s="46"/>
      <c r="S93" s="46"/>
      <c r="T93" s="46">
        <f>SUM(N93:Q93)</f>
        <v>27182895.696724705</v>
      </c>
      <c r="U93" s="46">
        <f>23302266.67+268010-95472</f>
        <v>23474804.670000002</v>
      </c>
      <c r="V93" s="46">
        <f t="shared" si="31"/>
        <v>23474804.670000002</v>
      </c>
    </row>
    <row r="94" spans="1:29" ht="69">
      <c r="A94" s="88"/>
      <c r="B94" s="97" t="s">
        <v>269</v>
      </c>
      <c r="C94" s="93" t="s">
        <v>346</v>
      </c>
      <c r="D94" s="284" t="s">
        <v>20</v>
      </c>
      <c r="E94" s="197">
        <v>10</v>
      </c>
      <c r="F94" s="197">
        <v>10</v>
      </c>
      <c r="G94" s="197">
        <f>((E94*8)+(F94*4))/12</f>
        <v>10</v>
      </c>
      <c r="H94" s="197"/>
      <c r="I94" s="197"/>
      <c r="J94" s="215">
        <f>6216.86+1277.05+2367.241667+611.0906-31.9847+0.0494-893.8545+0.6995</f>
        <v>9547.1519669999998</v>
      </c>
      <c r="K94" s="46">
        <v>0</v>
      </c>
      <c r="L94" s="46"/>
      <c r="M94" s="46"/>
      <c r="N94" s="46">
        <f>G94*J94+0.48</f>
        <v>95471.99966999999</v>
      </c>
      <c r="O94" s="46">
        <v>0</v>
      </c>
      <c r="P94" s="46"/>
      <c r="Q94" s="46"/>
      <c r="R94" s="46"/>
      <c r="S94" s="46"/>
      <c r="T94" s="46">
        <f>SUM(N94:Q94)</f>
        <v>95471.99966999999</v>
      </c>
      <c r="U94" s="46">
        <v>95472</v>
      </c>
      <c r="V94" s="46">
        <f t="shared" si="31"/>
        <v>95472</v>
      </c>
    </row>
    <row r="95" spans="1:29" ht="69">
      <c r="A95" s="83"/>
      <c r="B95" s="97" t="s">
        <v>285</v>
      </c>
      <c r="C95" s="93" t="s">
        <v>284</v>
      </c>
      <c r="D95" s="256" t="s">
        <v>20</v>
      </c>
      <c r="E95" s="197">
        <v>198</v>
      </c>
      <c r="F95" s="197">
        <v>166</v>
      </c>
      <c r="G95" s="197">
        <f>((E95*8)+(F95*4))/12</f>
        <v>187.33333333333334</v>
      </c>
      <c r="H95" s="197">
        <v>198</v>
      </c>
      <c r="I95" s="197">
        <v>198</v>
      </c>
      <c r="J95" s="46">
        <f>2073.06+1277.05+2367.241667+611.0906-31.9847+0.0494-893.8545+0.6995</f>
        <v>5403.3519669999978</v>
      </c>
      <c r="K95" s="46">
        <v>0</v>
      </c>
      <c r="L95" s="46">
        <f>40511.42813-458.3333383+697.125+419.583333+3578.270019</f>
        <v>44748.073143700007</v>
      </c>
      <c r="M95" s="46">
        <f t="shared" si="18"/>
        <v>50151.425110700002</v>
      </c>
      <c r="N95" s="46">
        <f>G95*J95+0.06</f>
        <v>1012227.995151333</v>
      </c>
      <c r="O95" s="46">
        <v>0</v>
      </c>
      <c r="P95" s="46"/>
      <c r="Q95" s="46"/>
      <c r="R95" s="46"/>
      <c r="S95" s="46"/>
      <c r="T95" s="46">
        <f>SUM(N95:Q95)</f>
        <v>1012227.995151333</v>
      </c>
      <c r="U95" s="46">
        <v>410466</v>
      </c>
      <c r="V95" s="46">
        <f t="shared" si="31"/>
        <v>410466</v>
      </c>
    </row>
    <row r="96" spans="1:29" ht="61.5" customHeight="1">
      <c r="A96" s="235" t="s">
        <v>248</v>
      </c>
      <c r="B96" s="236" t="s">
        <v>28</v>
      </c>
      <c r="C96" s="127" t="s">
        <v>219</v>
      </c>
      <c r="D96" s="44" t="s">
        <v>20</v>
      </c>
      <c r="E96" s="197">
        <f>E91+E92+E93</f>
        <v>240</v>
      </c>
      <c r="F96" s="197">
        <f>F91+F92+F93</f>
        <v>207</v>
      </c>
      <c r="G96" s="197">
        <f>G91+G92+G93</f>
        <v>229</v>
      </c>
      <c r="H96" s="197">
        <f>H93+H92+H91</f>
        <v>240</v>
      </c>
      <c r="I96" s="197">
        <f>I93+I92+I91</f>
        <v>240</v>
      </c>
      <c r="J96" s="46" t="s">
        <v>23</v>
      </c>
      <c r="K96" s="46"/>
      <c r="L96" s="46">
        <f>Q96/G96</f>
        <v>8064.1300436681222</v>
      </c>
      <c r="M96" s="46">
        <f t="shared" si="18"/>
        <v>8064.1300436681222</v>
      </c>
      <c r="N96" s="203">
        <v>0</v>
      </c>
      <c r="O96" s="46">
        <f>G96*K96</f>
        <v>0</v>
      </c>
      <c r="P96" s="203"/>
      <c r="Q96" s="46">
        <v>1846685.78</v>
      </c>
      <c r="R96" s="46"/>
      <c r="S96" s="46"/>
      <c r="T96" s="46">
        <f>Q96</f>
        <v>1846685.78</v>
      </c>
      <c r="U96" s="46">
        <f>T96</f>
        <v>1846685.78</v>
      </c>
      <c r="V96" s="46">
        <f t="shared" si="31"/>
        <v>1846685.78</v>
      </c>
    </row>
    <row r="97" spans="1:29">
      <c r="A97" s="86"/>
      <c r="B97" s="236" t="s">
        <v>28</v>
      </c>
      <c r="C97" s="127" t="s">
        <v>220</v>
      </c>
      <c r="D97" s="44"/>
      <c r="E97" s="197"/>
      <c r="F97" s="197"/>
      <c r="G97" s="197">
        <v>237</v>
      </c>
      <c r="H97" s="197">
        <v>237</v>
      </c>
      <c r="I97" s="197">
        <v>237</v>
      </c>
      <c r="J97" s="46"/>
      <c r="K97" s="46"/>
      <c r="L97" s="46">
        <f>S97/G97</f>
        <v>7861.1583122362872</v>
      </c>
      <c r="M97" s="46">
        <f t="shared" si="18"/>
        <v>7861.1583122362872</v>
      </c>
      <c r="N97" s="203"/>
      <c r="O97" s="46"/>
      <c r="P97" s="203"/>
      <c r="Q97" s="46"/>
      <c r="R97" s="46"/>
      <c r="S97" s="46">
        <v>1863094.52</v>
      </c>
      <c r="T97" s="46">
        <f>S97</f>
        <v>1863094.52</v>
      </c>
      <c r="U97" s="46">
        <f>S97</f>
        <v>1863094.52</v>
      </c>
      <c r="V97" s="46">
        <f>S97</f>
        <v>1863094.52</v>
      </c>
    </row>
    <row r="98" spans="1:29">
      <c r="A98" s="237" t="s">
        <v>65</v>
      </c>
      <c r="B98" s="94"/>
      <c r="C98" s="94"/>
      <c r="D98" s="251"/>
      <c r="E98" s="217"/>
      <c r="F98" s="217"/>
      <c r="G98" s="217"/>
      <c r="H98" s="217"/>
      <c r="I98" s="217"/>
      <c r="J98" s="198"/>
      <c r="K98" s="198"/>
      <c r="L98" s="198"/>
      <c r="M98" s="46">
        <f t="shared" si="18"/>
        <v>0</v>
      </c>
      <c r="N98" s="198">
        <f>N99+N102</f>
        <v>8399557</v>
      </c>
      <c r="O98" s="198">
        <f>O99+O102</f>
        <v>3802754.001408</v>
      </c>
      <c r="P98" s="198"/>
      <c r="Q98" s="198">
        <f>Q99+Q102-0.01</f>
        <v>6627855.5300000003</v>
      </c>
      <c r="R98" s="198"/>
      <c r="S98" s="198">
        <f>S103</f>
        <v>1044657.5</v>
      </c>
      <c r="T98" s="198">
        <f>T99+T102+T103</f>
        <v>19874824.031408001</v>
      </c>
      <c r="U98" s="198">
        <f>U99+U102+U103</f>
        <v>19034192.026799999</v>
      </c>
      <c r="V98" s="198">
        <f>V99+V102+V103</f>
        <v>19034192.026799999</v>
      </c>
      <c r="W98" s="80">
        <v>6627855.5300000003</v>
      </c>
      <c r="X98" s="85">
        <f>W98-Q98</f>
        <v>0</v>
      </c>
      <c r="Y98" s="80">
        <f>X98/G102</f>
        <v>0</v>
      </c>
      <c r="AA98" s="80">
        <v>6466219.5300000003</v>
      </c>
      <c r="AB98" s="85">
        <f>AA98-Q98</f>
        <v>-161636</v>
      </c>
      <c r="AC98" s="80">
        <f>AB98/I102</f>
        <v>-1224.5151515151515</v>
      </c>
    </row>
    <row r="99" spans="1:29" ht="85.5" customHeight="1">
      <c r="A99" s="235" t="s">
        <v>247</v>
      </c>
      <c r="B99" s="84" t="s">
        <v>76</v>
      </c>
      <c r="C99" s="128"/>
      <c r="D99" s="52"/>
      <c r="E99" s="216"/>
      <c r="F99" s="216"/>
      <c r="G99" s="216"/>
      <c r="H99" s="216"/>
      <c r="I99" s="216"/>
      <c r="J99" s="46"/>
      <c r="K99" s="46"/>
      <c r="L99" s="46"/>
      <c r="M99" s="46">
        <f t="shared" si="18"/>
        <v>0</v>
      </c>
      <c r="N99" s="46">
        <f>SUM(N100:N103)</f>
        <v>8399557</v>
      </c>
      <c r="O99" s="46">
        <f>SUM(O100:O103)</f>
        <v>3802754.001408</v>
      </c>
      <c r="P99" s="46"/>
      <c r="Q99" s="46">
        <f>SUM(Q100:Q101)</f>
        <v>5545895.7000000002</v>
      </c>
      <c r="R99" s="46"/>
      <c r="S99" s="46"/>
      <c r="T99" s="46">
        <f>SUM(T100:T101)</f>
        <v>17748206.691408001</v>
      </c>
      <c r="U99" s="46">
        <f>SUM(U100:U101)-0.02</f>
        <v>16907574.686799999</v>
      </c>
      <c r="V99" s="46">
        <f>SUM(V100:V101)-0.02</f>
        <v>16907574.686799999</v>
      </c>
      <c r="W99" s="80">
        <v>17989534.530000001</v>
      </c>
      <c r="AA99" s="85">
        <f>17989534.53+U103</f>
        <v>19034192.030000001</v>
      </c>
      <c r="AB99" s="85">
        <f>U98-AA99</f>
        <v>-3.2000020146369934E-3</v>
      </c>
    </row>
    <row r="100" spans="1:29" ht="96.6">
      <c r="A100" s="83"/>
      <c r="B100" s="97" t="s">
        <v>271</v>
      </c>
      <c r="C100" s="93" t="s">
        <v>274</v>
      </c>
      <c r="D100" s="44" t="s">
        <v>20</v>
      </c>
      <c r="E100" s="197">
        <v>36</v>
      </c>
      <c r="F100" s="197">
        <v>40</v>
      </c>
      <c r="G100" s="197">
        <f>((E100*8)+(F100*4))/12</f>
        <v>37.333333333333336</v>
      </c>
      <c r="H100" s="197">
        <v>36</v>
      </c>
      <c r="I100" s="197">
        <v>36</v>
      </c>
      <c r="J100" s="46">
        <f>43138.04+1834.24+1500.439-4.475+0.097+42.934+376.85</f>
        <v>46888.125</v>
      </c>
      <c r="K100" s="46">
        <f>(12142.68*1.802017)+5241.39+1264.6292+133.6466-0.334</f>
        <v>28520.64758556</v>
      </c>
      <c r="L100" s="46">
        <f>40434.69462+227.2727285+430.9090909+501.3412356</f>
        <v>41594.217675</v>
      </c>
      <c r="M100" s="46">
        <f t="shared" si="18"/>
        <v>117002.99026056001</v>
      </c>
      <c r="N100" s="46">
        <f>G100*J100</f>
        <v>1750490</v>
      </c>
      <c r="O100" s="46">
        <f>G100*K100+0.16+1</f>
        <v>1064772.0031942399</v>
      </c>
      <c r="P100" s="220"/>
      <c r="Q100" s="46">
        <f>G100*L100</f>
        <v>1552850.7932000002</v>
      </c>
      <c r="R100" s="46"/>
      <c r="S100" s="46"/>
      <c r="T100" s="46">
        <f>N100+O100+P100+Q100+R100-0.01</f>
        <v>4368112.7863942403</v>
      </c>
      <c r="U100" s="46">
        <f>4015071.1-301746.8232</f>
        <v>3713324.2768000001</v>
      </c>
      <c r="V100" s="46">
        <f>U100</f>
        <v>3713324.2768000001</v>
      </c>
      <c r="W100" s="85"/>
      <c r="X100" s="85">
        <f>W99-U98</f>
        <v>-1044657.496799998</v>
      </c>
    </row>
    <row r="101" spans="1:29" ht="108" customHeight="1">
      <c r="A101" s="88"/>
      <c r="B101" s="97" t="s">
        <v>269</v>
      </c>
      <c r="C101" s="93" t="s">
        <v>287</v>
      </c>
      <c r="D101" s="44" t="s">
        <v>20</v>
      </c>
      <c r="E101" s="197">
        <v>96</v>
      </c>
      <c r="F101" s="197">
        <v>96</v>
      </c>
      <c r="G101" s="197">
        <f>((E101*8)+(F101*4))/12</f>
        <v>96</v>
      </c>
      <c r="H101" s="197">
        <v>96</v>
      </c>
      <c r="I101" s="197">
        <v>96</v>
      </c>
      <c r="J101" s="46">
        <f>65511.03+1834.24+1500.439-4.475+0.097+42.934+376.85</f>
        <v>69261.114999999991</v>
      </c>
      <c r="K101" s="46">
        <f>(12142.68*1.802017)+5241.39+1264.6292+133.6466-0.334</f>
        <v>28520.64758556</v>
      </c>
      <c r="L101" s="46">
        <f>40434.69462+227.2727285+430.9090909+501.3412356</f>
        <v>41594.217675</v>
      </c>
      <c r="M101" s="46">
        <f t="shared" si="18"/>
        <v>139375.98026056</v>
      </c>
      <c r="N101" s="46">
        <f>G101*J101-0.04</f>
        <v>6649066.9999999991</v>
      </c>
      <c r="O101" s="46">
        <f>G101*K101-0.17</f>
        <v>2737981.9982137601</v>
      </c>
      <c r="P101" s="220"/>
      <c r="Q101" s="46">
        <f>G101*L101+0.01</f>
        <v>3993044.9068</v>
      </c>
      <c r="R101" s="46"/>
      <c r="S101" s="46"/>
      <c r="T101" s="46">
        <f>N101+O101+P101+Q101+R101</f>
        <v>13380093.905013759</v>
      </c>
      <c r="U101" s="46">
        <f>12845623.61+86880-782910.68+1044657.5</f>
        <v>13194250.43</v>
      </c>
      <c r="V101" s="46">
        <f>U101</f>
        <v>13194250.43</v>
      </c>
    </row>
    <row r="102" spans="1:29" ht="55.2">
      <c r="A102" s="235" t="s">
        <v>248</v>
      </c>
      <c r="B102" s="236" t="s">
        <v>28</v>
      </c>
      <c r="C102" s="127" t="s">
        <v>219</v>
      </c>
      <c r="D102" s="44" t="s">
        <v>20</v>
      </c>
      <c r="E102" s="197">
        <f>E100+E101</f>
        <v>132</v>
      </c>
      <c r="F102" s="197">
        <f>F100+F101</f>
        <v>136</v>
      </c>
      <c r="G102" s="197">
        <f>G100+G101</f>
        <v>133.33333333333334</v>
      </c>
      <c r="H102" s="197">
        <v>132</v>
      </c>
      <c r="I102" s="197">
        <v>132</v>
      </c>
      <c r="J102" s="46" t="s">
        <v>23</v>
      </c>
      <c r="K102" s="46"/>
      <c r="L102" s="46">
        <f>Q102/G102</f>
        <v>8114.6988000000001</v>
      </c>
      <c r="M102" s="46">
        <f t="shared" ref="M102:M121" si="32">J102+K102+L102</f>
        <v>8114.6988000000001</v>
      </c>
      <c r="N102" s="203">
        <v>0</v>
      </c>
      <c r="O102" s="46">
        <v>0</v>
      </c>
      <c r="P102" s="203"/>
      <c r="Q102" s="46">
        <v>1081959.8400000001</v>
      </c>
      <c r="R102" s="46"/>
      <c r="S102" s="46"/>
      <c r="T102" s="46">
        <f>SUM(N102:Q102)</f>
        <v>1081959.8400000001</v>
      </c>
      <c r="U102" s="46">
        <f>T102</f>
        <v>1081959.8400000001</v>
      </c>
      <c r="V102" s="46">
        <f>U102</f>
        <v>1081959.8400000001</v>
      </c>
    </row>
    <row r="103" spans="1:29">
      <c r="A103" s="86"/>
      <c r="B103" s="236" t="s">
        <v>28</v>
      </c>
      <c r="C103" s="127" t="s">
        <v>220</v>
      </c>
      <c r="D103" s="44"/>
      <c r="E103" s="197"/>
      <c r="F103" s="197"/>
      <c r="G103" s="197">
        <v>132</v>
      </c>
      <c r="H103" s="197">
        <v>132</v>
      </c>
      <c r="I103" s="197">
        <v>132</v>
      </c>
      <c r="J103" s="46"/>
      <c r="K103" s="46"/>
      <c r="L103" s="46">
        <f>S103/G103</f>
        <v>7914.07196969697</v>
      </c>
      <c r="M103" s="46">
        <f t="shared" si="32"/>
        <v>7914.07196969697</v>
      </c>
      <c r="N103" s="203"/>
      <c r="O103" s="46"/>
      <c r="P103" s="203"/>
      <c r="Q103" s="46"/>
      <c r="R103" s="46"/>
      <c r="S103" s="46">
        <v>1044657.5</v>
      </c>
      <c r="T103" s="46">
        <f>S103</f>
        <v>1044657.5</v>
      </c>
      <c r="U103" s="46">
        <f>S103</f>
        <v>1044657.5</v>
      </c>
      <c r="V103" s="46">
        <f>S103</f>
        <v>1044657.5</v>
      </c>
    </row>
    <row r="104" spans="1:29">
      <c r="A104" s="237" t="s">
        <v>68</v>
      </c>
      <c r="B104" s="94"/>
      <c r="C104" s="94"/>
      <c r="D104" s="251"/>
      <c r="E104" s="217"/>
      <c r="F104" s="217"/>
      <c r="G104" s="217"/>
      <c r="H104" s="217"/>
      <c r="I104" s="217"/>
      <c r="J104" s="198"/>
      <c r="K104" s="198"/>
      <c r="L104" s="198"/>
      <c r="M104" s="46">
        <f t="shared" si="32"/>
        <v>0</v>
      </c>
      <c r="N104" s="198">
        <f>N105+N111</f>
        <v>7937538.0028399993</v>
      </c>
      <c r="O104" s="198">
        <f>O105+O111</f>
        <v>4259808.99570728</v>
      </c>
      <c r="P104" s="204"/>
      <c r="Q104" s="198">
        <f>Q105+Q111</f>
        <v>7641084.2799634002</v>
      </c>
      <c r="R104" s="198"/>
      <c r="S104" s="198">
        <f>S112</f>
        <v>1054365.1000000001</v>
      </c>
      <c r="T104" s="198">
        <f>T105+T111+T112</f>
        <v>20892796.37851068</v>
      </c>
      <c r="U104" s="198">
        <f>U105+U111+U112</f>
        <v>19803468.3785</v>
      </c>
      <c r="V104" s="198">
        <f>V105+V111+V112</f>
        <v>19803468.3785</v>
      </c>
      <c r="W104" s="80">
        <v>7641084.2800000003</v>
      </c>
      <c r="X104" s="85">
        <f>W104-Q104</f>
        <v>3.660004585981369E-5</v>
      </c>
      <c r="Y104" s="80">
        <f>X104/G111</f>
        <v>2.6521772362183832E-7</v>
      </c>
      <c r="AA104" s="80">
        <v>7421318.2800000003</v>
      </c>
      <c r="AB104" s="85">
        <f>AA104-Q104</f>
        <v>-219765.99996339995</v>
      </c>
      <c r="AC104" s="80">
        <f>AB104/I111</f>
        <v>-1581.0503594489205</v>
      </c>
    </row>
    <row r="105" spans="1:29" ht="94.95" customHeight="1">
      <c r="A105" s="235" t="s">
        <v>247</v>
      </c>
      <c r="B105" s="84" t="s">
        <v>76</v>
      </c>
      <c r="C105" s="128"/>
      <c r="D105" s="52"/>
      <c r="E105" s="216"/>
      <c r="F105" s="216"/>
      <c r="G105" s="216"/>
      <c r="H105" s="216"/>
      <c r="I105" s="216"/>
      <c r="J105" s="46"/>
      <c r="K105" s="46"/>
      <c r="L105" s="46"/>
      <c r="M105" s="46">
        <f t="shared" si="32"/>
        <v>0</v>
      </c>
      <c r="N105" s="46">
        <f>SUM(N106:N112)</f>
        <v>7937538.0028399993</v>
      </c>
      <c r="O105" s="46">
        <f>SUM(O106:O112)</f>
        <v>4259808.99570728</v>
      </c>
      <c r="P105" s="203"/>
      <c r="Q105" s="46">
        <f>SUM(Q106:Q108)</f>
        <v>6614545.0499634007</v>
      </c>
      <c r="R105" s="46"/>
      <c r="S105" s="46"/>
      <c r="T105" s="46">
        <f>SUM(T106:T110)</f>
        <v>18811892.048510678</v>
      </c>
      <c r="U105" s="46">
        <f>SUM(U106:U110)-0.02</f>
        <v>17722564.048499998</v>
      </c>
      <c r="V105" s="46">
        <f>SUM(V106:V110)-0.02</f>
        <v>17722564.048499998</v>
      </c>
      <c r="W105" s="85">
        <v>18749103.280000001</v>
      </c>
      <c r="Y105" s="85"/>
      <c r="AA105" s="85">
        <f>18749103.28+U112</f>
        <v>19803468.380000003</v>
      </c>
      <c r="AB105" s="85">
        <f>U104-AA105</f>
        <v>-1.5000030398368835E-3</v>
      </c>
    </row>
    <row r="106" spans="1:29" ht="49.5" customHeight="1">
      <c r="A106" s="83"/>
      <c r="B106" s="97" t="s">
        <v>271</v>
      </c>
      <c r="C106" s="371" t="s">
        <v>274</v>
      </c>
      <c r="D106" s="256" t="s">
        <v>20</v>
      </c>
      <c r="E106" s="197">
        <v>31</v>
      </c>
      <c r="F106" s="197">
        <v>40</v>
      </c>
      <c r="G106" s="197">
        <f>((E106*8)+(F106*4))/12</f>
        <v>34</v>
      </c>
      <c r="H106" s="197">
        <v>31</v>
      </c>
      <c r="I106" s="197">
        <v>31</v>
      </c>
      <c r="J106" s="46">
        <f>43138.04+2020.26+1852.62118</f>
        <v>47010.921180000005</v>
      </c>
      <c r="K106" s="46">
        <f>(12142.68*1.802017)+8040.24+804.487+142.12385</f>
        <v>30868.166635559999</v>
      </c>
      <c r="L106" s="46">
        <f>45231.36007+111.5107933+504.4604317+158.2733813+1925.881193</f>
        <v>47931.485869300006</v>
      </c>
      <c r="M106" s="46">
        <f t="shared" si="32"/>
        <v>125810.57368486002</v>
      </c>
      <c r="N106" s="46">
        <f>G106*J106-0.32</f>
        <v>1598371.0001200002</v>
      </c>
      <c r="O106" s="46">
        <f>G106*K106</f>
        <v>1049517.6656090401</v>
      </c>
      <c r="P106" s="203"/>
      <c r="Q106" s="46">
        <f>G106*L106</f>
        <v>1629670.5195562001</v>
      </c>
      <c r="R106" s="46"/>
      <c r="S106" s="46"/>
      <c r="T106" s="46">
        <f>SUM(N106:Q106)</f>
        <v>4277559.1852852404</v>
      </c>
      <c r="U106" s="46">
        <f>4027037.3-259771.1115</f>
        <v>3767266.1884999997</v>
      </c>
      <c r="V106" s="46">
        <f>U106</f>
        <v>3767266.1884999997</v>
      </c>
    </row>
    <row r="107" spans="1:29" ht="54.75" customHeight="1">
      <c r="A107" s="88"/>
      <c r="B107" s="97" t="s">
        <v>269</v>
      </c>
      <c r="C107" s="372"/>
      <c r="D107" s="284" t="s">
        <v>20</v>
      </c>
      <c r="E107" s="197">
        <v>32</v>
      </c>
      <c r="F107" s="197">
        <v>20</v>
      </c>
      <c r="G107" s="197">
        <f t="shared" ref="G107:G108" si="33">((E107*8)+(F107*4))/12</f>
        <v>28</v>
      </c>
      <c r="H107" s="197">
        <v>32</v>
      </c>
      <c r="I107" s="197">
        <v>32</v>
      </c>
      <c r="J107" s="46">
        <f>34198.17+2020.26+1852.62118</f>
        <v>38071.051180000002</v>
      </c>
      <c r="K107" s="46">
        <f t="shared" ref="K107:K108" si="34">(12142.68*1.802017)+8040.24+804.487+142.12385</f>
        <v>30868.166635559999</v>
      </c>
      <c r="L107" s="46">
        <f>45231.36007+111.5107933+504.4604317+158.2733813+1925.881193</f>
        <v>47931.485869300006</v>
      </c>
      <c r="M107" s="46">
        <f t="shared" si="32"/>
        <v>116870.70368486</v>
      </c>
      <c r="N107" s="46">
        <f>G107*J107+0.57</f>
        <v>1065990.0030400001</v>
      </c>
      <c r="O107" s="46">
        <f>G107*K107</f>
        <v>864308.66579568002</v>
      </c>
      <c r="P107" s="203"/>
      <c r="Q107" s="46">
        <f>G107*L107</f>
        <v>1342081.6043404001</v>
      </c>
      <c r="R107" s="46"/>
      <c r="S107" s="46"/>
      <c r="T107" s="46">
        <f>SUM(N107:Q107)</f>
        <v>3272380.2731760801</v>
      </c>
      <c r="U107" s="46">
        <f>3826302.42-794593.99</f>
        <v>3031708.4299999997</v>
      </c>
      <c r="V107" s="46">
        <f>U107</f>
        <v>3031708.4299999997</v>
      </c>
      <c r="X107" s="85">
        <f>W105-U104</f>
        <v>-1054365.0984999985</v>
      </c>
    </row>
    <row r="108" spans="1:29" ht="133.5" customHeight="1">
      <c r="A108" s="88"/>
      <c r="B108" s="97" t="s">
        <v>269</v>
      </c>
      <c r="C108" s="93" t="s">
        <v>273</v>
      </c>
      <c r="D108" s="256" t="s">
        <v>20</v>
      </c>
      <c r="E108" s="197">
        <v>76</v>
      </c>
      <c r="F108" s="197">
        <v>76</v>
      </c>
      <c r="G108" s="197">
        <f t="shared" si="33"/>
        <v>76</v>
      </c>
      <c r="H108" s="197">
        <v>76</v>
      </c>
      <c r="I108" s="197">
        <v>76</v>
      </c>
      <c r="J108" s="46">
        <f>65511.03+2020.26+1852.62118</f>
        <v>69383.911179999996</v>
      </c>
      <c r="K108" s="46">
        <f t="shared" si="34"/>
        <v>30868.166635559999</v>
      </c>
      <c r="L108" s="46">
        <f>45231.36007+111.5107933+504.4604317+158.2733813+1925.881193</f>
        <v>47931.485869300006</v>
      </c>
      <c r="M108" s="46">
        <f t="shared" si="32"/>
        <v>148183.56368486001</v>
      </c>
      <c r="N108" s="46">
        <f>G108*J108-0.25</f>
        <v>5273176.9996799994</v>
      </c>
      <c r="O108" s="46">
        <f>G108*K108+2</f>
        <v>2345982.66430256</v>
      </c>
      <c r="P108" s="203"/>
      <c r="Q108" s="46">
        <f>G108*L108</f>
        <v>3642792.9260668005</v>
      </c>
      <c r="R108" s="46"/>
      <c r="S108" s="46"/>
      <c r="T108" s="46">
        <f>SUM(N108:Q108)</f>
        <v>11261952.59004936</v>
      </c>
      <c r="U108" s="46">
        <f>9899104.35-29880+1054365.1</f>
        <v>10923589.449999999</v>
      </c>
      <c r="V108" s="46">
        <f>U108</f>
        <v>10923589.449999999</v>
      </c>
    </row>
    <row r="109" spans="1:29" ht="45.75" hidden="1" customHeight="1">
      <c r="A109" s="88"/>
      <c r="B109" s="128" t="s">
        <v>254</v>
      </c>
      <c r="C109" s="127" t="s">
        <v>226</v>
      </c>
      <c r="D109" s="256"/>
      <c r="E109" s="197"/>
      <c r="F109" s="197"/>
      <c r="G109" s="197"/>
      <c r="H109" s="197"/>
      <c r="I109" s="197"/>
      <c r="J109" s="46"/>
      <c r="K109" s="46">
        <f t="shared" ref="K109:K110" si="35">(12142.68*1.802017)+8040.24+804.487+142.1238</f>
        <v>30868.16658556</v>
      </c>
      <c r="L109" s="46"/>
      <c r="M109" s="46">
        <f t="shared" si="32"/>
        <v>30868.16658556</v>
      </c>
      <c r="N109" s="203"/>
      <c r="O109" s="46"/>
      <c r="P109" s="203"/>
      <c r="Q109" s="46"/>
      <c r="R109" s="46"/>
      <c r="S109" s="46"/>
      <c r="T109" s="46">
        <f>N109</f>
        <v>0</v>
      </c>
      <c r="U109" s="46">
        <f t="shared" ref="U109:V111" si="36">T109</f>
        <v>0</v>
      </c>
      <c r="V109" s="46">
        <f t="shared" si="36"/>
        <v>0</v>
      </c>
    </row>
    <row r="110" spans="1:29" hidden="1">
      <c r="A110" s="88"/>
      <c r="B110" s="128" t="s">
        <v>257</v>
      </c>
      <c r="C110" s="127"/>
      <c r="D110" s="256"/>
      <c r="E110" s="197"/>
      <c r="F110" s="197"/>
      <c r="G110" s="197"/>
      <c r="H110" s="197"/>
      <c r="I110" s="197"/>
      <c r="J110" s="46"/>
      <c r="K110" s="46">
        <f t="shared" si="35"/>
        <v>30868.16658556</v>
      </c>
      <c r="L110" s="46"/>
      <c r="M110" s="46">
        <f t="shared" si="32"/>
        <v>30868.16658556</v>
      </c>
      <c r="N110" s="203"/>
      <c r="O110" s="46"/>
      <c r="P110" s="203"/>
      <c r="Q110" s="46"/>
      <c r="R110" s="46"/>
      <c r="S110" s="46"/>
      <c r="T110" s="46">
        <f>O110</f>
        <v>0</v>
      </c>
      <c r="U110" s="46">
        <f>T110</f>
        <v>0</v>
      </c>
      <c r="V110" s="46">
        <f>U110</f>
        <v>0</v>
      </c>
    </row>
    <row r="111" spans="1:29" ht="64.5" customHeight="1">
      <c r="A111" s="235" t="s">
        <v>248</v>
      </c>
      <c r="B111" s="236" t="s">
        <v>28</v>
      </c>
      <c r="C111" s="127" t="s">
        <v>219</v>
      </c>
      <c r="D111" s="44" t="s">
        <v>20</v>
      </c>
      <c r="E111" s="197">
        <f>E108+E107+E106</f>
        <v>139</v>
      </c>
      <c r="F111" s="197">
        <f>F108+F107+F106</f>
        <v>136</v>
      </c>
      <c r="G111" s="197">
        <f>G108+G107+G106</f>
        <v>138</v>
      </c>
      <c r="H111" s="197">
        <f>H108+H107+H106</f>
        <v>139</v>
      </c>
      <c r="I111" s="197">
        <f>I108+I107+I106</f>
        <v>139</v>
      </c>
      <c r="J111" s="46" t="s">
        <v>23</v>
      </c>
      <c r="K111" s="46"/>
      <c r="L111" s="46">
        <f>Q111/G111</f>
        <v>7438.690072463768</v>
      </c>
      <c r="M111" s="46">
        <f t="shared" si="32"/>
        <v>7438.690072463768</v>
      </c>
      <c r="N111" s="203">
        <f>G111*J111</f>
        <v>0</v>
      </c>
      <c r="O111" s="46">
        <f>G111*K111</f>
        <v>0</v>
      </c>
      <c r="P111" s="203"/>
      <c r="Q111" s="46">
        <v>1026539.23</v>
      </c>
      <c r="R111" s="46"/>
      <c r="S111" s="46"/>
      <c r="T111" s="46">
        <f>SUM(N111:Q111)</f>
        <v>1026539.23</v>
      </c>
      <c r="U111" s="46">
        <f t="shared" si="36"/>
        <v>1026539.23</v>
      </c>
      <c r="V111" s="46">
        <f t="shared" si="36"/>
        <v>1026539.23</v>
      </c>
    </row>
    <row r="112" spans="1:29" ht="14.25" customHeight="1">
      <c r="A112" s="86"/>
      <c r="B112" s="236" t="s">
        <v>28</v>
      </c>
      <c r="C112" s="127" t="s">
        <v>220</v>
      </c>
      <c r="D112" s="44"/>
      <c r="E112" s="197"/>
      <c r="F112" s="197"/>
      <c r="G112" s="197">
        <v>137</v>
      </c>
      <c r="H112" s="197">
        <v>137</v>
      </c>
      <c r="I112" s="197">
        <v>137</v>
      </c>
      <c r="J112" s="46"/>
      <c r="K112" s="46"/>
      <c r="L112" s="46">
        <f>S112/G112</f>
        <v>7696.0956204379572</v>
      </c>
      <c r="M112" s="46">
        <f t="shared" si="32"/>
        <v>7696.0956204379572</v>
      </c>
      <c r="N112" s="203"/>
      <c r="O112" s="46"/>
      <c r="P112" s="203"/>
      <c r="Q112" s="46"/>
      <c r="R112" s="46"/>
      <c r="S112" s="46">
        <v>1054365.1000000001</v>
      </c>
      <c r="T112" s="46">
        <f>S112</f>
        <v>1054365.1000000001</v>
      </c>
      <c r="U112" s="46">
        <f>S112</f>
        <v>1054365.1000000001</v>
      </c>
      <c r="V112" s="46">
        <f>S112</f>
        <v>1054365.1000000001</v>
      </c>
    </row>
    <row r="113" spans="1:29" s="96" customFormat="1">
      <c r="A113" s="237" t="s">
        <v>71</v>
      </c>
      <c r="B113" s="94"/>
      <c r="C113" s="94"/>
      <c r="D113" s="251"/>
      <c r="E113" s="217"/>
      <c r="F113" s="217"/>
      <c r="G113" s="217"/>
      <c r="H113" s="217"/>
      <c r="I113" s="217"/>
      <c r="J113" s="198"/>
      <c r="K113" s="198"/>
      <c r="L113" s="198"/>
      <c r="M113" s="46">
        <f t="shared" si="32"/>
        <v>0</v>
      </c>
      <c r="N113" s="198">
        <f>N114+N120</f>
        <v>16282849.998133335</v>
      </c>
      <c r="O113" s="198">
        <f>O114+O120</f>
        <v>7028457.0010625459</v>
      </c>
      <c r="P113" s="198"/>
      <c r="Q113" s="198">
        <f>Q114+Q120+Q117</f>
        <v>12570022.000004368</v>
      </c>
      <c r="R113" s="198"/>
      <c r="S113" s="198">
        <f>S121</f>
        <v>2045003.86</v>
      </c>
      <c r="T113" s="198">
        <f>T114+T120+T121</f>
        <v>37926332.859200247</v>
      </c>
      <c r="U113" s="198">
        <f>U114+U120+U121</f>
        <v>35956276.858998604</v>
      </c>
      <c r="V113" s="198">
        <f>V114+V120+V121</f>
        <v>35956276.858998604</v>
      </c>
      <c r="W113" s="96">
        <v>12570022</v>
      </c>
      <c r="X113" s="188">
        <f>W113-Q113</f>
        <v>-4.3679028749465942E-6</v>
      </c>
      <c r="Y113" s="96">
        <f>X113/G120</f>
        <v>-1.8224907684060896E-8</v>
      </c>
      <c r="AA113" s="96">
        <v>12524345</v>
      </c>
      <c r="AB113" s="188">
        <f>AA113-Q113</f>
        <v>-45677.000004367903</v>
      </c>
      <c r="AC113" s="96">
        <f>AB113/I120</f>
        <v>-187.20081969003238</v>
      </c>
    </row>
    <row r="114" spans="1:29" ht="85.5" customHeight="1">
      <c r="A114" s="235" t="s">
        <v>247</v>
      </c>
      <c r="B114" s="84" t="s">
        <v>76</v>
      </c>
      <c r="C114" s="128"/>
      <c r="D114" s="52"/>
      <c r="E114" s="216"/>
      <c r="F114" s="216"/>
      <c r="G114" s="216"/>
      <c r="H114" s="216"/>
      <c r="I114" s="216"/>
      <c r="J114" s="46"/>
      <c r="K114" s="46"/>
      <c r="L114" s="46"/>
      <c r="M114" s="46">
        <f t="shared" si="32"/>
        <v>0</v>
      </c>
      <c r="N114" s="46">
        <f>SUM(N115:N121)</f>
        <v>16282849.998133335</v>
      </c>
      <c r="O114" s="46">
        <f>SUM(O115:O121)</f>
        <v>7028457.0010625459</v>
      </c>
      <c r="P114" s="46"/>
      <c r="Q114" s="46">
        <f>SUM(Q115:Q116)</f>
        <v>10618624.530004367</v>
      </c>
      <c r="R114" s="46"/>
      <c r="S114" s="46"/>
      <c r="T114" s="46">
        <f>SUM(T115:T119)</f>
        <v>33929931.529200248</v>
      </c>
      <c r="U114" s="46">
        <f>SUM(U115:U119)</f>
        <v>31924593.059999999</v>
      </c>
      <c r="V114" s="46">
        <f>SUM(V115:V119)</f>
        <v>31924593.059999999</v>
      </c>
      <c r="W114" s="85">
        <v>33911273</v>
      </c>
      <c r="AA114" s="85">
        <f>33911273+U121</f>
        <v>35956276.859999999</v>
      </c>
      <c r="AB114" s="85">
        <f>U113-AA114</f>
        <v>-1.0013952851295471E-3</v>
      </c>
    </row>
    <row r="115" spans="1:29" ht="96.6">
      <c r="A115" s="83"/>
      <c r="B115" s="97" t="s">
        <v>271</v>
      </c>
      <c r="C115" s="93" t="s">
        <v>278</v>
      </c>
      <c r="D115" s="256" t="s">
        <v>20</v>
      </c>
      <c r="E115" s="197">
        <v>32</v>
      </c>
      <c r="F115" s="197">
        <v>40</v>
      </c>
      <c r="G115" s="197">
        <f>((E115*8)+(F115*4))/12</f>
        <v>34.666666666666664</v>
      </c>
      <c r="H115" s="197">
        <v>32</v>
      </c>
      <c r="I115" s="197">
        <v>32</v>
      </c>
      <c r="J115" s="46">
        <f>43138.04+2076.66+3588.0276</f>
        <v>48802.727599999998</v>
      </c>
      <c r="K115" s="46">
        <f>(12142.68*1.802017)+6356.14+938.636+149.97-0.09377</f>
        <v>29325.96801556</v>
      </c>
      <c r="L115" s="46">
        <f>43753.88332+551.9213949</f>
        <v>44305.804714899998</v>
      </c>
      <c r="M115" s="46">
        <f t="shared" si="32"/>
        <v>122434.50033046</v>
      </c>
      <c r="N115" s="46">
        <f>G115*J115+0.11</f>
        <v>1691828.0001333333</v>
      </c>
      <c r="O115" s="46">
        <f>G115*K115+0.44</f>
        <v>1016633.9978727465</v>
      </c>
      <c r="P115" s="203"/>
      <c r="Q115" s="46">
        <f>G115*L115</f>
        <v>1535934.5634498664</v>
      </c>
      <c r="R115" s="46"/>
      <c r="S115" s="46"/>
      <c r="T115" s="46">
        <f t="shared" ref="T115:T120" si="37">SUM(N115:Q115)</f>
        <v>4244396.5614559464</v>
      </c>
      <c r="U115" s="46">
        <v>2696405.65</v>
      </c>
      <c r="V115" s="46">
        <f t="shared" ref="V115:V120" si="38">U115</f>
        <v>2696405.65</v>
      </c>
      <c r="X115" s="85">
        <f>W114-U113</f>
        <v>-2045003.8589986041</v>
      </c>
    </row>
    <row r="116" spans="1:29" ht="138.75" customHeight="1">
      <c r="A116" s="88"/>
      <c r="B116" s="97" t="s">
        <v>269</v>
      </c>
      <c r="C116" s="93" t="s">
        <v>280</v>
      </c>
      <c r="D116" s="256" t="s">
        <v>20</v>
      </c>
      <c r="E116" s="197">
        <v>212</v>
      </c>
      <c r="F116" s="197">
        <v>191</v>
      </c>
      <c r="G116" s="197">
        <f>((E116*8)+(F116*4))/12</f>
        <v>205</v>
      </c>
      <c r="H116" s="197">
        <v>212</v>
      </c>
      <c r="I116" s="197">
        <v>212</v>
      </c>
      <c r="J116" s="215">
        <f>65511.03+2076.66+3588.0276</f>
        <v>71175.717600000004</v>
      </c>
      <c r="K116" s="46">
        <f>(12142.68*1.802017)+6356.14+938.636+149.97-0.09377</f>
        <v>29325.96801556</v>
      </c>
      <c r="L116" s="46">
        <f>43753.88332+551.9213949</f>
        <v>44305.804714899998</v>
      </c>
      <c r="M116" s="46">
        <f t="shared" si="32"/>
        <v>144807.49033046002</v>
      </c>
      <c r="N116" s="46">
        <f>G116*J116-0.11</f>
        <v>14591021.998000002</v>
      </c>
      <c r="O116" s="46">
        <f>G116*K116-0.44</f>
        <v>6011823.0031897994</v>
      </c>
      <c r="P116" s="203"/>
      <c r="Q116" s="46">
        <f>G116*L116</f>
        <v>9082689.9665545002</v>
      </c>
      <c r="R116" s="46"/>
      <c r="S116" s="46"/>
      <c r="T116" s="46">
        <f t="shared" si="37"/>
        <v>29685534.967744302</v>
      </c>
      <c r="U116" s="46">
        <f>29366469.98-2183286.43+2045003.86</f>
        <v>29228187.41</v>
      </c>
      <c r="V116" s="46">
        <f t="shared" si="38"/>
        <v>29228187.41</v>
      </c>
    </row>
    <row r="117" spans="1:29" s="190" customFormat="1" hidden="1">
      <c r="A117" s="49"/>
      <c r="B117" s="200" t="s">
        <v>259</v>
      </c>
      <c r="C117" s="196" t="s">
        <v>219</v>
      </c>
      <c r="D117" s="256"/>
      <c r="E117" s="197"/>
      <c r="F117" s="197"/>
      <c r="G117" s="197"/>
      <c r="H117" s="197"/>
      <c r="I117" s="197"/>
      <c r="J117" s="46"/>
      <c r="K117" s="46">
        <f t="shared" ref="K117:K119" si="39">(12142.68*1.802017)+6356.14+938.636+149.97-0.0919</f>
        <v>29325.96988556</v>
      </c>
      <c r="L117" s="46"/>
      <c r="M117" s="46">
        <f t="shared" si="32"/>
        <v>29325.96988556</v>
      </c>
      <c r="N117" s="203"/>
      <c r="O117" s="46"/>
      <c r="P117" s="203"/>
      <c r="Q117" s="46"/>
      <c r="R117" s="46"/>
      <c r="S117" s="46"/>
      <c r="T117" s="46">
        <f>Q117</f>
        <v>0</v>
      </c>
      <c r="U117" s="46">
        <f>T117</f>
        <v>0</v>
      </c>
      <c r="V117" s="46">
        <f t="shared" si="38"/>
        <v>0</v>
      </c>
    </row>
    <row r="118" spans="1:29" ht="43.5" hidden="1" customHeight="1">
      <c r="A118" s="88"/>
      <c r="B118" s="128" t="s">
        <v>254</v>
      </c>
      <c r="C118" s="127" t="s">
        <v>226</v>
      </c>
      <c r="D118" s="256"/>
      <c r="E118" s="197"/>
      <c r="F118" s="197"/>
      <c r="G118" s="197"/>
      <c r="H118" s="197"/>
      <c r="I118" s="197"/>
      <c r="J118" s="46"/>
      <c r="K118" s="46">
        <f t="shared" si="39"/>
        <v>29325.96988556</v>
      </c>
      <c r="L118" s="46"/>
      <c r="M118" s="46">
        <f t="shared" si="32"/>
        <v>29325.96988556</v>
      </c>
      <c r="N118" s="203"/>
      <c r="O118" s="46"/>
      <c r="P118" s="203"/>
      <c r="Q118" s="46"/>
      <c r="R118" s="46"/>
      <c r="S118" s="46"/>
      <c r="T118" s="46">
        <f>N118</f>
        <v>0</v>
      </c>
      <c r="U118" s="46">
        <f>T118</f>
        <v>0</v>
      </c>
      <c r="V118" s="46">
        <f t="shared" si="38"/>
        <v>0</v>
      </c>
    </row>
    <row r="119" spans="1:29" ht="18.75" hidden="1" customHeight="1">
      <c r="A119" s="88"/>
      <c r="B119" s="128" t="s">
        <v>257</v>
      </c>
      <c r="C119" s="127"/>
      <c r="D119" s="256"/>
      <c r="E119" s="197"/>
      <c r="F119" s="197"/>
      <c r="G119" s="197"/>
      <c r="H119" s="197"/>
      <c r="I119" s="197"/>
      <c r="J119" s="46"/>
      <c r="K119" s="46">
        <f t="shared" si="39"/>
        <v>29325.96988556</v>
      </c>
      <c r="L119" s="46"/>
      <c r="M119" s="46">
        <f t="shared" si="32"/>
        <v>29325.96988556</v>
      </c>
      <c r="N119" s="203"/>
      <c r="O119" s="46"/>
      <c r="P119" s="203"/>
      <c r="Q119" s="46"/>
      <c r="R119" s="46"/>
      <c r="S119" s="46"/>
      <c r="T119" s="46">
        <f>O119</f>
        <v>0</v>
      </c>
      <c r="U119" s="46">
        <f>T119</f>
        <v>0</v>
      </c>
      <c r="V119" s="46">
        <f t="shared" si="38"/>
        <v>0</v>
      </c>
    </row>
    <row r="120" spans="1:29" ht="62.25" customHeight="1">
      <c r="A120" s="235" t="s">
        <v>248</v>
      </c>
      <c r="B120" s="236" t="s">
        <v>28</v>
      </c>
      <c r="C120" s="127" t="s">
        <v>219</v>
      </c>
      <c r="D120" s="44" t="s">
        <v>20</v>
      </c>
      <c r="E120" s="197">
        <f>E115+E116</f>
        <v>244</v>
      </c>
      <c r="F120" s="197">
        <f t="shared" ref="F120:G120" si="40">F115+F116</f>
        <v>231</v>
      </c>
      <c r="G120" s="197">
        <f t="shared" si="40"/>
        <v>239.66666666666666</v>
      </c>
      <c r="H120" s="197">
        <f>H115+H116</f>
        <v>244</v>
      </c>
      <c r="I120" s="197">
        <f>I115+I116</f>
        <v>244</v>
      </c>
      <c r="J120" s="46" t="s">
        <v>23</v>
      </c>
      <c r="K120" s="46"/>
      <c r="L120" s="46">
        <f>Q120/G120</f>
        <v>8142.1313073713491</v>
      </c>
      <c r="M120" s="46">
        <f t="shared" si="32"/>
        <v>8142.1313073713491</v>
      </c>
      <c r="N120" s="203"/>
      <c r="O120" s="46">
        <f>G120*K120</f>
        <v>0</v>
      </c>
      <c r="P120" s="203"/>
      <c r="Q120" s="46">
        <v>1951397.47</v>
      </c>
      <c r="R120" s="46"/>
      <c r="S120" s="46"/>
      <c r="T120" s="46">
        <f t="shared" si="37"/>
        <v>1951397.47</v>
      </c>
      <c r="U120" s="46">
        <f>H120*M120-0.1</f>
        <v>1986679.9389986091</v>
      </c>
      <c r="V120" s="46">
        <f t="shared" si="38"/>
        <v>1986679.9389986091</v>
      </c>
    </row>
    <row r="121" spans="1:29">
      <c r="A121" s="86"/>
      <c r="B121" s="236" t="s">
        <v>28</v>
      </c>
      <c r="C121" s="127" t="s">
        <v>220</v>
      </c>
      <c r="D121" s="44"/>
      <c r="E121" s="197"/>
      <c r="F121" s="197"/>
      <c r="G121" s="197">
        <v>237</v>
      </c>
      <c r="H121" s="197">
        <v>237</v>
      </c>
      <c r="I121" s="197">
        <v>237</v>
      </c>
      <c r="J121" s="46"/>
      <c r="K121" s="46"/>
      <c r="L121" s="46">
        <f>S121/G121</f>
        <v>8628.7082700421943</v>
      </c>
      <c r="M121" s="46">
        <f t="shared" si="32"/>
        <v>8628.7082700421943</v>
      </c>
      <c r="N121" s="203"/>
      <c r="O121" s="46"/>
      <c r="P121" s="203"/>
      <c r="Q121" s="46"/>
      <c r="R121" s="46"/>
      <c r="S121" s="46">
        <v>2045003.86</v>
      </c>
      <c r="T121" s="46">
        <f>S121</f>
        <v>2045003.86</v>
      </c>
      <c r="U121" s="46">
        <f>S121</f>
        <v>2045003.86</v>
      </c>
      <c r="V121" s="46">
        <f>S121</f>
        <v>2045003.86</v>
      </c>
    </row>
    <row r="122" spans="1:29">
      <c r="A122" s="355" t="s">
        <v>232</v>
      </c>
      <c r="B122" s="356"/>
      <c r="C122" s="356"/>
      <c r="D122" s="356"/>
      <c r="E122" s="356"/>
      <c r="F122" s="356"/>
      <c r="G122" s="356"/>
      <c r="H122" s="356"/>
      <c r="I122" s="356"/>
      <c r="J122" s="356"/>
      <c r="K122" s="356"/>
      <c r="L122" s="356"/>
      <c r="M122" s="357"/>
      <c r="N122" s="218">
        <f>N14+N25+N36+N47+N58+N67+N78+N89+N98+N104+N113</f>
        <v>111608144.00265138</v>
      </c>
      <c r="O122" s="218">
        <f>O14+O25+O36+O47+O58+O67+O78+O89+O98+O104+O113</f>
        <v>51819452.200367987</v>
      </c>
      <c r="P122" s="218">
        <f>P14+P25+P36+P47+P58+P67+P78+P89+P98+P104+P113+1</f>
        <v>1</v>
      </c>
      <c r="Q122" s="218">
        <f>Q14+Q25+Q36+Q47+Q58+Q67+Q78+Q89+Q98+Q104+Q113</f>
        <v>94957216.129727915</v>
      </c>
      <c r="R122" s="218">
        <f>R14+R25+R36+R47+R58+R67+R78+R89+R98+R104+R113+1</f>
        <v>1</v>
      </c>
      <c r="S122" s="218">
        <f>S14+S25+S36+S47+S58+S67+S78+S89+S98+S104+S113</f>
        <v>14510556.84</v>
      </c>
      <c r="T122" s="218">
        <f>T14+T25+T36+T47+T58+T67+T78+T89+T98+T104+T113-0.01</f>
        <v>272895369.17274737</v>
      </c>
      <c r="U122" s="218">
        <f>U14+U25+U36+U47+U58+U67+U78+U89+U98+U104+U113</f>
        <v>258911256.91057372</v>
      </c>
      <c r="V122" s="218">
        <f>V14+V25+V36+V47+V58+V67+V78+V89+V98+V104+V113</f>
        <v>258911256.91057372</v>
      </c>
      <c r="W122" s="85"/>
    </row>
    <row r="123" spans="1:29">
      <c r="A123" s="80" t="s">
        <v>288</v>
      </c>
      <c r="C123" s="184"/>
      <c r="D123" s="199"/>
      <c r="E123" s="199"/>
      <c r="F123" s="199"/>
      <c r="G123" s="199"/>
      <c r="H123" s="199"/>
      <c r="I123" s="199"/>
      <c r="J123" s="199"/>
      <c r="K123" s="199"/>
      <c r="L123" s="199"/>
      <c r="M123" s="199"/>
      <c r="N123" s="195"/>
      <c r="O123" s="195"/>
      <c r="P123" s="195"/>
      <c r="Q123" s="195"/>
      <c r="R123" s="195"/>
      <c r="S123" s="195"/>
      <c r="T123" s="195"/>
      <c r="U123" s="199"/>
      <c r="V123" s="195"/>
    </row>
    <row r="124" spans="1:29">
      <c r="A124" s="80" t="s">
        <v>178</v>
      </c>
      <c r="N124" s="282"/>
      <c r="P124" s="194"/>
      <c r="Q124" s="194"/>
      <c r="U124" s="194"/>
      <c r="V124" s="195"/>
    </row>
    <row r="125" spans="1:29">
      <c r="N125" s="199"/>
      <c r="Q125" s="194"/>
      <c r="S125" s="194"/>
      <c r="T125" s="194"/>
      <c r="U125" s="194"/>
    </row>
    <row r="126" spans="1:29">
      <c r="N126" s="194"/>
      <c r="Q126" s="194"/>
      <c r="S126" s="194"/>
      <c r="T126" s="194"/>
      <c r="U126" s="194"/>
      <c r="V126" s="194"/>
    </row>
    <row r="127" spans="1:29">
      <c r="N127" s="194"/>
      <c r="O127" s="194"/>
      <c r="Q127" s="194"/>
      <c r="R127" s="194"/>
      <c r="S127" s="194"/>
      <c r="U127" s="194"/>
      <c r="V127" s="194"/>
    </row>
    <row r="128" spans="1:29">
      <c r="O128" s="194"/>
      <c r="Q128" s="194"/>
      <c r="T128" s="194"/>
    </row>
    <row r="129" spans="1:26">
      <c r="N129" s="194"/>
      <c r="Q129" s="194"/>
      <c r="U129" s="194"/>
    </row>
    <row r="130" spans="1:26" s="190" customFormat="1" hidden="1">
      <c r="A130" s="80"/>
      <c r="B130" s="80"/>
      <c r="C130" s="80"/>
      <c r="Q130" s="194"/>
      <c r="W130" s="80"/>
      <c r="X130" s="80"/>
      <c r="Y130" s="80"/>
    </row>
    <row r="131" spans="1:26" hidden="1"/>
    <row r="132" spans="1:26" hidden="1"/>
    <row r="133" spans="1:26" ht="179.4" hidden="1">
      <c r="B133" s="180"/>
      <c r="C133" s="236" t="s">
        <v>271</v>
      </c>
      <c r="D133" s="255" t="s">
        <v>269</v>
      </c>
      <c r="E133" s="260" t="s">
        <v>268</v>
      </c>
      <c r="F133" s="261"/>
      <c r="G133" s="260" t="s">
        <v>268</v>
      </c>
      <c r="H133" s="255" t="s">
        <v>269</v>
      </c>
      <c r="I133" s="255" t="s">
        <v>270</v>
      </c>
      <c r="J133" s="256" t="s">
        <v>333</v>
      </c>
      <c r="K133" s="300" t="s">
        <v>301</v>
      </c>
      <c r="L133" s="304" t="s">
        <v>181</v>
      </c>
      <c r="M133" s="275" t="s">
        <v>181</v>
      </c>
      <c r="N133" s="311"/>
      <c r="O133" s="241"/>
      <c r="P133" s="241"/>
      <c r="Q133" s="44"/>
      <c r="R133" s="241"/>
      <c r="S133" s="241"/>
      <c r="T133" s="241"/>
      <c r="U133" s="199"/>
      <c r="V133" s="199"/>
      <c r="W133" s="184"/>
      <c r="X133" s="184"/>
      <c r="Y133" s="184"/>
      <c r="Z133" s="184"/>
    </row>
    <row r="134" spans="1:26" hidden="1">
      <c r="A134" s="240">
        <v>4</v>
      </c>
      <c r="B134" s="244" t="s">
        <v>334</v>
      </c>
      <c r="C134" s="338" t="s">
        <v>328</v>
      </c>
      <c r="D134" s="339"/>
      <c r="E134" s="339"/>
      <c r="F134" s="339"/>
      <c r="G134" s="340"/>
      <c r="H134" s="256" t="s">
        <v>330</v>
      </c>
      <c r="I134" s="256" t="s">
        <v>331</v>
      </c>
      <c r="J134" s="366" t="s">
        <v>332</v>
      </c>
      <c r="K134" s="368"/>
      <c r="L134" s="305" t="s">
        <v>335</v>
      </c>
      <c r="M134" s="276" t="s">
        <v>336</v>
      </c>
      <c r="N134" s="250"/>
      <c r="O134" s="248"/>
      <c r="P134" s="248"/>
      <c r="Q134" s="248"/>
      <c r="R134" s="248"/>
      <c r="S134" s="249"/>
      <c r="T134" s="311"/>
      <c r="U134" s="246"/>
      <c r="V134" s="246"/>
      <c r="W134" s="184"/>
      <c r="X134" s="184"/>
      <c r="Y134" s="184"/>
      <c r="Z134" s="184"/>
    </row>
    <row r="135" spans="1:26" hidden="1">
      <c r="A135" s="240"/>
      <c r="B135" s="181" t="s">
        <v>329</v>
      </c>
      <c r="C135" s="86">
        <v>19</v>
      </c>
      <c r="D135" s="42">
        <v>60</v>
      </c>
      <c r="E135" s="42"/>
      <c r="F135" s="44"/>
      <c r="G135" s="42">
        <v>22</v>
      </c>
      <c r="H135" s="253">
        <v>17</v>
      </c>
      <c r="I135" s="253"/>
      <c r="J135" s="256"/>
      <c r="K135" s="302"/>
      <c r="L135" s="241"/>
      <c r="M135" s="241"/>
      <c r="N135" s="241"/>
      <c r="O135" s="241"/>
      <c r="P135" s="241"/>
      <c r="Q135" s="241"/>
      <c r="R135" s="245"/>
      <c r="S135" s="241"/>
      <c r="T135" s="241"/>
      <c r="U135" s="199"/>
      <c r="V135" s="199"/>
      <c r="W135" s="184"/>
      <c r="X135" s="184"/>
      <c r="Y135" s="184"/>
      <c r="Z135" s="184"/>
    </row>
    <row r="136" spans="1:26" hidden="1">
      <c r="A136" s="240"/>
      <c r="B136" s="196" t="s">
        <v>225</v>
      </c>
      <c r="C136" s="180"/>
      <c r="D136" s="241"/>
      <c r="E136" s="241"/>
      <c r="F136" s="241"/>
      <c r="G136" s="241"/>
      <c r="H136" s="242"/>
      <c r="I136" s="242"/>
      <c r="J136" s="242"/>
      <c r="K136" s="241"/>
      <c r="L136" s="241"/>
      <c r="M136" s="241"/>
      <c r="N136" s="245"/>
      <c r="O136" s="245"/>
      <c r="P136" s="241"/>
      <c r="Q136" s="245"/>
      <c r="R136" s="241"/>
      <c r="S136" s="245"/>
      <c r="T136" s="245"/>
      <c r="U136" s="199"/>
      <c r="V136" s="262"/>
      <c r="W136" s="184"/>
      <c r="X136" s="184"/>
      <c r="Y136" s="184"/>
      <c r="Z136" s="184"/>
    </row>
    <row r="137" spans="1:26" hidden="1">
      <c r="B137" s="196" t="s">
        <v>225</v>
      </c>
      <c r="C137" s="180"/>
      <c r="D137" s="241"/>
      <c r="E137" s="241"/>
      <c r="F137" s="241"/>
      <c r="G137" s="241"/>
      <c r="H137" s="241"/>
      <c r="I137" s="241"/>
      <c r="J137" s="241"/>
      <c r="K137" s="241"/>
      <c r="L137" s="241"/>
      <c r="M137" s="241"/>
      <c r="N137" s="245"/>
      <c r="O137" s="245"/>
      <c r="P137" s="241"/>
      <c r="Q137" s="241"/>
      <c r="R137" s="241"/>
      <c r="S137" s="245"/>
      <c r="T137" s="245"/>
      <c r="U137" s="199"/>
      <c r="V137" s="199"/>
      <c r="W137" s="184"/>
      <c r="X137" s="184"/>
      <c r="Y137" s="184"/>
      <c r="Z137" s="184"/>
    </row>
    <row r="138" spans="1:26" ht="27.6" hidden="1">
      <c r="B138" s="235" t="s">
        <v>289</v>
      </c>
      <c r="C138" s="180"/>
      <c r="D138" s="241"/>
      <c r="E138" s="241"/>
      <c r="F138" s="241"/>
      <c r="G138" s="241"/>
      <c r="H138" s="241"/>
      <c r="I138" s="241"/>
      <c r="J138" s="241"/>
      <c r="K138" s="241"/>
      <c r="L138" s="241"/>
      <c r="M138" s="241"/>
      <c r="N138" s="245"/>
      <c r="O138" s="241"/>
      <c r="P138" s="241"/>
      <c r="Q138" s="241"/>
      <c r="R138" s="241"/>
      <c r="S138" s="241"/>
      <c r="T138" s="241"/>
      <c r="U138" s="199"/>
      <c r="V138" s="199"/>
      <c r="W138" s="184"/>
      <c r="X138" s="184"/>
      <c r="Y138" s="184"/>
      <c r="Z138" s="184"/>
    </row>
    <row r="139" spans="1:26" ht="55.2" hidden="1">
      <c r="B139" s="234" t="s">
        <v>303</v>
      </c>
      <c r="C139" s="180"/>
      <c r="D139" s="241"/>
      <c r="E139" s="241"/>
      <c r="F139" s="241"/>
      <c r="G139" s="241"/>
      <c r="H139" s="241"/>
      <c r="I139" s="241"/>
      <c r="J139" s="241"/>
      <c r="K139" s="241"/>
      <c r="L139" s="241"/>
      <c r="M139" s="241"/>
      <c r="N139" s="263"/>
      <c r="O139" s="241"/>
      <c r="P139" s="263"/>
      <c r="Q139" s="241"/>
      <c r="R139" s="241"/>
      <c r="S139" s="241"/>
      <c r="T139" s="241"/>
      <c r="U139" s="199"/>
      <c r="V139" s="199"/>
      <c r="W139" s="184"/>
      <c r="X139" s="184"/>
      <c r="Y139" s="184"/>
      <c r="Z139" s="184"/>
    </row>
    <row r="140" spans="1:26" ht="41.4" hidden="1">
      <c r="B140" s="234" t="s">
        <v>304</v>
      </c>
      <c r="C140" s="180"/>
      <c r="D140" s="241"/>
      <c r="E140" s="241"/>
      <c r="F140" s="241"/>
      <c r="G140" s="241"/>
      <c r="H140" s="241"/>
      <c r="I140" s="241"/>
      <c r="J140" s="241"/>
      <c r="K140" s="241"/>
      <c r="L140" s="241"/>
      <c r="M140" s="241"/>
      <c r="N140" s="245"/>
      <c r="O140" s="241"/>
      <c r="P140" s="241"/>
      <c r="Q140" s="241"/>
      <c r="R140" s="241"/>
      <c r="S140" s="245"/>
      <c r="T140" s="245"/>
      <c r="U140" s="199"/>
      <c r="V140" s="199"/>
      <c r="W140" s="184"/>
      <c r="X140" s="184"/>
      <c r="Y140" s="184"/>
      <c r="Z140" s="184"/>
    </row>
    <row r="141" spans="1:26" hidden="1">
      <c r="B141" s="247" t="s">
        <v>338</v>
      </c>
      <c r="C141" s="180"/>
      <c r="D141" s="241"/>
      <c r="E141" s="241"/>
      <c r="F141" s="241"/>
      <c r="G141" s="241"/>
      <c r="H141" s="241"/>
      <c r="I141" s="241"/>
      <c r="J141" s="241"/>
      <c r="K141" s="241"/>
      <c r="L141" s="241"/>
      <c r="M141" s="241"/>
      <c r="N141" s="245"/>
      <c r="O141" s="245"/>
      <c r="P141" s="245"/>
      <c r="Q141" s="245"/>
      <c r="R141" s="245"/>
      <c r="S141" s="245"/>
      <c r="T141" s="241"/>
      <c r="U141" s="199"/>
      <c r="V141" s="199"/>
      <c r="W141" s="184"/>
      <c r="X141" s="184"/>
      <c r="Y141" s="184"/>
      <c r="Z141" s="184"/>
    </row>
    <row r="142" spans="1:26" hidden="1">
      <c r="B142" s="243"/>
      <c r="C142" s="184"/>
      <c r="D142" s="199"/>
      <c r="E142" s="199"/>
      <c r="F142" s="199"/>
      <c r="G142" s="199"/>
      <c r="H142" s="199"/>
      <c r="I142" s="199"/>
      <c r="J142" s="199"/>
      <c r="K142" s="199"/>
      <c r="L142" s="199"/>
      <c r="M142" s="199"/>
      <c r="N142" s="195"/>
      <c r="O142" s="199"/>
      <c r="P142" s="199"/>
      <c r="Q142" s="199"/>
      <c r="R142" s="199"/>
    </row>
    <row r="143" spans="1:26" hidden="1">
      <c r="B143" s="243"/>
      <c r="C143" s="184"/>
      <c r="D143" s="199"/>
      <c r="E143" s="199"/>
      <c r="F143" s="199"/>
      <c r="G143" s="199"/>
      <c r="H143" s="199"/>
      <c r="I143" s="199"/>
      <c r="J143" s="199"/>
      <c r="K143" s="199"/>
      <c r="L143" s="199"/>
      <c r="M143" s="199"/>
      <c r="N143" s="195"/>
      <c r="O143" s="199"/>
      <c r="P143" s="199"/>
      <c r="Q143" s="199"/>
      <c r="R143" s="199"/>
    </row>
    <row r="144" spans="1:26" hidden="1">
      <c r="B144" s="244" t="s">
        <v>334</v>
      </c>
      <c r="C144" s="338" t="s">
        <v>328</v>
      </c>
      <c r="D144" s="339"/>
      <c r="E144" s="339"/>
      <c r="F144" s="339"/>
      <c r="G144" s="340"/>
      <c r="H144" s="256" t="s">
        <v>330</v>
      </c>
      <c r="I144" s="256" t="s">
        <v>331</v>
      </c>
      <c r="J144" s="366" t="s">
        <v>332</v>
      </c>
      <c r="K144" s="368"/>
      <c r="L144" s="305" t="s">
        <v>335</v>
      </c>
      <c r="M144" s="276" t="s">
        <v>336</v>
      </c>
      <c r="N144" s="311"/>
      <c r="O144" s="311"/>
      <c r="P144" s="311"/>
      <c r="Q144" s="311"/>
      <c r="R144" s="311"/>
      <c r="S144" s="249"/>
      <c r="T144" s="311"/>
    </row>
    <row r="145" spans="1:20" hidden="1">
      <c r="A145" s="240">
        <v>5</v>
      </c>
      <c r="B145" s="181" t="s">
        <v>329</v>
      </c>
      <c r="C145" s="86"/>
      <c r="D145" s="42"/>
      <c r="E145" s="42"/>
      <c r="F145" s="44"/>
      <c r="G145" s="42"/>
      <c r="H145" s="44"/>
      <c r="I145" s="44">
        <v>32</v>
      </c>
      <c r="J145" s="256"/>
      <c r="K145" s="302"/>
      <c r="L145" s="241"/>
      <c r="M145" s="241"/>
      <c r="N145" s="241"/>
      <c r="O145" s="241"/>
      <c r="P145" s="241"/>
      <c r="Q145" s="241"/>
      <c r="R145" s="245"/>
      <c r="S145" s="241"/>
      <c r="T145" s="241"/>
    </row>
    <row r="146" spans="1:20" hidden="1">
      <c r="B146" s="196" t="s">
        <v>225</v>
      </c>
      <c r="C146" s="180"/>
      <c r="D146" s="241"/>
      <c r="E146" s="241"/>
      <c r="F146" s="241"/>
      <c r="G146" s="241"/>
      <c r="H146" s="242"/>
      <c r="I146" s="242"/>
      <c r="J146" s="242"/>
      <c r="K146" s="241"/>
      <c r="L146" s="241"/>
      <c r="M146" s="241"/>
      <c r="N146" s="245"/>
      <c r="O146" s="245"/>
      <c r="P146" s="241"/>
      <c r="Q146" s="245"/>
      <c r="R146" s="245"/>
      <c r="S146" s="245"/>
      <c r="T146" s="245"/>
    </row>
    <row r="147" spans="1:20" hidden="1">
      <c r="B147" s="196" t="s">
        <v>225</v>
      </c>
      <c r="C147" s="180"/>
      <c r="D147" s="241"/>
      <c r="E147" s="241"/>
      <c r="F147" s="241"/>
      <c r="G147" s="241"/>
      <c r="H147" s="241"/>
      <c r="I147" s="241"/>
      <c r="J147" s="241"/>
      <c r="K147" s="241"/>
      <c r="L147" s="241"/>
      <c r="M147" s="241"/>
      <c r="N147" s="245"/>
      <c r="O147" s="245"/>
      <c r="P147" s="241"/>
      <c r="Q147" s="241"/>
      <c r="R147" s="241"/>
      <c r="S147" s="245"/>
      <c r="T147" s="245"/>
    </row>
    <row r="148" spans="1:20" ht="27.6" hidden="1">
      <c r="B148" s="235" t="s">
        <v>289</v>
      </c>
      <c r="C148" s="180"/>
      <c r="D148" s="241"/>
      <c r="E148" s="241"/>
      <c r="F148" s="241"/>
      <c r="G148" s="241"/>
      <c r="H148" s="241"/>
      <c r="I148" s="241"/>
      <c r="J148" s="241"/>
      <c r="K148" s="241"/>
      <c r="L148" s="241"/>
      <c r="M148" s="241"/>
      <c r="N148" s="245"/>
      <c r="O148" s="241"/>
      <c r="P148" s="241"/>
      <c r="Q148" s="241"/>
      <c r="R148" s="241"/>
      <c r="S148" s="241"/>
      <c r="T148" s="241"/>
    </row>
    <row r="149" spans="1:20" hidden="1">
      <c r="B149" s="247" t="s">
        <v>338</v>
      </c>
      <c r="C149" s="180"/>
      <c r="D149" s="241"/>
      <c r="E149" s="241"/>
      <c r="F149" s="241"/>
      <c r="G149" s="241"/>
      <c r="H149" s="241"/>
      <c r="I149" s="241"/>
      <c r="J149" s="241"/>
      <c r="K149" s="241"/>
      <c r="L149" s="241"/>
      <c r="M149" s="241"/>
      <c r="N149" s="245"/>
      <c r="O149" s="245"/>
      <c r="P149" s="245"/>
      <c r="Q149" s="245"/>
      <c r="R149" s="245"/>
      <c r="S149" s="245"/>
      <c r="T149" s="241"/>
    </row>
    <row r="150" spans="1:20" hidden="1">
      <c r="A150" s="184"/>
      <c r="B150" s="184"/>
      <c r="C150" s="184"/>
      <c r="D150" s="199"/>
      <c r="E150" s="199"/>
      <c r="F150" s="199"/>
      <c r="G150" s="199"/>
      <c r="H150" s="199"/>
      <c r="I150" s="199"/>
      <c r="J150" s="199"/>
      <c r="K150" s="199"/>
      <c r="L150" s="199"/>
      <c r="M150" s="199"/>
      <c r="N150" s="199"/>
      <c r="O150" s="199"/>
      <c r="P150" s="199"/>
      <c r="Q150" s="199"/>
      <c r="R150" s="199"/>
      <c r="S150" s="195"/>
      <c r="T150" s="195"/>
    </row>
    <row r="151" spans="1:20" hidden="1">
      <c r="A151" s="184"/>
      <c r="B151" s="184"/>
      <c r="C151" s="184"/>
      <c r="D151" s="199"/>
      <c r="E151" s="199"/>
      <c r="F151" s="199"/>
      <c r="G151" s="199"/>
      <c r="H151" s="199"/>
      <c r="I151" s="199"/>
      <c r="J151" s="199"/>
      <c r="K151" s="199"/>
      <c r="L151" s="199"/>
      <c r="M151" s="199"/>
      <c r="N151" s="199"/>
      <c r="O151" s="199"/>
      <c r="P151" s="199"/>
      <c r="Q151" s="199"/>
      <c r="R151" s="199"/>
      <c r="S151" s="195"/>
      <c r="T151" s="199"/>
    </row>
    <row r="152" spans="1:20" hidden="1">
      <c r="A152" s="240">
        <v>7</v>
      </c>
      <c r="B152" s="244" t="s">
        <v>334</v>
      </c>
      <c r="C152" s="338" t="s">
        <v>328</v>
      </c>
      <c r="D152" s="339"/>
      <c r="E152" s="339"/>
      <c r="F152" s="339"/>
      <c r="G152" s="340"/>
      <c r="H152" s="256" t="s">
        <v>330</v>
      </c>
      <c r="I152" s="256" t="s">
        <v>331</v>
      </c>
      <c r="J152" s="366" t="s">
        <v>332</v>
      </c>
      <c r="K152" s="368"/>
      <c r="L152" s="305" t="s">
        <v>335</v>
      </c>
      <c r="M152" s="276" t="s">
        <v>336</v>
      </c>
      <c r="N152" s="311"/>
      <c r="O152" s="311"/>
      <c r="P152" s="311"/>
      <c r="Q152" s="311"/>
      <c r="R152" s="311"/>
      <c r="S152" s="249"/>
      <c r="T152" s="311"/>
    </row>
    <row r="153" spans="1:20" hidden="1">
      <c r="A153" s="240"/>
      <c r="B153" s="181" t="s">
        <v>329</v>
      </c>
      <c r="C153" s="180">
        <v>13</v>
      </c>
      <c r="D153" s="241">
        <v>24</v>
      </c>
      <c r="E153" s="241"/>
      <c r="F153" s="241"/>
      <c r="G153" s="241"/>
      <c r="H153" s="241">
        <v>43</v>
      </c>
      <c r="I153" s="241"/>
      <c r="J153" s="241">
        <v>18</v>
      </c>
      <c r="K153" s="241">
        <v>13</v>
      </c>
      <c r="L153" s="241"/>
      <c r="M153" s="241"/>
      <c r="N153" s="241"/>
      <c r="O153" s="241"/>
      <c r="P153" s="241"/>
      <c r="Q153" s="241"/>
      <c r="R153" s="245"/>
      <c r="S153" s="241"/>
      <c r="T153" s="241"/>
    </row>
    <row r="154" spans="1:20" hidden="1">
      <c r="B154" s="196" t="s">
        <v>225</v>
      </c>
      <c r="C154" s="180"/>
      <c r="D154" s="241"/>
      <c r="E154" s="241"/>
      <c r="F154" s="241"/>
      <c r="G154" s="241"/>
      <c r="H154" s="241"/>
      <c r="I154" s="241"/>
      <c r="J154" s="241"/>
      <c r="K154" s="241"/>
      <c r="L154" s="241"/>
      <c r="M154" s="241"/>
      <c r="N154" s="245"/>
      <c r="O154" s="241"/>
      <c r="P154" s="241"/>
      <c r="Q154" s="245"/>
      <c r="R154" s="241"/>
      <c r="S154" s="245"/>
      <c r="T154" s="245"/>
    </row>
    <row r="155" spans="1:20" hidden="1">
      <c r="B155" s="196" t="s">
        <v>225</v>
      </c>
      <c r="C155" s="180"/>
      <c r="D155" s="241"/>
      <c r="E155" s="241"/>
      <c r="F155" s="241"/>
      <c r="G155" s="241"/>
      <c r="H155" s="241"/>
      <c r="I155" s="241"/>
      <c r="J155" s="241"/>
      <c r="K155" s="241"/>
      <c r="L155" s="241"/>
      <c r="M155" s="241"/>
      <c r="N155" s="245"/>
      <c r="O155" s="245"/>
      <c r="P155" s="241"/>
      <c r="Q155" s="241"/>
      <c r="R155" s="241"/>
      <c r="S155" s="245"/>
      <c r="T155" s="245"/>
    </row>
    <row r="156" spans="1:20" ht="27.6" hidden="1">
      <c r="B156" s="235" t="s">
        <v>289</v>
      </c>
      <c r="C156" s="180"/>
      <c r="D156" s="241"/>
      <c r="E156" s="241"/>
      <c r="F156" s="241"/>
      <c r="G156" s="241"/>
      <c r="H156" s="241"/>
      <c r="I156" s="241"/>
      <c r="J156" s="241"/>
      <c r="K156" s="241"/>
      <c r="L156" s="241"/>
      <c r="M156" s="241"/>
      <c r="N156" s="245"/>
      <c r="O156" s="241"/>
      <c r="P156" s="241"/>
      <c r="Q156" s="241"/>
      <c r="R156" s="241"/>
      <c r="S156" s="245"/>
      <c r="T156" s="241"/>
    </row>
    <row r="157" spans="1:20" hidden="1">
      <c r="B157" s="234" t="s">
        <v>337</v>
      </c>
      <c r="C157" s="180"/>
      <c r="D157" s="241"/>
      <c r="E157" s="241"/>
      <c r="F157" s="241"/>
      <c r="G157" s="241"/>
      <c r="H157" s="241"/>
      <c r="I157" s="241"/>
      <c r="J157" s="241"/>
      <c r="K157" s="241"/>
      <c r="L157" s="241"/>
      <c r="M157" s="241"/>
      <c r="N157" s="245"/>
      <c r="O157" s="241"/>
      <c r="P157" s="245"/>
      <c r="Q157" s="241"/>
      <c r="R157" s="241"/>
      <c r="S157" s="245"/>
      <c r="T157" s="241"/>
    </row>
    <row r="158" spans="1:20" ht="55.2" hidden="1">
      <c r="B158" s="234" t="s">
        <v>303</v>
      </c>
      <c r="C158" s="180"/>
      <c r="D158" s="241"/>
      <c r="E158" s="241"/>
      <c r="F158" s="241"/>
      <c r="G158" s="241"/>
      <c r="H158" s="241"/>
      <c r="I158" s="241"/>
      <c r="J158" s="241"/>
      <c r="K158" s="241"/>
      <c r="L158" s="241"/>
      <c r="M158" s="241"/>
      <c r="N158" s="263"/>
      <c r="O158" s="241"/>
      <c r="P158" s="241"/>
      <c r="Q158" s="241"/>
      <c r="R158" s="241"/>
      <c r="S158" s="245"/>
      <c r="T158" s="245"/>
    </row>
    <row r="159" spans="1:20" ht="41.4" hidden="1">
      <c r="B159" s="234" t="s">
        <v>304</v>
      </c>
      <c r="C159" s="180"/>
      <c r="D159" s="241"/>
      <c r="E159" s="241"/>
      <c r="F159" s="241"/>
      <c r="G159" s="241"/>
      <c r="H159" s="241"/>
      <c r="I159" s="241"/>
      <c r="J159" s="241"/>
      <c r="K159" s="241"/>
      <c r="L159" s="241"/>
      <c r="M159" s="241"/>
      <c r="N159" s="245"/>
      <c r="O159" s="241"/>
      <c r="P159" s="241"/>
      <c r="Q159" s="241"/>
      <c r="R159" s="241"/>
      <c r="S159" s="245"/>
      <c r="T159" s="241"/>
    </row>
    <row r="160" spans="1:20" hidden="1">
      <c r="B160" s="247" t="s">
        <v>338</v>
      </c>
      <c r="C160" s="180"/>
      <c r="D160" s="241"/>
      <c r="E160" s="241"/>
      <c r="F160" s="241"/>
      <c r="G160" s="241"/>
      <c r="H160" s="241"/>
      <c r="I160" s="241"/>
      <c r="J160" s="241"/>
      <c r="K160" s="241"/>
      <c r="L160" s="241"/>
      <c r="M160" s="241"/>
      <c r="N160" s="245"/>
      <c r="O160" s="241"/>
      <c r="P160" s="241"/>
      <c r="Q160" s="241"/>
      <c r="R160" s="241"/>
      <c r="S160" s="245"/>
      <c r="T160" s="241"/>
    </row>
    <row r="161" spans="1:20" hidden="1"/>
    <row r="162" spans="1:20" hidden="1"/>
    <row r="163" spans="1:20" hidden="1">
      <c r="A163" s="240">
        <v>8</v>
      </c>
      <c r="B163" s="244" t="s">
        <v>334</v>
      </c>
      <c r="C163" s="338" t="s">
        <v>328</v>
      </c>
      <c r="D163" s="339"/>
      <c r="E163" s="339"/>
      <c r="F163" s="339"/>
      <c r="G163" s="340"/>
      <c r="H163" s="256" t="s">
        <v>330</v>
      </c>
      <c r="I163" s="256" t="s">
        <v>331</v>
      </c>
      <c r="J163" s="366" t="s">
        <v>332</v>
      </c>
      <c r="K163" s="368"/>
      <c r="L163" s="305" t="s">
        <v>335</v>
      </c>
      <c r="M163" s="276" t="s">
        <v>336</v>
      </c>
      <c r="N163" s="311"/>
      <c r="O163" s="311"/>
      <c r="P163" s="311"/>
      <c r="Q163" s="311"/>
      <c r="R163" s="311"/>
      <c r="S163" s="249"/>
      <c r="T163" s="311"/>
    </row>
    <row r="164" spans="1:20" hidden="1">
      <c r="A164" s="240"/>
      <c r="B164" s="180" t="s">
        <v>329</v>
      </c>
      <c r="C164" s="180">
        <v>19</v>
      </c>
      <c r="D164" s="241">
        <v>19</v>
      </c>
      <c r="E164" s="241"/>
      <c r="F164" s="241"/>
      <c r="G164" s="241"/>
      <c r="H164" s="241">
        <v>76</v>
      </c>
      <c r="I164" s="241"/>
      <c r="J164" s="241"/>
      <c r="K164" s="241"/>
      <c r="L164" s="241"/>
      <c r="M164" s="241"/>
      <c r="N164" s="241"/>
      <c r="O164" s="241"/>
      <c r="P164" s="241"/>
      <c r="Q164" s="241"/>
      <c r="R164" s="245"/>
      <c r="S164" s="241"/>
      <c r="T164" s="241"/>
    </row>
    <row r="165" spans="1:20" hidden="1">
      <c r="B165" s="196" t="s">
        <v>225</v>
      </c>
      <c r="C165" s="180"/>
      <c r="D165" s="241"/>
      <c r="E165" s="241"/>
      <c r="F165" s="241"/>
      <c r="G165" s="241"/>
      <c r="H165" s="241"/>
      <c r="I165" s="241"/>
      <c r="J165" s="241"/>
      <c r="K165" s="241"/>
      <c r="L165" s="241"/>
      <c r="M165" s="241"/>
      <c r="N165" s="245"/>
      <c r="O165" s="245"/>
      <c r="P165" s="241"/>
      <c r="Q165" s="245"/>
      <c r="R165" s="241"/>
      <c r="S165" s="245"/>
      <c r="T165" s="245"/>
    </row>
    <row r="166" spans="1:20" hidden="1">
      <c r="B166" s="196" t="s">
        <v>225</v>
      </c>
      <c r="C166" s="180"/>
      <c r="D166" s="241"/>
      <c r="E166" s="241"/>
      <c r="F166" s="241"/>
      <c r="G166" s="241"/>
      <c r="H166" s="241"/>
      <c r="I166" s="241"/>
      <c r="J166" s="241"/>
      <c r="K166" s="241"/>
      <c r="L166" s="241"/>
      <c r="M166" s="241"/>
      <c r="N166" s="245"/>
      <c r="O166" s="245"/>
      <c r="P166" s="241"/>
      <c r="Q166" s="241"/>
      <c r="R166" s="241"/>
      <c r="S166" s="245"/>
      <c r="T166" s="245"/>
    </row>
    <row r="167" spans="1:20" ht="27.6" hidden="1">
      <c r="B167" s="235" t="s">
        <v>289</v>
      </c>
      <c r="C167" s="180"/>
      <c r="D167" s="241"/>
      <c r="E167" s="241"/>
      <c r="F167" s="241"/>
      <c r="G167" s="241"/>
      <c r="H167" s="241"/>
      <c r="I167" s="241"/>
      <c r="J167" s="241"/>
      <c r="K167" s="241"/>
      <c r="L167" s="241"/>
      <c r="M167" s="241"/>
      <c r="N167" s="245"/>
      <c r="O167" s="241"/>
      <c r="P167" s="241"/>
      <c r="Q167" s="241"/>
      <c r="R167" s="241"/>
      <c r="S167" s="245"/>
      <c r="T167" s="241"/>
    </row>
    <row r="168" spans="1:20" ht="55.2" hidden="1">
      <c r="B168" s="234" t="s">
        <v>303</v>
      </c>
      <c r="C168" s="180"/>
      <c r="D168" s="241"/>
      <c r="E168" s="241"/>
      <c r="F168" s="241"/>
      <c r="G168" s="241"/>
      <c r="H168" s="241"/>
      <c r="I168" s="241"/>
      <c r="J168" s="241"/>
      <c r="K168" s="241"/>
      <c r="L168" s="241"/>
      <c r="M168" s="241"/>
      <c r="N168" s="263"/>
      <c r="O168" s="241"/>
      <c r="P168" s="263"/>
      <c r="Q168" s="241"/>
      <c r="R168" s="241"/>
      <c r="S168" s="245"/>
      <c r="T168" s="241"/>
    </row>
    <row r="169" spans="1:20" ht="41.4" hidden="1">
      <c r="B169" s="234" t="s">
        <v>304</v>
      </c>
      <c r="C169" s="180"/>
      <c r="D169" s="241"/>
      <c r="E169" s="241"/>
      <c r="F169" s="241"/>
      <c r="G169" s="241"/>
      <c r="H169" s="241"/>
      <c r="I169" s="241"/>
      <c r="J169" s="241"/>
      <c r="K169" s="241"/>
      <c r="L169" s="241"/>
      <c r="M169" s="241"/>
      <c r="N169" s="245"/>
      <c r="O169" s="241"/>
      <c r="P169" s="241"/>
      <c r="Q169" s="241"/>
      <c r="R169" s="241"/>
      <c r="S169" s="245"/>
      <c r="T169" s="245"/>
    </row>
    <row r="170" spans="1:20" hidden="1">
      <c r="B170" s="247" t="s">
        <v>338</v>
      </c>
      <c r="C170" s="180"/>
      <c r="D170" s="241"/>
      <c r="E170" s="241"/>
      <c r="F170" s="241"/>
      <c r="G170" s="241"/>
      <c r="H170" s="241"/>
      <c r="I170" s="241"/>
      <c r="J170" s="241"/>
      <c r="K170" s="241"/>
      <c r="L170" s="241"/>
      <c r="M170" s="241"/>
      <c r="N170" s="245"/>
      <c r="O170" s="241"/>
      <c r="P170" s="241"/>
      <c r="Q170" s="241"/>
      <c r="R170" s="241"/>
      <c r="S170" s="245"/>
      <c r="T170" s="241"/>
    </row>
    <row r="171" spans="1:20" hidden="1">
      <c r="S171" s="195"/>
      <c r="T171" s="199"/>
    </row>
    <row r="172" spans="1:20" hidden="1"/>
    <row r="173" spans="1:20" hidden="1">
      <c r="B173" s="244" t="s">
        <v>334</v>
      </c>
      <c r="C173" s="338" t="s">
        <v>328</v>
      </c>
      <c r="D173" s="339"/>
      <c r="E173" s="339"/>
      <c r="F173" s="339"/>
      <c r="G173" s="340"/>
      <c r="H173" s="256" t="s">
        <v>330</v>
      </c>
      <c r="I173" s="256" t="s">
        <v>331</v>
      </c>
      <c r="J173" s="366" t="s">
        <v>332</v>
      </c>
      <c r="K173" s="368"/>
      <c r="L173" s="305" t="s">
        <v>335</v>
      </c>
      <c r="M173" s="276" t="s">
        <v>336</v>
      </c>
      <c r="N173" s="311"/>
      <c r="O173" s="311"/>
      <c r="P173" s="311"/>
      <c r="Q173" s="311"/>
      <c r="R173" s="311"/>
      <c r="S173" s="249"/>
      <c r="T173" s="311"/>
    </row>
    <row r="174" spans="1:20" hidden="1">
      <c r="A174" s="240">
        <v>9</v>
      </c>
      <c r="B174" s="181" t="s">
        <v>329</v>
      </c>
      <c r="C174" s="180">
        <v>29</v>
      </c>
      <c r="D174" s="241">
        <v>89</v>
      </c>
      <c r="E174" s="241"/>
      <c r="F174" s="241"/>
      <c r="G174" s="241"/>
      <c r="H174" s="241">
        <v>75</v>
      </c>
      <c r="I174" s="241"/>
      <c r="J174" s="241"/>
      <c r="K174" s="241">
        <v>24</v>
      </c>
      <c r="L174" s="241"/>
      <c r="M174" s="241"/>
      <c r="N174" s="241"/>
      <c r="O174" s="241"/>
      <c r="P174" s="241"/>
      <c r="Q174" s="241"/>
      <c r="R174" s="245"/>
      <c r="S174" s="241"/>
      <c r="T174" s="241"/>
    </row>
    <row r="175" spans="1:20" hidden="1">
      <c r="B175" s="196" t="s">
        <v>225</v>
      </c>
      <c r="C175" s="180"/>
      <c r="D175" s="241"/>
      <c r="E175" s="241"/>
      <c r="F175" s="241"/>
      <c r="G175" s="241"/>
      <c r="H175" s="241"/>
      <c r="I175" s="241"/>
      <c r="J175" s="241"/>
      <c r="K175" s="241"/>
      <c r="L175" s="241"/>
      <c r="M175" s="241"/>
      <c r="N175" s="245"/>
      <c r="O175" s="245"/>
      <c r="P175" s="241"/>
      <c r="Q175" s="245"/>
      <c r="R175" s="241"/>
      <c r="S175" s="245"/>
      <c r="T175" s="245"/>
    </row>
    <row r="176" spans="1:20" hidden="1">
      <c r="B176" s="196" t="s">
        <v>225</v>
      </c>
      <c r="C176" s="180"/>
      <c r="D176" s="241"/>
      <c r="E176" s="241"/>
      <c r="F176" s="241"/>
      <c r="G176" s="241"/>
      <c r="H176" s="241"/>
      <c r="I176" s="241"/>
      <c r="J176" s="241"/>
      <c r="K176" s="241"/>
      <c r="L176" s="241"/>
      <c r="M176" s="241"/>
      <c r="N176" s="245"/>
      <c r="O176" s="245"/>
      <c r="P176" s="241"/>
      <c r="Q176" s="241"/>
      <c r="R176" s="241"/>
      <c r="S176" s="245"/>
      <c r="T176" s="245"/>
    </row>
    <row r="177" spans="1:20" ht="27.6" hidden="1">
      <c r="B177" s="235" t="s">
        <v>289</v>
      </c>
      <c r="C177" s="180"/>
      <c r="D177" s="241"/>
      <c r="E177" s="241"/>
      <c r="F177" s="241"/>
      <c r="G177" s="241"/>
      <c r="H177" s="241"/>
      <c r="I177" s="241"/>
      <c r="J177" s="241"/>
      <c r="K177" s="241"/>
      <c r="L177" s="241"/>
      <c r="M177" s="241"/>
      <c r="N177" s="245"/>
      <c r="O177" s="241"/>
      <c r="P177" s="241"/>
      <c r="Q177" s="241"/>
      <c r="R177" s="241"/>
      <c r="S177" s="245"/>
      <c r="T177" s="241"/>
    </row>
    <row r="178" spans="1:20" ht="55.2" hidden="1">
      <c r="B178" s="234" t="s">
        <v>303</v>
      </c>
      <c r="C178" s="180"/>
      <c r="D178" s="241"/>
      <c r="E178" s="241"/>
      <c r="F178" s="241"/>
      <c r="G178" s="241"/>
      <c r="H178" s="241"/>
      <c r="I178" s="241"/>
      <c r="J178" s="241"/>
      <c r="K178" s="241"/>
      <c r="L178" s="241"/>
      <c r="M178" s="241"/>
      <c r="N178" s="263"/>
      <c r="O178" s="241"/>
      <c r="P178" s="263"/>
      <c r="Q178" s="241"/>
      <c r="R178" s="241"/>
      <c r="S178" s="245"/>
      <c r="T178" s="241"/>
    </row>
    <row r="179" spans="1:20" ht="41.4" hidden="1">
      <c r="B179" s="234" t="s">
        <v>304</v>
      </c>
      <c r="C179" s="180"/>
      <c r="D179" s="241"/>
      <c r="E179" s="241"/>
      <c r="F179" s="241"/>
      <c r="G179" s="241"/>
      <c r="H179" s="241"/>
      <c r="I179" s="241"/>
      <c r="J179" s="241"/>
      <c r="K179" s="241"/>
      <c r="L179" s="241"/>
      <c r="M179" s="241"/>
      <c r="N179" s="245"/>
      <c r="O179" s="241"/>
      <c r="P179" s="241"/>
      <c r="Q179" s="241"/>
      <c r="R179" s="241"/>
      <c r="S179" s="245"/>
      <c r="T179" s="245"/>
    </row>
    <row r="180" spans="1:20" hidden="1">
      <c r="B180" s="247" t="s">
        <v>338</v>
      </c>
      <c r="C180" s="180"/>
      <c r="D180" s="241"/>
      <c r="E180" s="241"/>
      <c r="F180" s="241"/>
      <c r="G180" s="241"/>
      <c r="H180" s="241"/>
      <c r="I180" s="241"/>
      <c r="J180" s="241"/>
      <c r="K180" s="241"/>
      <c r="L180" s="241"/>
      <c r="M180" s="241"/>
      <c r="N180" s="245"/>
      <c r="O180" s="241"/>
      <c r="P180" s="241"/>
      <c r="Q180" s="241"/>
      <c r="R180" s="241"/>
      <c r="S180" s="245"/>
      <c r="T180" s="241"/>
    </row>
    <row r="181" spans="1:20" hidden="1"/>
    <row r="182" spans="1:20" hidden="1"/>
    <row r="183" spans="1:20" hidden="1">
      <c r="B183" s="244" t="s">
        <v>334</v>
      </c>
      <c r="C183" s="338" t="s">
        <v>328</v>
      </c>
      <c r="D183" s="339"/>
      <c r="E183" s="339"/>
      <c r="F183" s="339"/>
      <c r="G183" s="340"/>
      <c r="H183" s="256" t="s">
        <v>330</v>
      </c>
      <c r="I183" s="256" t="s">
        <v>331</v>
      </c>
      <c r="J183" s="366" t="s">
        <v>332</v>
      </c>
      <c r="K183" s="368"/>
      <c r="L183" s="305" t="s">
        <v>335</v>
      </c>
      <c r="M183" s="276" t="s">
        <v>336</v>
      </c>
      <c r="N183" s="311"/>
      <c r="O183" s="311"/>
      <c r="P183" s="311"/>
      <c r="Q183" s="311"/>
      <c r="R183" s="311"/>
      <c r="S183" s="249"/>
      <c r="T183" s="311"/>
    </row>
    <row r="184" spans="1:20" hidden="1">
      <c r="A184" s="240">
        <v>10</v>
      </c>
      <c r="B184" s="180" t="s">
        <v>329</v>
      </c>
      <c r="C184" s="180">
        <v>18</v>
      </c>
      <c r="D184" s="241">
        <v>17</v>
      </c>
      <c r="E184" s="241"/>
      <c r="F184" s="241"/>
      <c r="G184" s="241"/>
      <c r="H184" s="241">
        <v>75</v>
      </c>
      <c r="I184" s="241"/>
      <c r="J184" s="241"/>
      <c r="K184" s="241"/>
      <c r="L184" s="241"/>
      <c r="M184" s="241"/>
      <c r="N184" s="241"/>
      <c r="O184" s="241"/>
      <c r="P184" s="241"/>
      <c r="Q184" s="241"/>
      <c r="R184" s="245"/>
      <c r="S184" s="241"/>
      <c r="T184" s="241"/>
    </row>
    <row r="185" spans="1:20" hidden="1">
      <c r="B185" s="196" t="s">
        <v>225</v>
      </c>
      <c r="C185" s="180"/>
      <c r="D185" s="241"/>
      <c r="E185" s="241"/>
      <c r="F185" s="241"/>
      <c r="G185" s="241"/>
      <c r="H185" s="241"/>
      <c r="I185" s="241"/>
      <c r="J185" s="241"/>
      <c r="K185" s="241"/>
      <c r="L185" s="241"/>
      <c r="M185" s="241"/>
      <c r="N185" s="245"/>
      <c r="O185" s="241"/>
      <c r="P185" s="241"/>
      <c r="Q185" s="245"/>
      <c r="R185" s="241"/>
      <c r="S185" s="245"/>
      <c r="T185" s="245"/>
    </row>
    <row r="186" spans="1:20" hidden="1">
      <c r="B186" s="196" t="s">
        <v>225</v>
      </c>
      <c r="C186" s="180"/>
      <c r="D186" s="241"/>
      <c r="E186" s="241"/>
      <c r="F186" s="241"/>
      <c r="G186" s="241"/>
      <c r="H186" s="241"/>
      <c r="I186" s="241"/>
      <c r="J186" s="241"/>
      <c r="K186" s="241"/>
      <c r="L186" s="241"/>
      <c r="M186" s="241"/>
      <c r="N186" s="245"/>
      <c r="O186" s="245"/>
      <c r="P186" s="241"/>
      <c r="Q186" s="241"/>
      <c r="R186" s="241"/>
      <c r="S186" s="245"/>
      <c r="T186" s="245"/>
    </row>
    <row r="187" spans="1:20" ht="27.6" hidden="1">
      <c r="B187" s="235" t="s">
        <v>289</v>
      </c>
      <c r="C187" s="180"/>
      <c r="D187" s="241"/>
      <c r="E187" s="241"/>
      <c r="F187" s="241"/>
      <c r="G187" s="241"/>
      <c r="H187" s="256"/>
      <c r="I187" s="241"/>
      <c r="J187" s="241"/>
      <c r="K187" s="241"/>
      <c r="L187" s="241"/>
      <c r="M187" s="241"/>
      <c r="N187" s="245"/>
      <c r="O187" s="241"/>
      <c r="P187" s="241"/>
      <c r="Q187" s="241"/>
      <c r="R187" s="241"/>
      <c r="S187" s="245"/>
      <c r="T187" s="241"/>
    </row>
    <row r="188" spans="1:20" hidden="1">
      <c r="B188" s="127" t="s">
        <v>339</v>
      </c>
      <c r="C188" s="180"/>
      <c r="D188" s="241"/>
      <c r="E188" s="241"/>
      <c r="F188" s="241"/>
      <c r="G188" s="241"/>
      <c r="H188" s="241"/>
      <c r="I188" s="241"/>
      <c r="J188" s="241"/>
      <c r="K188" s="241"/>
      <c r="L188" s="241"/>
      <c r="M188" s="241"/>
      <c r="N188" s="263"/>
      <c r="O188" s="241"/>
      <c r="P188" s="245"/>
      <c r="Q188" s="241"/>
      <c r="R188" s="241"/>
      <c r="S188" s="245"/>
      <c r="T188" s="241"/>
    </row>
    <row r="189" spans="1:20" ht="55.2" hidden="1">
      <c r="B189" s="234" t="s">
        <v>303</v>
      </c>
      <c r="C189" s="180"/>
      <c r="D189" s="241"/>
      <c r="E189" s="241"/>
      <c r="F189" s="241"/>
      <c r="G189" s="241"/>
      <c r="H189" s="241"/>
      <c r="I189" s="241"/>
      <c r="J189" s="241"/>
      <c r="K189" s="241"/>
      <c r="L189" s="241"/>
      <c r="M189" s="241"/>
      <c r="N189" s="263"/>
      <c r="O189" s="241"/>
      <c r="P189" s="241"/>
      <c r="Q189" s="241"/>
      <c r="R189" s="241"/>
      <c r="S189" s="245"/>
      <c r="T189" s="245"/>
    </row>
    <row r="190" spans="1:20" ht="41.4" hidden="1">
      <c r="B190" s="234" t="s">
        <v>304</v>
      </c>
      <c r="C190" s="180"/>
      <c r="D190" s="241"/>
      <c r="E190" s="241"/>
      <c r="F190" s="241"/>
      <c r="G190" s="241"/>
      <c r="H190" s="241"/>
      <c r="I190" s="241"/>
      <c r="J190" s="241"/>
      <c r="K190" s="241"/>
      <c r="L190" s="241"/>
      <c r="M190" s="241"/>
      <c r="N190" s="245"/>
      <c r="O190" s="241"/>
      <c r="P190" s="241"/>
      <c r="Q190" s="241"/>
      <c r="R190" s="241"/>
      <c r="S190" s="245"/>
      <c r="T190" s="241"/>
    </row>
    <row r="191" spans="1:20" hidden="1">
      <c r="B191" s="247" t="s">
        <v>338</v>
      </c>
      <c r="C191" s="180"/>
      <c r="D191" s="241"/>
      <c r="E191" s="241"/>
      <c r="F191" s="241"/>
      <c r="G191" s="241"/>
      <c r="H191" s="241"/>
      <c r="I191" s="241"/>
      <c r="J191" s="241"/>
      <c r="K191" s="241"/>
      <c r="L191" s="241"/>
      <c r="M191" s="241"/>
      <c r="N191" s="245"/>
      <c r="O191" s="241"/>
      <c r="P191" s="241"/>
      <c r="Q191" s="241"/>
      <c r="R191" s="241"/>
      <c r="S191" s="245"/>
      <c r="T191" s="241"/>
    </row>
    <row r="192" spans="1:20" hidden="1"/>
    <row r="193" spans="1:20" hidden="1"/>
    <row r="194" spans="1:20" hidden="1">
      <c r="B194" s="244" t="s">
        <v>334</v>
      </c>
      <c r="C194" s="338" t="s">
        <v>328</v>
      </c>
      <c r="D194" s="339"/>
      <c r="E194" s="339"/>
      <c r="F194" s="339"/>
      <c r="G194" s="340"/>
      <c r="H194" s="256" t="s">
        <v>330</v>
      </c>
      <c r="I194" s="256" t="s">
        <v>331</v>
      </c>
      <c r="J194" s="366" t="s">
        <v>332</v>
      </c>
      <c r="K194" s="368"/>
      <c r="L194" s="305" t="s">
        <v>335</v>
      </c>
      <c r="M194" s="276" t="s">
        <v>336</v>
      </c>
      <c r="N194" s="311"/>
      <c r="O194" s="311"/>
      <c r="P194" s="311"/>
      <c r="Q194" s="311"/>
      <c r="R194" s="311"/>
      <c r="S194" s="249"/>
      <c r="T194" s="311"/>
    </row>
    <row r="195" spans="1:20" hidden="1">
      <c r="A195" s="240">
        <v>12</v>
      </c>
      <c r="B195" s="181" t="s">
        <v>329</v>
      </c>
      <c r="C195" s="180">
        <v>29</v>
      </c>
      <c r="D195" s="241">
        <v>70</v>
      </c>
      <c r="E195" s="241"/>
      <c r="F195" s="241"/>
      <c r="G195" s="241"/>
      <c r="H195" s="241">
        <v>67</v>
      </c>
      <c r="I195" s="241"/>
      <c r="J195" s="241"/>
      <c r="K195" s="241"/>
      <c r="L195" s="241"/>
      <c r="M195" s="241"/>
      <c r="N195" s="241"/>
      <c r="O195" s="241"/>
      <c r="P195" s="241"/>
      <c r="Q195" s="241"/>
      <c r="R195" s="245"/>
      <c r="S195" s="241"/>
      <c r="T195" s="241"/>
    </row>
    <row r="196" spans="1:20" hidden="1">
      <c r="B196" s="196" t="s">
        <v>225</v>
      </c>
      <c r="C196" s="180"/>
      <c r="D196" s="241"/>
      <c r="E196" s="241"/>
      <c r="F196" s="241"/>
      <c r="G196" s="241"/>
      <c r="H196" s="241"/>
      <c r="I196" s="241"/>
      <c r="J196" s="241"/>
      <c r="K196" s="241"/>
      <c r="L196" s="241"/>
      <c r="M196" s="241"/>
      <c r="N196" s="245"/>
      <c r="O196" s="245"/>
      <c r="P196" s="241"/>
      <c r="Q196" s="245"/>
      <c r="R196" s="241"/>
      <c r="S196" s="245"/>
      <c r="T196" s="245"/>
    </row>
    <row r="197" spans="1:20" hidden="1">
      <c r="B197" s="196" t="s">
        <v>225</v>
      </c>
      <c r="C197" s="180"/>
      <c r="D197" s="241"/>
      <c r="E197" s="241"/>
      <c r="F197" s="241"/>
      <c r="G197" s="241"/>
      <c r="H197" s="241"/>
      <c r="I197" s="241"/>
      <c r="J197" s="241"/>
      <c r="K197" s="241"/>
      <c r="L197" s="241"/>
      <c r="M197" s="241"/>
      <c r="N197" s="245"/>
      <c r="O197" s="245"/>
      <c r="P197" s="241"/>
      <c r="Q197" s="241"/>
      <c r="R197" s="241"/>
      <c r="S197" s="245"/>
      <c r="T197" s="245"/>
    </row>
    <row r="198" spans="1:20" ht="27.6" hidden="1">
      <c r="B198" s="235" t="s">
        <v>289</v>
      </c>
      <c r="C198" s="180"/>
      <c r="D198" s="241"/>
      <c r="E198" s="241"/>
      <c r="F198" s="241"/>
      <c r="G198" s="241"/>
      <c r="H198" s="256"/>
      <c r="I198" s="241"/>
      <c r="J198" s="241"/>
      <c r="K198" s="241"/>
      <c r="L198" s="241"/>
      <c r="M198" s="241"/>
      <c r="N198" s="245"/>
      <c r="O198" s="241"/>
      <c r="P198" s="241"/>
      <c r="Q198" s="241"/>
      <c r="R198" s="241"/>
      <c r="S198" s="245"/>
      <c r="T198" s="241"/>
    </row>
    <row r="199" spans="1:20" ht="55.2" hidden="1">
      <c r="B199" s="234" t="s">
        <v>303</v>
      </c>
      <c r="C199" s="180"/>
      <c r="D199" s="241"/>
      <c r="E199" s="241"/>
      <c r="F199" s="241"/>
      <c r="G199" s="241"/>
      <c r="H199" s="241"/>
      <c r="I199" s="241"/>
      <c r="J199" s="241"/>
      <c r="K199" s="241"/>
      <c r="L199" s="241"/>
      <c r="M199" s="241"/>
      <c r="N199" s="263"/>
      <c r="O199" s="241"/>
      <c r="P199" s="263"/>
      <c r="Q199" s="241"/>
      <c r="R199" s="241"/>
      <c r="S199" s="245"/>
      <c r="T199" s="241"/>
    </row>
    <row r="200" spans="1:20" ht="41.4" hidden="1">
      <c r="B200" s="234" t="s">
        <v>304</v>
      </c>
      <c r="C200" s="180"/>
      <c r="D200" s="241"/>
      <c r="E200" s="241"/>
      <c r="F200" s="241"/>
      <c r="G200" s="241"/>
      <c r="H200" s="241"/>
      <c r="I200" s="241"/>
      <c r="J200" s="241"/>
      <c r="K200" s="241"/>
      <c r="L200" s="241"/>
      <c r="M200" s="241"/>
      <c r="N200" s="245"/>
      <c r="O200" s="241"/>
      <c r="P200" s="241"/>
      <c r="Q200" s="241"/>
      <c r="R200" s="241"/>
      <c r="S200" s="245"/>
      <c r="T200" s="245"/>
    </row>
    <row r="201" spans="1:20" hidden="1">
      <c r="B201" s="247" t="s">
        <v>338</v>
      </c>
      <c r="C201" s="180"/>
      <c r="D201" s="241"/>
      <c r="E201" s="241"/>
      <c r="F201" s="241"/>
      <c r="G201" s="241"/>
      <c r="H201" s="241"/>
      <c r="I201" s="241"/>
      <c r="J201" s="241"/>
      <c r="K201" s="241"/>
      <c r="L201" s="241"/>
      <c r="M201" s="241"/>
      <c r="N201" s="245"/>
      <c r="O201" s="241"/>
      <c r="P201" s="241"/>
      <c r="Q201" s="241"/>
      <c r="R201" s="241"/>
      <c r="S201" s="245"/>
      <c r="T201" s="241"/>
    </row>
    <row r="202" spans="1:20" hidden="1"/>
    <row r="203" spans="1:20" hidden="1"/>
    <row r="204" spans="1:20" hidden="1">
      <c r="A204" s="240">
        <v>13</v>
      </c>
      <c r="B204" s="244" t="s">
        <v>334</v>
      </c>
      <c r="C204" s="338" t="s">
        <v>328</v>
      </c>
      <c r="D204" s="339"/>
      <c r="E204" s="339"/>
      <c r="F204" s="339"/>
      <c r="G204" s="340"/>
      <c r="H204" s="256" t="s">
        <v>330</v>
      </c>
      <c r="I204" s="256" t="s">
        <v>331</v>
      </c>
      <c r="J204" s="366" t="s">
        <v>332</v>
      </c>
      <c r="K204" s="368"/>
      <c r="L204" s="305" t="s">
        <v>335</v>
      </c>
      <c r="M204" s="276" t="s">
        <v>336</v>
      </c>
      <c r="N204" s="311"/>
      <c r="O204" s="311"/>
      <c r="P204" s="311"/>
      <c r="Q204" s="311"/>
      <c r="R204" s="311"/>
      <c r="S204" s="249"/>
      <c r="T204" s="311"/>
    </row>
    <row r="205" spans="1:20" hidden="1">
      <c r="B205" s="181" t="s">
        <v>329</v>
      </c>
      <c r="C205" s="180">
        <v>1</v>
      </c>
      <c r="D205" s="241">
        <v>44</v>
      </c>
      <c r="E205" s="241"/>
      <c r="F205" s="241"/>
      <c r="G205" s="241"/>
      <c r="H205" s="241">
        <v>73</v>
      </c>
      <c r="I205" s="241"/>
      <c r="J205" s="241"/>
      <c r="K205" s="241"/>
      <c r="L205" s="241">
        <v>45</v>
      </c>
      <c r="M205" s="241">
        <v>73</v>
      </c>
      <c r="N205" s="241"/>
      <c r="O205" s="241"/>
      <c r="P205" s="241"/>
      <c r="Q205" s="241"/>
      <c r="R205" s="245"/>
      <c r="S205" s="241"/>
      <c r="T205" s="241"/>
    </row>
    <row r="206" spans="1:20" hidden="1">
      <c r="B206" s="196" t="s">
        <v>225</v>
      </c>
      <c r="C206" s="180"/>
      <c r="D206" s="241"/>
      <c r="E206" s="241"/>
      <c r="F206" s="241"/>
      <c r="G206" s="241"/>
      <c r="H206" s="241"/>
      <c r="I206" s="241"/>
      <c r="J206" s="241"/>
      <c r="K206" s="241"/>
      <c r="L206" s="241"/>
      <c r="M206" s="241"/>
      <c r="N206" s="245"/>
      <c r="O206" s="245"/>
      <c r="P206" s="241"/>
      <c r="Q206" s="245"/>
      <c r="R206" s="241"/>
      <c r="S206" s="245"/>
      <c r="T206" s="245"/>
    </row>
    <row r="207" spans="1:20" hidden="1">
      <c r="B207" s="196" t="s">
        <v>225</v>
      </c>
      <c r="C207" s="180"/>
      <c r="D207" s="241"/>
      <c r="E207" s="241"/>
      <c r="F207" s="241"/>
      <c r="G207" s="241"/>
      <c r="H207" s="241"/>
      <c r="I207" s="241"/>
      <c r="J207" s="241"/>
      <c r="K207" s="241"/>
      <c r="L207" s="241"/>
      <c r="M207" s="241"/>
      <c r="N207" s="245"/>
      <c r="O207" s="245"/>
      <c r="P207" s="241"/>
      <c r="Q207" s="241"/>
      <c r="R207" s="241"/>
      <c r="S207" s="245"/>
      <c r="T207" s="245"/>
    </row>
    <row r="208" spans="1:20" ht="27.6" hidden="1">
      <c r="B208" s="235" t="s">
        <v>289</v>
      </c>
      <c r="C208" s="180"/>
      <c r="D208" s="241"/>
      <c r="E208" s="241"/>
      <c r="F208" s="241"/>
      <c r="G208" s="241"/>
      <c r="H208" s="256"/>
      <c r="I208" s="241"/>
      <c r="J208" s="241"/>
      <c r="K208" s="241"/>
      <c r="L208" s="241"/>
      <c r="M208" s="241"/>
      <c r="N208" s="245"/>
      <c r="O208" s="241"/>
      <c r="P208" s="241"/>
      <c r="Q208" s="241"/>
      <c r="R208" s="241"/>
      <c r="S208" s="245"/>
      <c r="T208" s="241"/>
    </row>
    <row r="209" spans="1:20" hidden="1">
      <c r="B209" s="127" t="s">
        <v>340</v>
      </c>
      <c r="C209" s="180"/>
      <c r="D209" s="241"/>
      <c r="E209" s="241"/>
      <c r="F209" s="241"/>
      <c r="G209" s="241"/>
      <c r="H209" s="241"/>
      <c r="I209" s="241"/>
      <c r="J209" s="241"/>
      <c r="K209" s="241"/>
      <c r="L209" s="241"/>
      <c r="M209" s="241"/>
      <c r="N209" s="245"/>
      <c r="O209" s="241"/>
      <c r="P209" s="241"/>
      <c r="Q209" s="241"/>
      <c r="R209" s="241"/>
      <c r="S209" s="245"/>
      <c r="T209" s="241"/>
    </row>
    <row r="210" spans="1:20" ht="55.2" hidden="1">
      <c r="B210" s="234" t="s">
        <v>303</v>
      </c>
      <c r="C210" s="180"/>
      <c r="D210" s="241"/>
      <c r="E210" s="241"/>
      <c r="F210" s="241"/>
      <c r="G210" s="241"/>
      <c r="H210" s="241"/>
      <c r="I210" s="241"/>
      <c r="J210" s="241"/>
      <c r="K210" s="241"/>
      <c r="L210" s="241"/>
      <c r="M210" s="241"/>
      <c r="N210" s="263"/>
      <c r="O210" s="241"/>
      <c r="P210" s="264"/>
      <c r="Q210" s="241"/>
      <c r="R210" s="241"/>
      <c r="S210" s="245"/>
      <c r="T210" s="245"/>
    </row>
    <row r="211" spans="1:20" ht="41.4" hidden="1">
      <c r="B211" s="234" t="s">
        <v>304</v>
      </c>
      <c r="C211" s="180"/>
      <c r="D211" s="241"/>
      <c r="E211" s="241"/>
      <c r="F211" s="241"/>
      <c r="G211" s="241"/>
      <c r="H211" s="241"/>
      <c r="I211" s="241"/>
      <c r="J211" s="241"/>
      <c r="K211" s="241"/>
      <c r="L211" s="241"/>
      <c r="M211" s="241"/>
      <c r="N211" s="245"/>
      <c r="O211" s="241"/>
      <c r="P211" s="241"/>
      <c r="Q211" s="241"/>
      <c r="R211" s="241"/>
      <c r="S211" s="245"/>
      <c r="T211" s="241"/>
    </row>
    <row r="212" spans="1:20" hidden="1">
      <c r="B212" s="247" t="s">
        <v>338</v>
      </c>
      <c r="C212" s="180"/>
      <c r="D212" s="241"/>
      <c r="E212" s="241"/>
      <c r="F212" s="241"/>
      <c r="G212" s="241"/>
      <c r="H212" s="241"/>
      <c r="I212" s="241"/>
      <c r="J212" s="241"/>
      <c r="K212" s="241"/>
      <c r="L212" s="241"/>
      <c r="M212" s="241"/>
      <c r="N212" s="245"/>
      <c r="O212" s="241"/>
      <c r="P212" s="241"/>
      <c r="Q212" s="241"/>
      <c r="R212" s="241"/>
      <c r="S212" s="245"/>
      <c r="T212" s="241"/>
    </row>
    <row r="213" spans="1:20" hidden="1"/>
    <row r="214" spans="1:20" hidden="1"/>
    <row r="215" spans="1:20" hidden="1">
      <c r="A215" s="240">
        <v>14</v>
      </c>
      <c r="B215" s="244" t="s">
        <v>334</v>
      </c>
      <c r="C215" s="338" t="s">
        <v>328</v>
      </c>
      <c r="D215" s="339"/>
      <c r="E215" s="339"/>
      <c r="F215" s="339"/>
      <c r="G215" s="340"/>
      <c r="H215" s="256" t="s">
        <v>330</v>
      </c>
      <c r="I215" s="256" t="s">
        <v>331</v>
      </c>
      <c r="J215" s="366" t="s">
        <v>332</v>
      </c>
      <c r="K215" s="368"/>
      <c r="L215" s="305" t="s">
        <v>335</v>
      </c>
      <c r="M215" s="276" t="s">
        <v>336</v>
      </c>
      <c r="N215" s="311"/>
      <c r="O215" s="311"/>
      <c r="P215" s="311"/>
      <c r="Q215" s="311"/>
      <c r="R215" s="311"/>
      <c r="S215" s="249"/>
      <c r="T215" s="311"/>
    </row>
    <row r="216" spans="1:20" hidden="1">
      <c r="B216" s="181" t="s">
        <v>329</v>
      </c>
      <c r="C216" s="180">
        <v>32</v>
      </c>
      <c r="D216" s="241"/>
      <c r="E216" s="241"/>
      <c r="F216" s="241"/>
      <c r="G216" s="241"/>
      <c r="H216" s="241">
        <v>198</v>
      </c>
      <c r="I216" s="241"/>
      <c r="J216" s="241"/>
      <c r="K216" s="241">
        <v>10</v>
      </c>
      <c r="L216" s="241"/>
      <c r="M216" s="241">
        <v>198</v>
      </c>
      <c r="N216" s="241"/>
      <c r="O216" s="241"/>
      <c r="P216" s="241"/>
      <c r="Q216" s="241"/>
      <c r="R216" s="245"/>
      <c r="S216" s="241"/>
      <c r="T216" s="241"/>
    </row>
    <row r="217" spans="1:20" hidden="1">
      <c r="B217" s="196" t="s">
        <v>225</v>
      </c>
      <c r="C217" s="180"/>
      <c r="D217" s="241"/>
      <c r="E217" s="241"/>
      <c r="F217" s="241"/>
      <c r="G217" s="241"/>
      <c r="H217" s="241"/>
      <c r="I217" s="241"/>
      <c r="J217" s="241"/>
      <c r="K217" s="241"/>
      <c r="L217" s="241"/>
      <c r="M217" s="241"/>
      <c r="N217" s="245"/>
      <c r="O217" s="245"/>
      <c r="P217" s="241"/>
      <c r="Q217" s="245"/>
      <c r="R217" s="241"/>
      <c r="S217" s="245"/>
      <c r="T217" s="245"/>
    </row>
    <row r="218" spans="1:20" hidden="1">
      <c r="B218" s="196" t="s">
        <v>225</v>
      </c>
      <c r="C218" s="180"/>
      <c r="D218" s="241"/>
      <c r="E218" s="241"/>
      <c r="F218" s="241"/>
      <c r="G218" s="241"/>
      <c r="H218" s="241"/>
      <c r="I218" s="241"/>
      <c r="J218" s="241"/>
      <c r="K218" s="241"/>
      <c r="L218" s="241"/>
      <c r="M218" s="241"/>
      <c r="N218" s="245"/>
      <c r="O218" s="245"/>
      <c r="P218" s="241"/>
      <c r="Q218" s="241"/>
      <c r="R218" s="241"/>
      <c r="S218" s="245"/>
      <c r="T218" s="245"/>
    </row>
    <row r="219" spans="1:20" ht="27.6" hidden="1">
      <c r="B219" s="235" t="s">
        <v>289</v>
      </c>
      <c r="C219" s="180"/>
      <c r="D219" s="241"/>
      <c r="E219" s="241"/>
      <c r="F219" s="241"/>
      <c r="G219" s="241"/>
      <c r="H219" s="256"/>
      <c r="I219" s="241"/>
      <c r="J219" s="241"/>
      <c r="K219" s="241"/>
      <c r="L219" s="241"/>
      <c r="M219" s="241"/>
      <c r="N219" s="245"/>
      <c r="O219" s="241"/>
      <c r="P219" s="241"/>
      <c r="Q219" s="241"/>
      <c r="R219" s="241"/>
      <c r="S219" s="245"/>
      <c r="T219" s="241"/>
    </row>
    <row r="220" spans="1:20" hidden="1">
      <c r="B220" s="127" t="s">
        <v>340</v>
      </c>
      <c r="C220" s="180"/>
      <c r="D220" s="241"/>
      <c r="E220" s="241"/>
      <c r="F220" s="241"/>
      <c r="G220" s="241"/>
      <c r="H220" s="241"/>
      <c r="I220" s="241"/>
      <c r="J220" s="241"/>
      <c r="K220" s="241"/>
      <c r="L220" s="241"/>
      <c r="M220" s="241"/>
      <c r="N220" s="245"/>
      <c r="O220" s="241"/>
      <c r="P220" s="241"/>
      <c r="Q220" s="241"/>
      <c r="R220" s="241"/>
      <c r="S220" s="245"/>
      <c r="T220" s="241"/>
    </row>
    <row r="221" spans="1:20" ht="55.2" hidden="1">
      <c r="B221" s="234" t="s">
        <v>303</v>
      </c>
      <c r="C221" s="180"/>
      <c r="D221" s="241"/>
      <c r="E221" s="241"/>
      <c r="F221" s="241"/>
      <c r="G221" s="241"/>
      <c r="H221" s="241"/>
      <c r="I221" s="241"/>
      <c r="J221" s="241"/>
      <c r="K221" s="241"/>
      <c r="L221" s="241"/>
      <c r="M221" s="241"/>
      <c r="N221" s="263"/>
      <c r="O221" s="241"/>
      <c r="P221" s="264"/>
      <c r="Q221" s="241"/>
      <c r="R221" s="241"/>
      <c r="S221" s="245"/>
      <c r="T221" s="245"/>
    </row>
    <row r="222" spans="1:20" ht="41.4" hidden="1">
      <c r="B222" s="234" t="s">
        <v>304</v>
      </c>
      <c r="C222" s="180"/>
      <c r="D222" s="241"/>
      <c r="E222" s="241"/>
      <c r="F222" s="241"/>
      <c r="G222" s="241"/>
      <c r="H222" s="241"/>
      <c r="I222" s="241"/>
      <c r="J222" s="241"/>
      <c r="K222" s="241"/>
      <c r="L222" s="241"/>
      <c r="M222" s="241"/>
      <c r="N222" s="245"/>
      <c r="O222" s="241"/>
      <c r="P222" s="241"/>
      <c r="Q222" s="241"/>
      <c r="R222" s="241"/>
      <c r="S222" s="245"/>
      <c r="T222" s="241"/>
    </row>
    <row r="223" spans="1:20" hidden="1">
      <c r="B223" s="247" t="s">
        <v>338</v>
      </c>
      <c r="C223" s="180"/>
      <c r="D223" s="241"/>
      <c r="E223" s="241"/>
      <c r="F223" s="241"/>
      <c r="G223" s="241"/>
      <c r="H223" s="241"/>
      <c r="I223" s="241"/>
      <c r="J223" s="241"/>
      <c r="K223" s="241"/>
      <c r="L223" s="241"/>
      <c r="M223" s="241"/>
      <c r="N223" s="245"/>
      <c r="O223" s="241"/>
      <c r="P223" s="241"/>
      <c r="Q223" s="241"/>
      <c r="R223" s="241"/>
      <c r="S223" s="245"/>
      <c r="T223" s="241"/>
    </row>
    <row r="224" spans="1:20" hidden="1"/>
    <row r="225" spans="1:20" hidden="1"/>
    <row r="226" spans="1:20" hidden="1">
      <c r="A226" s="240">
        <v>15</v>
      </c>
      <c r="B226" s="244" t="s">
        <v>334</v>
      </c>
      <c r="C226" s="338" t="s">
        <v>328</v>
      </c>
      <c r="D226" s="339"/>
      <c r="E226" s="339"/>
      <c r="F226" s="339"/>
      <c r="G226" s="340"/>
      <c r="H226" s="256" t="s">
        <v>330</v>
      </c>
      <c r="I226" s="256" t="s">
        <v>331</v>
      </c>
      <c r="J226" s="366" t="s">
        <v>332</v>
      </c>
      <c r="K226" s="368"/>
      <c r="L226" s="305" t="s">
        <v>335</v>
      </c>
      <c r="M226" s="276" t="s">
        <v>336</v>
      </c>
      <c r="N226" s="311"/>
      <c r="O226" s="311"/>
      <c r="P226" s="311"/>
      <c r="Q226" s="311"/>
      <c r="R226" s="311"/>
      <c r="S226" s="249"/>
      <c r="T226" s="311"/>
    </row>
    <row r="227" spans="1:20" hidden="1">
      <c r="B227" s="181" t="s">
        <v>329</v>
      </c>
      <c r="C227" s="180">
        <v>36</v>
      </c>
      <c r="D227" s="241"/>
      <c r="E227" s="241"/>
      <c r="F227" s="241"/>
      <c r="G227" s="241"/>
      <c r="H227" s="241">
        <v>96</v>
      </c>
      <c r="I227" s="241"/>
      <c r="J227" s="241"/>
      <c r="K227" s="241"/>
      <c r="L227" s="241"/>
      <c r="M227" s="241"/>
      <c r="N227" s="241"/>
      <c r="O227" s="241"/>
      <c r="P227" s="241"/>
      <c r="Q227" s="241"/>
      <c r="R227" s="245"/>
      <c r="S227" s="241"/>
      <c r="T227" s="241"/>
    </row>
    <row r="228" spans="1:20" hidden="1">
      <c r="B228" s="196" t="s">
        <v>225</v>
      </c>
      <c r="C228" s="180"/>
      <c r="D228" s="241"/>
      <c r="E228" s="241"/>
      <c r="F228" s="241"/>
      <c r="G228" s="241"/>
      <c r="H228" s="241"/>
      <c r="I228" s="241"/>
      <c r="J228" s="241"/>
      <c r="K228" s="241"/>
      <c r="L228" s="241"/>
      <c r="M228" s="241"/>
      <c r="N228" s="245"/>
      <c r="O228" s="245"/>
      <c r="P228" s="241"/>
      <c r="Q228" s="245"/>
      <c r="R228" s="241"/>
      <c r="S228" s="245"/>
      <c r="T228" s="245"/>
    </row>
    <row r="229" spans="1:20" hidden="1">
      <c r="B229" s="196" t="s">
        <v>225</v>
      </c>
      <c r="C229" s="180"/>
      <c r="D229" s="241"/>
      <c r="E229" s="241"/>
      <c r="F229" s="241"/>
      <c r="G229" s="241"/>
      <c r="H229" s="241"/>
      <c r="I229" s="241"/>
      <c r="J229" s="241"/>
      <c r="K229" s="241"/>
      <c r="L229" s="241"/>
      <c r="M229" s="241"/>
      <c r="N229" s="245"/>
      <c r="O229" s="245"/>
      <c r="P229" s="241"/>
      <c r="Q229" s="241"/>
      <c r="R229" s="241"/>
      <c r="S229" s="245"/>
      <c r="T229" s="245"/>
    </row>
    <row r="230" spans="1:20" ht="27.6" hidden="1">
      <c r="B230" s="235" t="s">
        <v>289</v>
      </c>
      <c r="C230" s="180"/>
      <c r="D230" s="241"/>
      <c r="E230" s="241"/>
      <c r="F230" s="241"/>
      <c r="G230" s="241"/>
      <c r="H230" s="256"/>
      <c r="I230" s="241"/>
      <c r="J230" s="241"/>
      <c r="K230" s="241"/>
      <c r="L230" s="241"/>
      <c r="M230" s="241"/>
      <c r="N230" s="245"/>
      <c r="O230" s="241"/>
      <c r="P230" s="241"/>
      <c r="Q230" s="241"/>
      <c r="R230" s="241"/>
      <c r="S230" s="245"/>
      <c r="T230" s="241"/>
    </row>
    <row r="231" spans="1:20" hidden="1">
      <c r="B231" s="127" t="s">
        <v>340</v>
      </c>
      <c r="C231" s="180"/>
      <c r="D231" s="241"/>
      <c r="E231" s="241"/>
      <c r="F231" s="241"/>
      <c r="G231" s="241"/>
      <c r="H231" s="241"/>
      <c r="I231" s="241"/>
      <c r="J231" s="241"/>
      <c r="K231" s="241"/>
      <c r="L231" s="241"/>
      <c r="M231" s="241"/>
      <c r="N231" s="245"/>
      <c r="O231" s="241"/>
      <c r="P231" s="241"/>
      <c r="Q231" s="241"/>
      <c r="R231" s="241"/>
      <c r="S231" s="245"/>
      <c r="T231" s="241"/>
    </row>
    <row r="232" spans="1:20" ht="55.2" hidden="1">
      <c r="B232" s="234" t="s">
        <v>303</v>
      </c>
      <c r="C232" s="180"/>
      <c r="D232" s="241"/>
      <c r="E232" s="241"/>
      <c r="F232" s="241"/>
      <c r="G232" s="241"/>
      <c r="H232" s="241"/>
      <c r="I232" s="241"/>
      <c r="J232" s="241"/>
      <c r="K232" s="241"/>
      <c r="L232" s="241"/>
      <c r="M232" s="241"/>
      <c r="N232" s="263"/>
      <c r="O232" s="241"/>
      <c r="P232" s="263"/>
      <c r="Q232" s="241"/>
      <c r="R232" s="241"/>
      <c r="S232" s="245"/>
      <c r="T232" s="245"/>
    </row>
    <row r="233" spans="1:20" ht="41.4" hidden="1">
      <c r="B233" s="234" t="s">
        <v>304</v>
      </c>
      <c r="C233" s="180"/>
      <c r="D233" s="241"/>
      <c r="E233" s="241"/>
      <c r="F233" s="241"/>
      <c r="G233" s="241"/>
      <c r="H233" s="241"/>
      <c r="I233" s="241"/>
      <c r="J233" s="241"/>
      <c r="K233" s="241"/>
      <c r="L233" s="241"/>
      <c r="M233" s="241"/>
      <c r="N233" s="245"/>
      <c r="O233" s="241"/>
      <c r="P233" s="241"/>
      <c r="Q233" s="241"/>
      <c r="R233" s="241"/>
      <c r="S233" s="245"/>
      <c r="T233" s="241"/>
    </row>
    <row r="234" spans="1:20" hidden="1">
      <c r="B234" s="247" t="s">
        <v>338</v>
      </c>
      <c r="C234" s="180"/>
      <c r="D234" s="241"/>
      <c r="E234" s="241"/>
      <c r="F234" s="241"/>
      <c r="G234" s="241"/>
      <c r="H234" s="241"/>
      <c r="I234" s="241"/>
      <c r="J234" s="241"/>
      <c r="K234" s="241"/>
      <c r="L234" s="241"/>
      <c r="M234" s="241"/>
      <c r="N234" s="245"/>
      <c r="O234" s="241"/>
      <c r="P234" s="241"/>
      <c r="Q234" s="241"/>
      <c r="R234" s="241"/>
      <c r="S234" s="245"/>
      <c r="T234" s="241"/>
    </row>
    <row r="235" spans="1:20" hidden="1"/>
    <row r="236" spans="1:20" hidden="1"/>
    <row r="237" spans="1:20" hidden="1">
      <c r="A237" s="240">
        <v>17</v>
      </c>
      <c r="B237" s="244" t="s">
        <v>334</v>
      </c>
      <c r="C237" s="338" t="s">
        <v>328</v>
      </c>
      <c r="D237" s="339"/>
      <c r="E237" s="339"/>
      <c r="F237" s="339"/>
      <c r="G237" s="340"/>
      <c r="H237" s="256" t="s">
        <v>330</v>
      </c>
      <c r="I237" s="256" t="s">
        <v>331</v>
      </c>
      <c r="J237" s="366" t="s">
        <v>332</v>
      </c>
      <c r="K237" s="368"/>
      <c r="L237" s="305" t="s">
        <v>335</v>
      </c>
      <c r="M237" s="276" t="s">
        <v>336</v>
      </c>
      <c r="N237" s="311"/>
      <c r="O237" s="311"/>
      <c r="P237" s="311"/>
      <c r="Q237" s="311"/>
      <c r="R237" s="311"/>
      <c r="S237" s="249"/>
      <c r="T237" s="311"/>
    </row>
    <row r="238" spans="1:20" hidden="1">
      <c r="B238" s="181" t="s">
        <v>329</v>
      </c>
      <c r="C238" s="180">
        <v>32</v>
      </c>
      <c r="D238" s="241"/>
      <c r="E238" s="241"/>
      <c r="F238" s="241"/>
      <c r="G238" s="241"/>
      <c r="H238" s="241">
        <v>212</v>
      </c>
      <c r="I238" s="241"/>
      <c r="J238" s="241"/>
      <c r="K238" s="241"/>
      <c r="L238" s="241"/>
      <c r="M238" s="241"/>
      <c r="N238" s="241"/>
      <c r="O238" s="241"/>
      <c r="P238" s="241"/>
      <c r="Q238" s="241"/>
      <c r="R238" s="245"/>
      <c r="S238" s="241"/>
      <c r="T238" s="241"/>
    </row>
    <row r="239" spans="1:20" hidden="1">
      <c r="B239" s="196" t="s">
        <v>225</v>
      </c>
      <c r="C239" s="180"/>
      <c r="D239" s="241"/>
      <c r="E239" s="241"/>
      <c r="F239" s="241"/>
      <c r="G239" s="241"/>
      <c r="H239" s="241"/>
      <c r="I239" s="241"/>
      <c r="J239" s="241"/>
      <c r="K239" s="241"/>
      <c r="L239" s="241"/>
      <c r="M239" s="241"/>
      <c r="N239" s="245"/>
      <c r="O239" s="245"/>
      <c r="P239" s="241"/>
      <c r="Q239" s="245"/>
      <c r="R239" s="241"/>
      <c r="S239" s="245"/>
      <c r="T239" s="245"/>
    </row>
    <row r="240" spans="1:20" hidden="1">
      <c r="B240" s="196" t="s">
        <v>225</v>
      </c>
      <c r="C240" s="180"/>
      <c r="D240" s="241"/>
      <c r="E240" s="241"/>
      <c r="F240" s="241"/>
      <c r="G240" s="241"/>
      <c r="H240" s="241"/>
      <c r="I240" s="241"/>
      <c r="J240" s="241"/>
      <c r="K240" s="241"/>
      <c r="L240" s="241"/>
      <c r="M240" s="241"/>
      <c r="N240" s="245"/>
      <c r="O240" s="245"/>
      <c r="P240" s="241"/>
      <c r="Q240" s="241"/>
      <c r="R240" s="241"/>
      <c r="S240" s="245"/>
      <c r="T240" s="245"/>
    </row>
    <row r="241" spans="1:20" ht="27.6" hidden="1">
      <c r="B241" s="235" t="s">
        <v>289</v>
      </c>
      <c r="C241" s="180"/>
      <c r="D241" s="241"/>
      <c r="E241" s="241"/>
      <c r="F241" s="241"/>
      <c r="G241" s="241"/>
      <c r="H241" s="256"/>
      <c r="I241" s="241"/>
      <c r="J241" s="241"/>
      <c r="K241" s="241"/>
      <c r="L241" s="241"/>
      <c r="M241" s="241"/>
      <c r="N241" s="245"/>
      <c r="O241" s="241"/>
      <c r="P241" s="241"/>
      <c r="Q241" s="241"/>
      <c r="R241" s="241"/>
      <c r="S241" s="245"/>
      <c r="T241" s="241"/>
    </row>
    <row r="242" spans="1:20" hidden="1">
      <c r="B242" s="127" t="s">
        <v>340</v>
      </c>
      <c r="C242" s="180"/>
      <c r="D242" s="241"/>
      <c r="E242" s="241"/>
      <c r="F242" s="241"/>
      <c r="G242" s="241"/>
      <c r="H242" s="241"/>
      <c r="I242" s="241"/>
      <c r="J242" s="241"/>
      <c r="K242" s="241"/>
      <c r="L242" s="241"/>
      <c r="M242" s="241"/>
      <c r="N242" s="245"/>
      <c r="O242" s="241"/>
      <c r="P242" s="241"/>
      <c r="Q242" s="241"/>
      <c r="R242" s="241"/>
      <c r="S242" s="245"/>
      <c r="T242" s="241"/>
    </row>
    <row r="243" spans="1:20" ht="55.2" hidden="1">
      <c r="B243" s="234" t="s">
        <v>303</v>
      </c>
      <c r="C243" s="180"/>
      <c r="D243" s="241"/>
      <c r="E243" s="241"/>
      <c r="F243" s="241"/>
      <c r="G243" s="241"/>
      <c r="H243" s="241"/>
      <c r="I243" s="241"/>
      <c r="J243" s="241"/>
      <c r="K243" s="241"/>
      <c r="L243" s="241"/>
      <c r="M243" s="241"/>
      <c r="N243" s="263"/>
      <c r="O243" s="241"/>
      <c r="P243" s="263"/>
      <c r="Q243" s="241"/>
      <c r="R243" s="241"/>
      <c r="S243" s="245"/>
      <c r="T243" s="245"/>
    </row>
    <row r="244" spans="1:20" ht="41.4" hidden="1">
      <c r="B244" s="234" t="s">
        <v>304</v>
      </c>
      <c r="C244" s="180"/>
      <c r="D244" s="241"/>
      <c r="E244" s="241"/>
      <c r="F244" s="241"/>
      <c r="G244" s="241"/>
      <c r="H244" s="241"/>
      <c r="I244" s="241"/>
      <c r="J244" s="241"/>
      <c r="K244" s="241"/>
      <c r="L244" s="241"/>
      <c r="M244" s="241"/>
      <c r="N244" s="245"/>
      <c r="O244" s="241"/>
      <c r="P244" s="241"/>
      <c r="Q244" s="241"/>
      <c r="R244" s="241"/>
      <c r="S244" s="245"/>
      <c r="T244" s="241"/>
    </row>
    <row r="245" spans="1:20" hidden="1">
      <c r="B245" s="247" t="s">
        <v>338</v>
      </c>
      <c r="C245" s="180"/>
      <c r="D245" s="241"/>
      <c r="E245" s="241"/>
      <c r="F245" s="241"/>
      <c r="G245" s="241"/>
      <c r="H245" s="241"/>
      <c r="I245" s="241"/>
      <c r="J245" s="241"/>
      <c r="K245" s="241"/>
      <c r="L245" s="241"/>
      <c r="M245" s="241"/>
      <c r="N245" s="245"/>
      <c r="O245" s="241"/>
      <c r="P245" s="241"/>
      <c r="Q245" s="241"/>
      <c r="R245" s="241"/>
      <c r="S245" s="245"/>
      <c r="T245" s="241"/>
    </row>
    <row r="246" spans="1:20" hidden="1"/>
    <row r="247" spans="1:20" hidden="1"/>
    <row r="248" spans="1:20" hidden="1">
      <c r="A248" s="240">
        <v>18</v>
      </c>
      <c r="B248" s="244" t="s">
        <v>334</v>
      </c>
      <c r="C248" s="338" t="s">
        <v>328</v>
      </c>
      <c r="D248" s="339"/>
      <c r="E248" s="339"/>
      <c r="F248" s="339"/>
      <c r="G248" s="340"/>
      <c r="H248" s="256" t="s">
        <v>330</v>
      </c>
      <c r="I248" s="256" t="s">
        <v>331</v>
      </c>
      <c r="J248" s="366" t="s">
        <v>332</v>
      </c>
      <c r="K248" s="368"/>
      <c r="L248" s="305" t="s">
        <v>335</v>
      </c>
      <c r="M248" s="276" t="s">
        <v>336</v>
      </c>
      <c r="N248" s="311"/>
      <c r="O248" s="311"/>
      <c r="P248" s="311"/>
      <c r="Q248" s="311"/>
      <c r="R248" s="311"/>
      <c r="S248" s="249"/>
      <c r="T248" s="311"/>
    </row>
    <row r="249" spans="1:20" hidden="1">
      <c r="B249" s="181" t="s">
        <v>329</v>
      </c>
      <c r="C249" s="180">
        <v>31</v>
      </c>
      <c r="D249" s="241">
        <v>32</v>
      </c>
      <c r="E249" s="241"/>
      <c r="F249" s="241"/>
      <c r="G249" s="241"/>
      <c r="H249" s="241">
        <v>76</v>
      </c>
      <c r="I249" s="241"/>
      <c r="J249" s="241"/>
      <c r="K249" s="241"/>
      <c r="L249" s="241"/>
      <c r="M249" s="241"/>
      <c r="N249" s="241"/>
      <c r="O249" s="241"/>
      <c r="P249" s="241"/>
      <c r="Q249" s="241"/>
      <c r="R249" s="245"/>
      <c r="S249" s="241"/>
      <c r="T249" s="241"/>
    </row>
    <row r="250" spans="1:20" hidden="1">
      <c r="B250" s="196" t="s">
        <v>225</v>
      </c>
      <c r="C250" s="180"/>
      <c r="D250" s="241"/>
      <c r="E250" s="241"/>
      <c r="F250" s="241"/>
      <c r="G250" s="241"/>
      <c r="H250" s="241"/>
      <c r="I250" s="241"/>
      <c r="J250" s="241"/>
      <c r="K250" s="241"/>
      <c r="L250" s="241"/>
      <c r="M250" s="241"/>
      <c r="N250" s="245"/>
      <c r="O250" s="245"/>
      <c r="P250" s="241"/>
      <c r="Q250" s="245"/>
      <c r="R250" s="241"/>
      <c r="S250" s="245"/>
      <c r="T250" s="245"/>
    </row>
    <row r="251" spans="1:20" hidden="1">
      <c r="B251" s="196" t="s">
        <v>225</v>
      </c>
      <c r="C251" s="180"/>
      <c r="D251" s="241"/>
      <c r="E251" s="241"/>
      <c r="F251" s="241"/>
      <c r="G251" s="241"/>
      <c r="H251" s="241"/>
      <c r="I251" s="241"/>
      <c r="J251" s="241"/>
      <c r="K251" s="241"/>
      <c r="L251" s="241"/>
      <c r="M251" s="241"/>
      <c r="N251" s="245"/>
      <c r="O251" s="245"/>
      <c r="P251" s="241"/>
      <c r="Q251" s="241"/>
      <c r="R251" s="241"/>
      <c r="S251" s="245"/>
      <c r="T251" s="245"/>
    </row>
    <row r="252" spans="1:20" ht="27.6" hidden="1">
      <c r="B252" s="235" t="s">
        <v>289</v>
      </c>
      <c r="C252" s="180"/>
      <c r="D252" s="241"/>
      <c r="E252" s="241"/>
      <c r="F252" s="241"/>
      <c r="G252" s="241"/>
      <c r="H252" s="256"/>
      <c r="I252" s="241"/>
      <c r="J252" s="241"/>
      <c r="K252" s="241"/>
      <c r="L252" s="241"/>
      <c r="M252" s="241"/>
      <c r="N252" s="245"/>
      <c r="O252" s="241"/>
      <c r="P252" s="241"/>
      <c r="Q252" s="241"/>
      <c r="R252" s="241"/>
      <c r="S252" s="245"/>
      <c r="T252" s="241"/>
    </row>
    <row r="253" spans="1:20" hidden="1">
      <c r="B253" s="235" t="s">
        <v>340</v>
      </c>
      <c r="C253" s="180"/>
      <c r="D253" s="241"/>
      <c r="E253" s="241"/>
      <c r="F253" s="241"/>
      <c r="G253" s="241"/>
      <c r="H253" s="256"/>
      <c r="I253" s="241"/>
      <c r="J253" s="241"/>
      <c r="K253" s="241"/>
      <c r="L253" s="241"/>
      <c r="M253" s="241"/>
      <c r="N253" s="245"/>
      <c r="O253" s="241"/>
      <c r="P253" s="241"/>
      <c r="Q253" s="241"/>
      <c r="R253" s="241"/>
      <c r="S253" s="245"/>
      <c r="T253" s="241"/>
    </row>
    <row r="254" spans="1:20" ht="55.2" hidden="1">
      <c r="B254" s="234" t="s">
        <v>303</v>
      </c>
      <c r="C254" s="180"/>
      <c r="D254" s="241"/>
      <c r="E254" s="241"/>
      <c r="F254" s="241"/>
      <c r="G254" s="241"/>
      <c r="H254" s="241"/>
      <c r="I254" s="241"/>
      <c r="J254" s="241"/>
      <c r="K254" s="241"/>
      <c r="L254" s="241"/>
      <c r="M254" s="241"/>
      <c r="N254" s="263"/>
      <c r="O254" s="241"/>
      <c r="P254" s="263"/>
      <c r="Q254" s="241"/>
      <c r="R254" s="241"/>
      <c r="S254" s="245"/>
      <c r="T254" s="245"/>
    </row>
    <row r="255" spans="1:20" ht="41.4" hidden="1">
      <c r="B255" s="234" t="s">
        <v>304</v>
      </c>
      <c r="C255" s="180"/>
      <c r="D255" s="241"/>
      <c r="E255" s="241"/>
      <c r="F255" s="241"/>
      <c r="G255" s="241"/>
      <c r="H255" s="241"/>
      <c r="I255" s="241"/>
      <c r="J255" s="241"/>
      <c r="K255" s="241"/>
      <c r="L255" s="241"/>
      <c r="M255" s="241"/>
      <c r="N255" s="245"/>
      <c r="O255" s="241"/>
      <c r="P255" s="241"/>
      <c r="Q255" s="241"/>
      <c r="R255" s="241"/>
      <c r="S255" s="245"/>
      <c r="T255" s="241"/>
    </row>
    <row r="256" spans="1:20" hidden="1">
      <c r="B256" s="247" t="s">
        <v>338</v>
      </c>
      <c r="C256" s="180"/>
      <c r="D256" s="241"/>
      <c r="E256" s="241"/>
      <c r="F256" s="241"/>
      <c r="G256" s="241"/>
      <c r="H256" s="241"/>
      <c r="I256" s="241"/>
      <c r="J256" s="241"/>
      <c r="K256" s="241"/>
      <c r="L256" s="241"/>
      <c r="M256" s="241"/>
      <c r="N256" s="245"/>
      <c r="O256" s="241"/>
      <c r="P256" s="241"/>
      <c r="Q256" s="241"/>
      <c r="R256" s="241"/>
      <c r="S256" s="245"/>
      <c r="T256" s="241"/>
    </row>
    <row r="257" spans="14:17" hidden="1"/>
    <row r="258" spans="14:17" hidden="1"/>
    <row r="259" spans="14:17">
      <c r="N259" s="194"/>
      <c r="O259" s="194"/>
    </row>
    <row r="260" spans="14:17">
      <c r="Q260" s="194"/>
    </row>
  </sheetData>
  <mergeCells count="42">
    <mergeCell ref="C237:G237"/>
    <mergeCell ref="J237:K237"/>
    <mergeCell ref="C248:G248"/>
    <mergeCell ref="J248:K248"/>
    <mergeCell ref="C144:G144"/>
    <mergeCell ref="J144:K144"/>
    <mergeCell ref="C204:G204"/>
    <mergeCell ref="J204:K204"/>
    <mergeCell ref="C215:G215"/>
    <mergeCell ref="J215:K215"/>
    <mergeCell ref="C226:G226"/>
    <mergeCell ref="J226:K226"/>
    <mergeCell ref="C173:G173"/>
    <mergeCell ref="J173:K173"/>
    <mergeCell ref="C183:G183"/>
    <mergeCell ref="J183:K183"/>
    <mergeCell ref="C194:G194"/>
    <mergeCell ref="J194:K194"/>
    <mergeCell ref="C134:G134"/>
    <mergeCell ref="J134:K134"/>
    <mergeCell ref="C152:G152"/>
    <mergeCell ref="J152:K152"/>
    <mergeCell ref="C163:G163"/>
    <mergeCell ref="J163:K163"/>
    <mergeCell ref="C69:C70"/>
    <mergeCell ref="C106:C107"/>
    <mergeCell ref="A122:M122"/>
    <mergeCell ref="C16:C18"/>
    <mergeCell ref="C27:C28"/>
    <mergeCell ref="C29:C30"/>
    <mergeCell ref="C38:C39"/>
    <mergeCell ref="C49:C50"/>
    <mergeCell ref="C60:C61"/>
    <mergeCell ref="C80:C82"/>
    <mergeCell ref="C84:C85"/>
    <mergeCell ref="N12:T12"/>
    <mergeCell ref="A7:V7"/>
    <mergeCell ref="J10:M10"/>
    <mergeCell ref="N10:V10"/>
    <mergeCell ref="E11:G11"/>
    <mergeCell ref="N11:T11"/>
    <mergeCell ref="E10:I10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1"/>
  <sheetViews>
    <sheetView workbookViewId="0">
      <selection activeCell="D25" sqref="D25"/>
    </sheetView>
  </sheetViews>
  <sheetFormatPr defaultColWidth="9.109375" defaultRowHeight="13.8"/>
  <cols>
    <col min="1" max="1" width="19.44140625" style="184" customWidth="1"/>
    <col min="2" max="2" width="26.33203125" style="184" customWidth="1"/>
    <col min="3" max="3" width="16.88671875" style="184" customWidth="1"/>
    <col min="4" max="4" width="12.33203125" style="184" customWidth="1"/>
    <col min="5" max="5" width="18.33203125" style="184" hidden="1" customWidth="1"/>
    <col min="6" max="6" width="13.33203125" style="184" hidden="1" customWidth="1"/>
    <col min="7" max="7" width="14" style="184" customWidth="1"/>
    <col min="8" max="9" width="12.6640625" style="184" customWidth="1"/>
    <col min="10" max="10" width="17.33203125" style="184" customWidth="1"/>
    <col min="11" max="11" width="16" style="184" customWidth="1"/>
    <col min="12" max="12" width="21.33203125" style="184" customWidth="1"/>
    <col min="13" max="13" width="13.5546875" style="184" hidden="1" customWidth="1"/>
    <col min="14" max="14" width="16.6640625" style="184" hidden="1" customWidth="1"/>
    <col min="15" max="16" width="15.44140625" style="184" hidden="1" customWidth="1"/>
    <col min="17" max="19" width="14.6640625" style="184" customWidth="1"/>
    <col min="20" max="20" width="14.33203125" style="184" customWidth="1"/>
    <col min="21" max="21" width="14.109375" style="184" customWidth="1"/>
    <col min="22" max="22" width="14.88671875" style="184" bestFit="1" customWidth="1"/>
    <col min="23" max="23" width="15.33203125" style="184" customWidth="1"/>
    <col min="24" max="24" width="13.5546875" style="184" bestFit="1" customWidth="1"/>
    <col min="25" max="25" width="9.44140625" style="184" bestFit="1" customWidth="1"/>
    <col min="26" max="16384" width="9.109375" style="184"/>
  </cols>
  <sheetData>
    <row r="1" spans="1:22">
      <c r="K1" s="193" t="s">
        <v>295</v>
      </c>
      <c r="L1" s="190"/>
      <c r="T1" s="117"/>
    </row>
    <row r="2" spans="1:22">
      <c r="K2" s="193" t="s">
        <v>359</v>
      </c>
      <c r="L2" s="190"/>
      <c r="T2" s="117"/>
    </row>
    <row r="3" spans="1:22">
      <c r="K3" s="193" t="s">
        <v>175</v>
      </c>
      <c r="L3" s="190"/>
      <c r="T3" s="117"/>
    </row>
    <row r="4" spans="1:22">
      <c r="K4" s="193" t="s">
        <v>299</v>
      </c>
      <c r="L4" s="190"/>
      <c r="T4" s="117"/>
    </row>
    <row r="5" spans="1:22">
      <c r="A5" s="331" t="s">
        <v>207</v>
      </c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>
      <c r="A6" s="206" t="s">
        <v>156</v>
      </c>
    </row>
    <row r="7" spans="1:22" ht="27.6">
      <c r="A7" s="231" t="s">
        <v>3</v>
      </c>
      <c r="B7" s="231" t="s">
        <v>81</v>
      </c>
      <c r="C7" s="231" t="s">
        <v>4</v>
      </c>
      <c r="D7" s="354" t="s">
        <v>5</v>
      </c>
      <c r="E7" s="354"/>
      <c r="F7" s="354"/>
      <c r="G7" s="354"/>
      <c r="H7" s="354"/>
      <c r="I7" s="335" t="s">
        <v>6</v>
      </c>
      <c r="J7" s="335" t="s">
        <v>7</v>
      </c>
      <c r="K7" s="335"/>
      <c r="L7" s="335"/>
    </row>
    <row r="8" spans="1:22" ht="27.6">
      <c r="A8" s="82"/>
      <c r="B8" s="82"/>
      <c r="C8" s="82"/>
      <c r="D8" s="232" t="s">
        <v>183</v>
      </c>
      <c r="E8" s="233" t="s">
        <v>208</v>
      </c>
      <c r="F8" s="231" t="s">
        <v>206</v>
      </c>
      <c r="G8" s="232" t="s">
        <v>205</v>
      </c>
      <c r="H8" s="232" t="s">
        <v>297</v>
      </c>
      <c r="I8" s="335"/>
      <c r="J8" s="232" t="s">
        <v>183</v>
      </c>
      <c r="K8" s="232" t="s">
        <v>205</v>
      </c>
      <c r="L8" s="232" t="s">
        <v>262</v>
      </c>
    </row>
    <row r="9" spans="1:22" ht="41.4">
      <c r="A9" s="83" t="s">
        <v>13</v>
      </c>
      <c r="B9" s="83" t="s">
        <v>14</v>
      </c>
      <c r="C9" s="231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31" t="s">
        <v>17</v>
      </c>
      <c r="J9" s="231" t="s">
        <v>17</v>
      </c>
      <c r="K9" s="231" t="s">
        <v>17</v>
      </c>
      <c r="L9" s="231" t="s">
        <v>17</v>
      </c>
      <c r="N9" s="184" t="s">
        <v>302</v>
      </c>
    </row>
    <row r="10" spans="1:22">
      <c r="A10" s="224"/>
      <c r="B10" s="83"/>
      <c r="C10" s="231"/>
      <c r="D10" s="83"/>
      <c r="E10" s="83"/>
      <c r="F10" s="83"/>
      <c r="G10" s="83"/>
      <c r="H10" s="83"/>
      <c r="I10" s="231"/>
      <c r="J10" s="231"/>
      <c r="K10" s="231"/>
      <c r="L10" s="231"/>
    </row>
    <row r="11" spans="1:22" ht="102" customHeight="1">
      <c r="A11" s="106" t="s">
        <v>157</v>
      </c>
      <c r="B11" s="231" t="s">
        <v>242</v>
      </c>
      <c r="C11" s="82" t="s">
        <v>177</v>
      </c>
      <c r="D11" s="223">
        <v>28496</v>
      </c>
      <c r="E11" s="223">
        <v>42405</v>
      </c>
      <c r="F11" s="223">
        <v>42405</v>
      </c>
      <c r="G11" s="223">
        <v>2896</v>
      </c>
      <c r="H11" s="223">
        <f>G11</f>
        <v>2896</v>
      </c>
      <c r="I11" s="75">
        <f>J11/D11</f>
        <v>178.03682774178833</v>
      </c>
      <c r="J11" s="75">
        <f>4516616+556721.44333</f>
        <v>5073337.4433300002</v>
      </c>
      <c r="K11" s="75">
        <f>3985975.33+1245654.41-78017.16</f>
        <v>5153612.58</v>
      </c>
      <c r="L11" s="75">
        <f t="shared" ref="L11:L25" si="0">K11</f>
        <v>5153612.58</v>
      </c>
      <c r="M11" s="207">
        <f>I11+M28</f>
        <v>178.03682774178833</v>
      </c>
      <c r="N11" s="207">
        <f>M11*H11</f>
        <v>515594.65314021899</v>
      </c>
      <c r="Q11" s="207"/>
      <c r="R11" s="207"/>
      <c r="S11" s="207"/>
    </row>
    <row r="12" spans="1:22" ht="89.4" customHeight="1">
      <c r="A12" s="106" t="s">
        <v>157</v>
      </c>
      <c r="B12" s="231" t="s">
        <v>243</v>
      </c>
      <c r="C12" s="82" t="s">
        <v>177</v>
      </c>
      <c r="D12" s="223">
        <v>10940</v>
      </c>
      <c r="E12" s="223">
        <v>13582</v>
      </c>
      <c r="F12" s="223">
        <v>13582</v>
      </c>
      <c r="G12" s="223">
        <f>D12</f>
        <v>10940</v>
      </c>
      <c r="H12" s="223">
        <f>G12</f>
        <v>10940</v>
      </c>
      <c r="I12" s="75">
        <f t="shared" ref="I12:I16" si="1">J12/D12</f>
        <v>251.16861456398541</v>
      </c>
      <c r="J12" s="75">
        <f>2191063.2+556721.44333</f>
        <v>2747784.6433300003</v>
      </c>
      <c r="K12" s="75">
        <f>2209804.11+514899.21-78017.16</f>
        <v>2646686.1599999997</v>
      </c>
      <c r="L12" s="75">
        <f t="shared" si="0"/>
        <v>2646686.1599999997</v>
      </c>
      <c r="M12" s="207">
        <f>I12+M28</f>
        <v>251.16861456398541</v>
      </c>
      <c r="N12" s="207">
        <f>M12*H12</f>
        <v>2747784.6433300003</v>
      </c>
      <c r="Q12" s="207"/>
      <c r="R12" s="207"/>
      <c r="S12" s="207"/>
      <c r="U12" s="225"/>
    </row>
    <row r="13" spans="1:22" ht="89.4" customHeight="1">
      <c r="A13" s="106" t="s">
        <v>157</v>
      </c>
      <c r="B13" s="231" t="s">
        <v>308</v>
      </c>
      <c r="C13" s="82" t="s">
        <v>177</v>
      </c>
      <c r="D13" s="223">
        <v>3691</v>
      </c>
      <c r="E13" s="223"/>
      <c r="F13" s="223"/>
      <c r="G13" s="223">
        <v>3691</v>
      </c>
      <c r="H13" s="223">
        <v>3691</v>
      </c>
      <c r="I13" s="75">
        <f t="shared" si="1"/>
        <v>345.9621439528583</v>
      </c>
      <c r="J13" s="75">
        <f>720224.83+556721.44333</f>
        <v>1276946.27333</v>
      </c>
      <c r="K13" s="75">
        <f>1034863.65+170391.47-78017.16</f>
        <v>1127237.9600000002</v>
      </c>
      <c r="L13" s="75">
        <f t="shared" si="0"/>
        <v>1127237.9600000002</v>
      </c>
      <c r="M13" s="207"/>
      <c r="N13" s="207"/>
      <c r="Q13" s="207"/>
      <c r="R13" s="207"/>
      <c r="S13" s="207"/>
    </row>
    <row r="14" spans="1:22" ht="89.4" customHeight="1">
      <c r="A14" s="106" t="s">
        <v>157</v>
      </c>
      <c r="B14" s="231" t="s">
        <v>244</v>
      </c>
      <c r="C14" s="82" t="s">
        <v>177</v>
      </c>
      <c r="D14" s="223">
        <v>8744</v>
      </c>
      <c r="E14" s="223">
        <v>13271</v>
      </c>
      <c r="F14" s="223">
        <v>13271</v>
      </c>
      <c r="G14" s="223">
        <f>D14</f>
        <v>8744</v>
      </c>
      <c r="H14" s="223">
        <f>G14</f>
        <v>8744</v>
      </c>
      <c r="I14" s="75">
        <f t="shared" si="1"/>
        <v>284.40896652904854</v>
      </c>
      <c r="J14" s="75">
        <f>1930150.56+556721.44333</f>
        <v>2486872.0033300002</v>
      </c>
      <c r="K14" s="75">
        <f>2921947.89+518697.05-78017.16</f>
        <v>3362627.78</v>
      </c>
      <c r="L14" s="75">
        <f t="shared" si="0"/>
        <v>3362627.78</v>
      </c>
      <c r="M14" s="207">
        <f>I14+M28</f>
        <v>284.40896652904854</v>
      </c>
      <c r="N14" s="207">
        <f>M14*H14</f>
        <v>2486872.0033300007</v>
      </c>
      <c r="Q14" s="207"/>
      <c r="R14" s="207"/>
      <c r="S14" s="207"/>
    </row>
    <row r="15" spans="1:22" ht="94.2" customHeight="1">
      <c r="A15" s="106"/>
      <c r="B15" s="231" t="s">
        <v>245</v>
      </c>
      <c r="C15" s="82" t="s">
        <v>177</v>
      </c>
      <c r="D15" s="223">
        <v>50422</v>
      </c>
      <c r="E15" s="223">
        <v>49974</v>
      </c>
      <c r="F15" s="223">
        <v>49974</v>
      </c>
      <c r="G15" s="223">
        <f>D15</f>
        <v>50422</v>
      </c>
      <c r="H15" s="223">
        <f>G15</f>
        <v>50422</v>
      </c>
      <c r="I15" s="75">
        <f t="shared" si="1"/>
        <v>207.08124079429615</v>
      </c>
      <c r="J15" s="75">
        <f>9884728.88+556721.44333</f>
        <v>10441450.32333</v>
      </c>
      <c r="K15" s="75">
        <f>8865940.63+2101300.04-78017.16</f>
        <v>10889223.510000002</v>
      </c>
      <c r="L15" s="75">
        <f t="shared" si="0"/>
        <v>10889223.510000002</v>
      </c>
      <c r="M15" s="207">
        <f>I15+M28</f>
        <v>207.08124079429615</v>
      </c>
      <c r="N15" s="207">
        <f>M15*H15</f>
        <v>10441450.32333</v>
      </c>
      <c r="O15" s="207"/>
      <c r="Q15" s="207"/>
      <c r="R15" s="207"/>
      <c r="S15" s="207"/>
      <c r="T15" s="225"/>
    </row>
    <row r="16" spans="1:22" ht="94.2" customHeight="1">
      <c r="A16" s="232" t="s">
        <v>160</v>
      </c>
      <c r="B16" s="231" t="s">
        <v>241</v>
      </c>
      <c r="C16" s="82" t="s">
        <v>177</v>
      </c>
      <c r="D16" s="223">
        <v>37140</v>
      </c>
      <c r="E16" s="223">
        <v>39042</v>
      </c>
      <c r="F16" s="223">
        <v>39042</v>
      </c>
      <c r="G16" s="223">
        <f>D16</f>
        <v>37140</v>
      </c>
      <c r="H16" s="223">
        <f>G16</f>
        <v>37140</v>
      </c>
      <c r="I16" s="75">
        <f t="shared" si="1"/>
        <v>167.29980730560044</v>
      </c>
      <c r="J16" s="75">
        <f>5656793.4+556721.44333</f>
        <v>6213514.8433300005</v>
      </c>
      <c r="K16" s="75">
        <f>3583483+1597757.82-78017.15</f>
        <v>5103223.67</v>
      </c>
      <c r="L16" s="75">
        <f>K16</f>
        <v>5103223.67</v>
      </c>
      <c r="M16" s="207">
        <v>18548537.66</v>
      </c>
      <c r="N16" s="222">
        <f>1891/125971</f>
        <v>1.5011391510744536E-2</v>
      </c>
      <c r="O16" s="207"/>
      <c r="Q16" s="266"/>
      <c r="R16" s="207"/>
      <c r="S16" s="207"/>
      <c r="T16" s="225"/>
    </row>
    <row r="17" spans="1:20" ht="42.6" customHeight="1">
      <c r="A17" s="312" t="s">
        <v>250</v>
      </c>
      <c r="B17" s="84" t="s">
        <v>235</v>
      </c>
      <c r="C17" s="91"/>
      <c r="D17" s="313">
        <f>SUM(D11:D16)</f>
        <v>139433</v>
      </c>
      <c r="E17" s="313">
        <f>SUM(E11:E16)</f>
        <v>158274</v>
      </c>
      <c r="F17" s="313">
        <f>SUM(F11:F16)</f>
        <v>158274</v>
      </c>
      <c r="G17" s="313">
        <f>SUM(G11:G16)</f>
        <v>113833</v>
      </c>
      <c r="H17" s="313">
        <f>SUM(H11:H16)</f>
        <v>113833</v>
      </c>
      <c r="I17" s="78">
        <f>AVERAGE(I11:I16)</f>
        <v>238.9929334812629</v>
      </c>
      <c r="J17" s="78">
        <f>SUM(J11:J16)</f>
        <v>28239905.52998</v>
      </c>
      <c r="K17" s="78">
        <f>SUM(K11:K16)</f>
        <v>28282611.660000004</v>
      </c>
      <c r="L17" s="78">
        <f>SUM(L11:L16)</f>
        <v>28282611.660000004</v>
      </c>
      <c r="M17" s="207">
        <v>22132020.66</v>
      </c>
      <c r="N17" s="207">
        <f>M17-J17</f>
        <v>-6107884.86998</v>
      </c>
      <c r="O17" s="221">
        <f>N17/D17</f>
        <v>-43.805159969160812</v>
      </c>
      <c r="Q17" s="207"/>
      <c r="R17" s="207"/>
      <c r="S17" s="207"/>
      <c r="T17" s="225"/>
    </row>
    <row r="18" spans="1:20" ht="95.25" customHeight="1">
      <c r="A18" s="106" t="s">
        <v>157</v>
      </c>
      <c r="B18" s="308" t="s">
        <v>362</v>
      </c>
      <c r="C18" s="82" t="s">
        <v>177</v>
      </c>
      <c r="D18" s="181">
        <v>5265</v>
      </c>
      <c r="E18" s="181"/>
      <c r="F18" s="181"/>
      <c r="G18" s="181">
        <v>5265</v>
      </c>
      <c r="H18" s="181">
        <f>G18</f>
        <v>5265</v>
      </c>
      <c r="I18" s="75">
        <v>129.13999999999999</v>
      </c>
      <c r="J18" s="75">
        <f t="shared" ref="J18:J23" si="2">D18*I18</f>
        <v>679922.1</v>
      </c>
      <c r="K18" s="75">
        <v>0</v>
      </c>
      <c r="L18" s="75">
        <v>0</v>
      </c>
      <c r="M18" s="207"/>
      <c r="N18" s="207"/>
      <c r="O18" s="221"/>
      <c r="Q18" s="207"/>
      <c r="R18" s="207"/>
      <c r="S18" s="207"/>
      <c r="T18" s="225"/>
    </row>
    <row r="19" spans="1:20" ht="108" customHeight="1">
      <c r="A19" s="106" t="s">
        <v>157</v>
      </c>
      <c r="B19" s="308" t="s">
        <v>363</v>
      </c>
      <c r="C19" s="82" t="s">
        <v>177</v>
      </c>
      <c r="D19" s="181">
        <v>3042</v>
      </c>
      <c r="E19" s="181"/>
      <c r="F19" s="181"/>
      <c r="G19" s="181">
        <v>3042</v>
      </c>
      <c r="H19" s="181">
        <v>3042</v>
      </c>
      <c r="I19" s="75">
        <v>129.13999999999999</v>
      </c>
      <c r="J19" s="75">
        <f t="shared" si="2"/>
        <v>392843.87999999995</v>
      </c>
      <c r="K19" s="75">
        <v>0</v>
      </c>
      <c r="L19" s="75"/>
      <c r="M19" s="207"/>
      <c r="N19" s="207"/>
      <c r="O19" s="221"/>
      <c r="Q19" s="207"/>
      <c r="R19" s="207"/>
      <c r="S19" s="207"/>
      <c r="T19" s="225"/>
    </row>
    <row r="20" spans="1:20" ht="138.75" customHeight="1">
      <c r="A20" s="106" t="s">
        <v>157</v>
      </c>
      <c r="B20" s="308" t="s">
        <v>364</v>
      </c>
      <c r="C20" s="82" t="s">
        <v>177</v>
      </c>
      <c r="D20" s="181">
        <v>975</v>
      </c>
      <c r="E20" s="181"/>
      <c r="F20" s="181"/>
      <c r="G20" s="181">
        <v>975</v>
      </c>
      <c r="H20" s="181">
        <v>975</v>
      </c>
      <c r="I20" s="75">
        <v>128.19</v>
      </c>
      <c r="J20" s="75">
        <f t="shared" si="2"/>
        <v>124985.25</v>
      </c>
      <c r="K20" s="75"/>
      <c r="L20" s="75">
        <v>0</v>
      </c>
      <c r="M20" s="207"/>
      <c r="N20" s="207"/>
      <c r="O20" s="221"/>
      <c r="Q20" s="207"/>
      <c r="R20" s="207"/>
      <c r="S20" s="207"/>
      <c r="T20" s="225"/>
    </row>
    <row r="21" spans="1:20" ht="123.75" customHeight="1">
      <c r="A21" s="106" t="s">
        <v>157</v>
      </c>
      <c r="B21" s="308" t="s">
        <v>365</v>
      </c>
      <c r="C21" s="82" t="s">
        <v>177</v>
      </c>
      <c r="D21" s="181">
        <v>5460</v>
      </c>
      <c r="E21" s="181"/>
      <c r="F21" s="181"/>
      <c r="G21" s="181">
        <v>5460</v>
      </c>
      <c r="H21" s="181">
        <v>5460</v>
      </c>
      <c r="I21" s="75">
        <v>118.72</v>
      </c>
      <c r="J21" s="75">
        <f t="shared" si="2"/>
        <v>648211.19999999995</v>
      </c>
      <c r="K21" s="75">
        <v>0</v>
      </c>
      <c r="L21" s="75">
        <v>0</v>
      </c>
      <c r="M21" s="207"/>
      <c r="N21" s="207"/>
      <c r="O21" s="221"/>
      <c r="Q21" s="207"/>
      <c r="R21" s="207"/>
      <c r="S21" s="207"/>
      <c r="T21" s="225"/>
    </row>
    <row r="22" spans="1:20" ht="138" customHeight="1">
      <c r="A22" s="106"/>
      <c r="B22" s="308" t="s">
        <v>367</v>
      </c>
      <c r="C22" s="82" t="s">
        <v>177</v>
      </c>
      <c r="D22" s="181">
        <v>7020</v>
      </c>
      <c r="E22" s="181"/>
      <c r="F22" s="181"/>
      <c r="G22" s="181">
        <v>7020</v>
      </c>
      <c r="H22" s="181">
        <v>7020</v>
      </c>
      <c r="I22" s="75">
        <v>129.27000000000001</v>
      </c>
      <c r="J22" s="75">
        <f t="shared" si="2"/>
        <v>907475.4</v>
      </c>
      <c r="K22" s="75">
        <v>0</v>
      </c>
      <c r="L22" s="75">
        <v>0</v>
      </c>
      <c r="M22" s="207"/>
      <c r="N22" s="207"/>
      <c r="O22" s="221"/>
      <c r="Q22" s="207"/>
      <c r="R22" s="207"/>
      <c r="S22" s="207"/>
      <c r="T22" s="225"/>
    </row>
    <row r="23" spans="1:20" ht="151.5" customHeight="1">
      <c r="A23" s="309" t="s">
        <v>160</v>
      </c>
      <c r="B23" s="308" t="s">
        <v>366</v>
      </c>
      <c r="C23" s="82" t="s">
        <v>177</v>
      </c>
      <c r="D23" s="181">
        <v>6513</v>
      </c>
      <c r="E23" s="181"/>
      <c r="F23" s="181"/>
      <c r="G23" s="181">
        <v>6513</v>
      </c>
      <c r="H23" s="181">
        <v>6513</v>
      </c>
      <c r="I23" s="75">
        <v>131.01</v>
      </c>
      <c r="J23" s="75">
        <f t="shared" si="2"/>
        <v>853268.12999999989</v>
      </c>
      <c r="K23" s="75">
        <v>0</v>
      </c>
      <c r="L23" s="75">
        <v>0</v>
      </c>
      <c r="M23" s="207"/>
      <c r="N23" s="207"/>
      <c r="O23" s="221"/>
      <c r="Q23" s="207"/>
      <c r="R23" s="207"/>
      <c r="S23" s="207"/>
      <c r="T23" s="225"/>
    </row>
    <row r="24" spans="1:20" ht="42.6" customHeight="1">
      <c r="A24" s="312" t="s">
        <v>250</v>
      </c>
      <c r="B24" s="84" t="s">
        <v>368</v>
      </c>
      <c r="C24" s="91"/>
      <c r="D24" s="313">
        <f>SUM(D18:D23)</f>
        <v>28275</v>
      </c>
      <c r="E24" s="313">
        <f t="shared" ref="E24:L24" si="3">SUM(E18:E23)</f>
        <v>0</v>
      </c>
      <c r="F24" s="313">
        <f t="shared" si="3"/>
        <v>0</v>
      </c>
      <c r="G24" s="313">
        <f t="shared" si="3"/>
        <v>28275</v>
      </c>
      <c r="H24" s="313">
        <f t="shared" si="3"/>
        <v>28275</v>
      </c>
      <c r="I24" s="78">
        <f>AVERAGE(I11:I23)</f>
        <v>187.57081033606462</v>
      </c>
      <c r="J24" s="78">
        <f t="shared" si="3"/>
        <v>3606705.96</v>
      </c>
      <c r="K24" s="78">
        <f t="shared" si="3"/>
        <v>0</v>
      </c>
      <c r="L24" s="78">
        <f t="shared" si="3"/>
        <v>0</v>
      </c>
      <c r="M24" s="207"/>
      <c r="N24" s="207"/>
      <c r="O24" s="221"/>
      <c r="Q24" s="207"/>
      <c r="R24" s="207"/>
      <c r="S24" s="207"/>
      <c r="T24" s="225"/>
    </row>
    <row r="25" spans="1:20" ht="54.6" customHeight="1">
      <c r="A25" s="106" t="s">
        <v>157</v>
      </c>
      <c r="B25" s="231" t="s">
        <v>249</v>
      </c>
      <c r="C25" s="82" t="s">
        <v>234</v>
      </c>
      <c r="D25" s="181">
        <v>1</v>
      </c>
      <c r="E25" s="181">
        <v>1</v>
      </c>
      <c r="F25" s="181">
        <v>1</v>
      </c>
      <c r="G25" s="181">
        <v>1</v>
      </c>
      <c r="H25" s="181">
        <v>1</v>
      </c>
      <c r="I25" s="75">
        <v>110286.73</v>
      </c>
      <c r="J25" s="75">
        <f>D25*I25</f>
        <v>110286.73</v>
      </c>
      <c r="K25" s="75">
        <v>99867.58</v>
      </c>
      <c r="L25" s="75">
        <f t="shared" si="0"/>
        <v>99867.58</v>
      </c>
      <c r="M25" s="207"/>
      <c r="N25" s="207"/>
      <c r="P25" s="207"/>
      <c r="Q25" s="207"/>
    </row>
    <row r="26" spans="1:20" ht="48.6" customHeight="1">
      <c r="A26" s="106"/>
      <c r="B26" s="231" t="s">
        <v>246</v>
      </c>
      <c r="C26" s="82" t="s">
        <v>234</v>
      </c>
      <c r="D26" s="181">
        <v>2</v>
      </c>
      <c r="E26" s="181">
        <v>2</v>
      </c>
      <c r="F26" s="181">
        <v>2</v>
      </c>
      <c r="G26" s="181">
        <v>2</v>
      </c>
      <c r="H26" s="181">
        <v>2</v>
      </c>
      <c r="I26" s="75">
        <v>1551307.77</v>
      </c>
      <c r="J26" s="75">
        <f>D26*I26</f>
        <v>3102615.54</v>
      </c>
      <c r="K26" s="75">
        <v>2809520.76</v>
      </c>
      <c r="L26" s="75">
        <f>K26</f>
        <v>2809520.76</v>
      </c>
      <c r="M26" s="207"/>
      <c r="N26" s="207"/>
      <c r="P26" s="207"/>
      <c r="Q26" s="207"/>
    </row>
    <row r="27" spans="1:20" ht="41.4" customHeight="1">
      <c r="A27" s="312" t="s">
        <v>251</v>
      </c>
      <c r="B27" s="84" t="s">
        <v>236</v>
      </c>
      <c r="C27" s="91"/>
      <c r="D27" s="314">
        <f>SUM(D25:D26)</f>
        <v>3</v>
      </c>
      <c r="E27" s="314">
        <f>SUM(E25:E26)</f>
        <v>3</v>
      </c>
      <c r="F27" s="314">
        <f>SUM(F25:F26)</f>
        <v>3</v>
      </c>
      <c r="G27" s="314">
        <f>SUM(G25:G26)</f>
        <v>3</v>
      </c>
      <c r="H27" s="314">
        <f>SUM(H25:H26)</f>
        <v>3</v>
      </c>
      <c r="I27" s="78">
        <f>I25+I26</f>
        <v>1661594.5</v>
      </c>
      <c r="J27" s="78">
        <f>SUM(J25:J26)</f>
        <v>3212902.27</v>
      </c>
      <c r="K27" s="78">
        <f>SUM(K25:K26)</f>
        <v>2909388.34</v>
      </c>
      <c r="L27" s="78">
        <f>SUM(L25:L26)</f>
        <v>2909388.34</v>
      </c>
      <c r="M27" s="207"/>
      <c r="N27" s="210"/>
      <c r="P27" s="207"/>
      <c r="Q27" s="207"/>
    </row>
    <row r="28" spans="1:20" ht="22.95" hidden="1" customHeight="1">
      <c r="A28" s="106" t="s">
        <v>157</v>
      </c>
      <c r="B28" s="128" t="s">
        <v>298</v>
      </c>
      <c r="C28" s="180" t="s">
        <v>20</v>
      </c>
      <c r="D28" s="181">
        <f>28+6</f>
        <v>34</v>
      </c>
      <c r="E28" s="181">
        <f>28+6</f>
        <v>34</v>
      </c>
      <c r="F28" s="181">
        <f>28+6</f>
        <v>34</v>
      </c>
      <c r="G28" s="181">
        <f>28+6</f>
        <v>34</v>
      </c>
      <c r="H28" s="181">
        <f>28+6</f>
        <v>34</v>
      </c>
      <c r="I28" s="75"/>
      <c r="J28" s="75"/>
      <c r="K28" s="75"/>
      <c r="L28" s="75"/>
      <c r="M28" s="207"/>
      <c r="P28" s="207"/>
    </row>
    <row r="29" spans="1:20" ht="22.95" hidden="1" customHeight="1">
      <c r="A29" s="106"/>
      <c r="B29" s="128" t="s">
        <v>307</v>
      </c>
      <c r="C29" s="180" t="s">
        <v>20</v>
      </c>
      <c r="D29" s="181"/>
      <c r="E29" s="181"/>
      <c r="F29" s="181"/>
      <c r="G29" s="181"/>
      <c r="H29" s="181"/>
      <c r="I29" s="75"/>
      <c r="J29" s="156"/>
      <c r="K29" s="75"/>
      <c r="L29" s="75"/>
      <c r="M29" s="207"/>
      <c r="P29" s="207"/>
    </row>
    <row r="30" spans="1:20" ht="18" hidden="1" customHeight="1">
      <c r="A30" s="106"/>
      <c r="B30" s="182" t="s">
        <v>296</v>
      </c>
      <c r="C30" s="180" t="s">
        <v>20</v>
      </c>
      <c r="D30" s="181">
        <f>21+11</f>
        <v>32</v>
      </c>
      <c r="E30" s="181">
        <f t="shared" ref="E30:H31" si="4">21+11</f>
        <v>32</v>
      </c>
      <c r="F30" s="181">
        <f t="shared" si="4"/>
        <v>32</v>
      </c>
      <c r="G30" s="181">
        <f t="shared" si="4"/>
        <v>32</v>
      </c>
      <c r="H30" s="181">
        <f t="shared" si="4"/>
        <v>32</v>
      </c>
      <c r="I30" s="75"/>
      <c r="J30" s="75"/>
      <c r="K30" s="75"/>
      <c r="L30" s="75"/>
      <c r="M30" s="207"/>
      <c r="P30" s="207"/>
    </row>
    <row r="31" spans="1:20" hidden="1">
      <c r="A31" s="180"/>
      <c r="B31" s="182" t="s">
        <v>229</v>
      </c>
      <c r="C31" s="180" t="s">
        <v>20</v>
      </c>
      <c r="D31" s="181">
        <f>21+11</f>
        <v>32</v>
      </c>
      <c r="E31" s="181">
        <f t="shared" si="4"/>
        <v>32</v>
      </c>
      <c r="F31" s="181">
        <f t="shared" si="4"/>
        <v>32</v>
      </c>
      <c r="G31" s="181">
        <f t="shared" si="4"/>
        <v>32</v>
      </c>
      <c r="H31" s="181">
        <f t="shared" si="4"/>
        <v>32</v>
      </c>
      <c r="I31" s="75"/>
      <c r="J31" s="75"/>
      <c r="K31" s="75">
        <f>J31</f>
        <v>0</v>
      </c>
      <c r="L31" s="75">
        <f>K31</f>
        <v>0</v>
      </c>
      <c r="M31" s="207"/>
    </row>
    <row r="32" spans="1:20">
      <c r="A32" s="355" t="s">
        <v>230</v>
      </c>
      <c r="B32" s="356"/>
      <c r="C32" s="357"/>
      <c r="D32" s="181"/>
      <c r="E32" s="181"/>
      <c r="F32" s="181"/>
      <c r="G32" s="181"/>
      <c r="H32" s="181"/>
      <c r="I32" s="75"/>
      <c r="J32" s="198">
        <f>J17+J24+J27</f>
        <v>35059513.759980001</v>
      </c>
      <c r="K32" s="198">
        <f t="shared" ref="K32:L32" si="5">K17+K24+K27</f>
        <v>31192000.000000004</v>
      </c>
      <c r="L32" s="198">
        <f t="shared" si="5"/>
        <v>31192000.000000004</v>
      </c>
      <c r="M32" s="207"/>
      <c r="N32" s="207"/>
      <c r="O32" s="208"/>
      <c r="Q32" s="207"/>
    </row>
    <row r="33" spans="1:17" ht="26.4" customHeight="1">
      <c r="J33" s="207"/>
      <c r="M33" s="207"/>
      <c r="N33" s="207"/>
    </row>
    <row r="34" spans="1:17">
      <c r="J34" s="195"/>
      <c r="K34" s="199"/>
      <c r="L34" s="199"/>
    </row>
    <row r="35" spans="1:17">
      <c r="J35" s="207"/>
      <c r="M35" s="209"/>
      <c r="Q35" s="207"/>
    </row>
    <row r="36" spans="1:17">
      <c r="J36" s="207"/>
      <c r="K36" s="207"/>
      <c r="L36" s="207"/>
      <c r="Q36" s="207"/>
    </row>
    <row r="37" spans="1:17">
      <c r="A37" s="184" t="s">
        <v>233</v>
      </c>
      <c r="J37" s="207"/>
      <c r="K37" s="265"/>
    </row>
    <row r="38" spans="1:17">
      <c r="A38" s="184" t="s">
        <v>178</v>
      </c>
      <c r="J38" s="207"/>
      <c r="K38" s="207"/>
      <c r="L38" s="207"/>
    </row>
    <row r="39" spans="1:17">
      <c r="J39" s="207"/>
      <c r="K39" s="207"/>
      <c r="L39" s="207"/>
    </row>
    <row r="40" spans="1:17">
      <c r="J40" s="207"/>
      <c r="K40" s="207"/>
      <c r="L40" s="207"/>
    </row>
    <row r="41" spans="1:17">
      <c r="J41" s="207"/>
      <c r="K41" s="207"/>
      <c r="L41" s="207"/>
    </row>
    <row r="42" spans="1:17">
      <c r="J42" s="195"/>
    </row>
    <row r="43" spans="1:17">
      <c r="J43" s="207"/>
      <c r="K43" s="207"/>
      <c r="L43" s="207"/>
    </row>
    <row r="44" spans="1:17">
      <c r="J44" s="207"/>
      <c r="K44" s="207"/>
      <c r="L44" s="207"/>
    </row>
    <row r="45" spans="1:17">
      <c r="J45" s="207"/>
      <c r="K45" s="207"/>
      <c r="L45" s="207"/>
    </row>
    <row r="46" spans="1:17">
      <c r="J46" s="207"/>
      <c r="K46" s="207"/>
      <c r="L46" s="207"/>
    </row>
    <row r="47" spans="1:17">
      <c r="J47" s="207"/>
      <c r="K47" s="207"/>
      <c r="L47" s="207"/>
    </row>
    <row r="48" spans="1:17">
      <c r="J48" s="207"/>
      <c r="K48" s="207"/>
      <c r="L48" s="207"/>
    </row>
    <row r="49" spans="9:12">
      <c r="J49" s="207"/>
      <c r="K49" s="207"/>
      <c r="L49" s="207"/>
    </row>
    <row r="50" spans="9:12">
      <c r="J50" s="207"/>
      <c r="K50" s="207"/>
      <c r="L50" s="207"/>
    </row>
    <row r="51" spans="9:12">
      <c r="J51" s="207"/>
      <c r="K51" s="207"/>
      <c r="L51" s="207"/>
    </row>
    <row r="52" spans="9:12">
      <c r="J52" s="207"/>
      <c r="K52" s="207"/>
      <c r="L52" s="207"/>
    </row>
    <row r="53" spans="9:12">
      <c r="J53" s="207"/>
      <c r="K53" s="207"/>
      <c r="L53" s="207"/>
    </row>
    <row r="54" spans="9:12">
      <c r="J54" s="207"/>
      <c r="K54" s="207"/>
      <c r="L54" s="207"/>
    </row>
    <row r="55" spans="9:12">
      <c r="J55" s="207"/>
      <c r="K55" s="207"/>
      <c r="L55" s="207"/>
    </row>
    <row r="56" spans="9:12">
      <c r="J56" s="207"/>
      <c r="K56" s="207"/>
      <c r="L56" s="207"/>
    </row>
    <row r="57" spans="9:12">
      <c r="J57" s="207"/>
      <c r="K57" s="207"/>
      <c r="L57" s="207"/>
    </row>
    <row r="58" spans="9:12">
      <c r="J58" s="207"/>
      <c r="K58" s="207"/>
      <c r="L58" s="207"/>
    </row>
    <row r="59" spans="9:12">
      <c r="J59" s="207"/>
      <c r="K59" s="207"/>
      <c r="L59" s="207"/>
    </row>
    <row r="60" spans="9:12">
      <c r="J60" s="207"/>
      <c r="K60" s="207"/>
      <c r="L60" s="207"/>
    </row>
    <row r="61" spans="9:12" s="199" customFormat="1">
      <c r="J61" s="195"/>
    </row>
    <row r="62" spans="9:12" s="199" customFormat="1">
      <c r="J62" s="195">
        <v>8088944</v>
      </c>
      <c r="K62" s="195">
        <v>6148700</v>
      </c>
      <c r="L62" s="195"/>
    </row>
    <row r="63" spans="9:12" s="199" customFormat="1">
      <c r="J63" s="195">
        <f>J62/I70</f>
        <v>58.01312458313312</v>
      </c>
      <c r="K63" s="195">
        <f>K62/I70</f>
        <v>44.097882136940321</v>
      </c>
      <c r="L63" s="195"/>
    </row>
    <row r="64" spans="9:12" s="199" customFormat="1">
      <c r="I64" s="199">
        <f t="shared" ref="I64:I69" si="6">D11</f>
        <v>28496</v>
      </c>
      <c r="J64" s="195">
        <f t="shared" ref="J64:J69" si="7">I64*$J$63</f>
        <v>1653141.9981209615</v>
      </c>
      <c r="K64" s="195">
        <f t="shared" ref="K64:K69" si="8">I64*$K$63</f>
        <v>1256613.2493742513</v>
      </c>
    </row>
    <row r="65" spans="9:11" s="199" customFormat="1">
      <c r="I65" s="199">
        <f t="shared" si="6"/>
        <v>10940</v>
      </c>
      <c r="J65" s="195">
        <f t="shared" si="7"/>
        <v>634663.58293947636</v>
      </c>
      <c r="K65" s="195">
        <f t="shared" si="8"/>
        <v>482430.83057812712</v>
      </c>
    </row>
    <row r="66" spans="9:11" s="199" customFormat="1">
      <c r="I66" s="199">
        <f t="shared" si="6"/>
        <v>3691</v>
      </c>
      <c r="J66" s="195">
        <f t="shared" si="7"/>
        <v>214126.44283634436</v>
      </c>
      <c r="K66" s="195">
        <f t="shared" si="8"/>
        <v>162765.28296744672</v>
      </c>
    </row>
    <row r="67" spans="9:11" s="199" customFormat="1">
      <c r="I67" s="199">
        <f t="shared" si="6"/>
        <v>8744</v>
      </c>
      <c r="J67" s="195">
        <f t="shared" si="7"/>
        <v>507266.76135491597</v>
      </c>
      <c r="K67" s="195">
        <f t="shared" si="8"/>
        <v>385591.88140540617</v>
      </c>
    </row>
    <row r="68" spans="9:11" s="199" customFormat="1">
      <c r="I68" s="199">
        <f t="shared" si="6"/>
        <v>50422</v>
      </c>
      <c r="J68" s="195">
        <f t="shared" si="7"/>
        <v>2925137.767730738</v>
      </c>
      <c r="K68" s="195">
        <f t="shared" si="8"/>
        <v>2223503.4131088047</v>
      </c>
    </row>
    <row r="69" spans="9:11" s="199" customFormat="1">
      <c r="I69" s="199">
        <f t="shared" si="6"/>
        <v>37140</v>
      </c>
      <c r="J69" s="195">
        <f t="shared" si="7"/>
        <v>2154607.447017564</v>
      </c>
      <c r="K69" s="195">
        <f t="shared" si="8"/>
        <v>1637795.3425659635</v>
      </c>
    </row>
    <row r="70" spans="9:11" s="199" customFormat="1">
      <c r="I70" s="199">
        <f>SUM(I64:I69)</f>
        <v>139433</v>
      </c>
      <c r="J70" s="195">
        <f>SUM(J64:J69)</f>
        <v>8088944</v>
      </c>
      <c r="K70" s="195">
        <f>SUM(K64:K69)</f>
        <v>6148700</v>
      </c>
    </row>
    <row r="71" spans="9:11" s="199" customFormat="1">
      <c r="J71" s="195"/>
    </row>
  </sheetData>
  <mergeCells count="5">
    <mergeCell ref="A5:L5"/>
    <mergeCell ref="D7:H7"/>
    <mergeCell ref="I7:I8"/>
    <mergeCell ref="J7:L7"/>
    <mergeCell ref="A32:C32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САДЫ</vt:lpstr>
      <vt:lpstr>ДОП ДДТ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Студеникина</cp:lastModifiedBy>
  <cp:lastPrinted>2020-09-01T10:02:32Z</cp:lastPrinted>
  <dcterms:created xsi:type="dcterms:W3CDTF">2018-11-21T04:22:49Z</dcterms:created>
  <dcterms:modified xsi:type="dcterms:W3CDTF">2020-11-30T04:30:54Z</dcterms:modified>
</cp:coreProperties>
</file>