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6" windowWidth="15456" windowHeight="9696" tabRatio="598" firstSheet="2" activeTab="2"/>
  </bookViews>
  <sheets>
    <sheet name="01.01.2016" sheetId="1" state="hidden" r:id="rId1"/>
    <sheet name="ОБЩИЙ" sheetId="3" state="hidden" r:id="rId2"/>
    <sheet name="ШКОЛЫ" sheetId="4" r:id="rId3"/>
    <sheet name="САДЫ" sheetId="6" r:id="rId4"/>
    <sheet name="ДОП ДДТ +ДЭБС" sheetId="8" r:id="rId5"/>
  </sheets>
  <calcPr calcId="124519"/>
</workbook>
</file>

<file path=xl/calcChain.xml><?xml version="1.0" encoding="utf-8"?>
<calcChain xmlns="http://schemas.openxmlformats.org/spreadsheetml/2006/main">
  <c r="T197" i="4"/>
  <c r="U197"/>
  <c r="T165"/>
  <c r="T171"/>
  <c r="T163"/>
  <c r="O163"/>
  <c r="Q177" i="6"/>
  <c r="P177"/>
  <c r="S177"/>
  <c r="S149"/>
  <c r="Q148"/>
  <c r="Q141"/>
  <c r="V19"/>
  <c r="U19"/>
  <c r="Q19"/>
  <c r="Q15"/>
  <c r="O19"/>
  <c r="N19"/>
  <c r="V40"/>
  <c r="U40"/>
  <c r="V55"/>
  <c r="U55"/>
  <c r="V69"/>
  <c r="U69"/>
  <c r="V71"/>
  <c r="U71"/>
  <c r="V84"/>
  <c r="U84"/>
  <c r="U98"/>
  <c r="V97"/>
  <c r="U97"/>
  <c r="V111"/>
  <c r="U111"/>
  <c r="V127"/>
  <c r="U127"/>
  <c r="U140"/>
  <c r="V175"/>
  <c r="U175"/>
  <c r="O167" l="1"/>
  <c r="Q162"/>
  <c r="O154"/>
  <c r="N154"/>
  <c r="N69"/>
  <c r="O38"/>
  <c r="O28"/>
  <c r="O27"/>
  <c r="Q138"/>
  <c r="Q139"/>
  <c r="O140"/>
  <c r="N141"/>
  <c r="N127"/>
  <c r="O127"/>
  <c r="O126"/>
  <c r="O125"/>
  <c r="O110"/>
  <c r="O111"/>
  <c r="N110"/>
  <c r="N111"/>
  <c r="N97"/>
  <c r="O98"/>
  <c r="N98"/>
  <c r="N84"/>
  <c r="O84"/>
  <c r="O71"/>
  <c r="N71"/>
  <c r="Q56"/>
  <c r="N55"/>
  <c r="P53"/>
  <c r="O55"/>
  <c r="M57"/>
  <c r="M58"/>
  <c r="M59"/>
  <c r="O40"/>
  <c r="N40"/>
  <c r="M52"/>
  <c r="N29"/>
  <c r="O29"/>
  <c r="T30"/>
  <c r="Q27"/>
  <c r="M34"/>
  <c r="N197" i="4" l="1"/>
  <c r="N198"/>
  <c r="N168"/>
  <c r="N169"/>
  <c r="N133"/>
  <c r="N134"/>
  <c r="N102"/>
  <c r="N101"/>
  <c r="V73" l="1"/>
  <c r="S73"/>
  <c r="R73"/>
  <c r="P73"/>
  <c r="O73"/>
  <c r="T73"/>
  <c r="N42"/>
  <c r="N71"/>
  <c r="J22" i="8"/>
  <c r="I16"/>
  <c r="I17"/>
  <c r="I14"/>
  <c r="I13"/>
  <c r="I12"/>
  <c r="I11"/>
  <c r="I10"/>
  <c r="J17"/>
  <c r="I23" l="1"/>
  <c r="U174" i="4" l="1"/>
  <c r="U175"/>
  <c r="U176"/>
  <c r="U177"/>
  <c r="U178"/>
  <c r="T174"/>
  <c r="T175"/>
  <c r="T176"/>
  <c r="T177"/>
  <c r="T178"/>
  <c r="N174"/>
  <c r="N175"/>
  <c r="N176"/>
  <c r="N177"/>
  <c r="N178"/>
  <c r="N173"/>
  <c r="T179"/>
  <c r="N179"/>
  <c r="T193"/>
  <c r="R177"/>
  <c r="R172"/>
  <c r="R173"/>
  <c r="R180"/>
  <c r="R181"/>
  <c r="R185"/>
  <c r="R188"/>
  <c r="R164"/>
  <c r="R35"/>
  <c r="O193" l="1"/>
  <c r="Q175" i="6"/>
  <c r="R164"/>
  <c r="T170"/>
  <c r="S176"/>
  <c r="R150"/>
  <c r="T157"/>
  <c r="Q154"/>
  <c r="S163"/>
  <c r="R138"/>
  <c r="T144"/>
  <c r="N125"/>
  <c r="R123"/>
  <c r="T131"/>
  <c r="Q136"/>
  <c r="S137"/>
  <c r="V113"/>
  <c r="U113"/>
  <c r="T113"/>
  <c r="T116"/>
  <c r="R108"/>
  <c r="Q121"/>
  <c r="S122"/>
  <c r="Q98"/>
  <c r="T101"/>
  <c r="Q106"/>
  <c r="S107"/>
  <c r="Q84"/>
  <c r="O83"/>
  <c r="T87"/>
  <c r="R80"/>
  <c r="S93"/>
  <c r="Q92"/>
  <c r="Q71"/>
  <c r="O69"/>
  <c r="R66"/>
  <c r="T74"/>
  <c r="Q78"/>
  <c r="S79"/>
  <c r="R52"/>
  <c r="T59"/>
  <c r="Q64"/>
  <c r="S65"/>
  <c r="T45"/>
  <c r="N41"/>
  <c r="Q50"/>
  <c r="Q38"/>
  <c r="R38"/>
  <c r="N39"/>
  <c r="N38" s="1"/>
  <c r="S51"/>
  <c r="Q30"/>
  <c r="T34"/>
  <c r="R27"/>
  <c r="N15" l="1"/>
  <c r="N14" s="1"/>
  <c r="O15"/>
  <c r="O14" s="1"/>
  <c r="T24" l="1"/>
  <c r="S14"/>
  <c r="R14"/>
  <c r="Q20"/>
  <c r="J27" i="8"/>
  <c r="J28" s="1"/>
  <c r="K26"/>
  <c r="L26" s="1"/>
  <c r="K23"/>
  <c r="K27" s="1"/>
  <c r="K21"/>
  <c r="L21" s="1"/>
  <c r="H18"/>
  <c r="G18"/>
  <c r="F18"/>
  <c r="E18"/>
  <c r="D18"/>
  <c r="K17"/>
  <c r="L17" s="1"/>
  <c r="J16"/>
  <c r="J18" s="1"/>
  <c r="H15"/>
  <c r="G15"/>
  <c r="F15"/>
  <c r="E15"/>
  <c r="D15"/>
  <c r="J14"/>
  <c r="K14" s="1"/>
  <c r="L14" s="1"/>
  <c r="J13"/>
  <c r="K13" s="1"/>
  <c r="L13" s="1"/>
  <c r="J12"/>
  <c r="K12" s="1"/>
  <c r="L12" s="1"/>
  <c r="J11"/>
  <c r="K11" s="1"/>
  <c r="L11" s="1"/>
  <c r="K10"/>
  <c r="L23" l="1"/>
  <c r="L27" s="1"/>
  <c r="I18"/>
  <c r="K15"/>
  <c r="L10"/>
  <c r="L15" s="1"/>
  <c r="J10"/>
  <c r="J15" s="1"/>
  <c r="K16"/>
  <c r="L16" l="1"/>
  <c r="L18" s="1"/>
  <c r="L22" s="1"/>
  <c r="L28" s="1"/>
  <c r="K18"/>
  <c r="K22" s="1"/>
  <c r="K28" s="1"/>
  <c r="I15"/>
  <c r="P172" i="4" l="1"/>
  <c r="P180"/>
  <c r="P188"/>
  <c r="O172"/>
  <c r="O188"/>
  <c r="P181" l="1"/>
  <c r="O181"/>
  <c r="O180"/>
  <c r="P177"/>
  <c r="P173"/>
  <c r="O173"/>
  <c r="S200"/>
  <c r="K185"/>
  <c r="O177"/>
  <c r="K177"/>
  <c r="J177" s="1"/>
  <c r="O176"/>
  <c r="J176"/>
  <c r="P137" l="1"/>
  <c r="P158"/>
  <c r="O137"/>
  <c r="S171"/>
  <c r="E171"/>
  <c r="F171"/>
  <c r="E162"/>
  <c r="F162"/>
  <c r="E165"/>
  <c r="F165"/>
  <c r="H165"/>
  <c r="I165"/>
  <c r="L161"/>
  <c r="K161"/>
  <c r="K158"/>
  <c r="L158"/>
  <c r="L157"/>
  <c r="K157"/>
  <c r="L154"/>
  <c r="K154"/>
  <c r="L149"/>
  <c r="L148"/>
  <c r="K149"/>
  <c r="K148"/>
  <c r="L145"/>
  <c r="L137"/>
  <c r="K145"/>
  <c r="K137"/>
  <c r="P104"/>
  <c r="O104"/>
  <c r="O129"/>
  <c r="S136"/>
  <c r="E136"/>
  <c r="F136"/>
  <c r="L127"/>
  <c r="L124"/>
  <c r="K127"/>
  <c r="K124"/>
  <c r="L122"/>
  <c r="L115"/>
  <c r="K122"/>
  <c r="K115"/>
  <c r="L113"/>
  <c r="L104"/>
  <c r="K113"/>
  <c r="K104"/>
  <c r="P74"/>
  <c r="O74"/>
  <c r="O96"/>
  <c r="O97" s="1"/>
  <c r="S103"/>
  <c r="E103"/>
  <c r="F103"/>
  <c r="L94"/>
  <c r="L90"/>
  <c r="K94"/>
  <c r="K90"/>
  <c r="L88"/>
  <c r="L83"/>
  <c r="K83"/>
  <c r="K88"/>
  <c r="L81"/>
  <c r="L74"/>
  <c r="K81"/>
  <c r="K74"/>
  <c r="P45"/>
  <c r="O45"/>
  <c r="O66"/>
  <c r="O12"/>
  <c r="O37"/>
  <c r="E73"/>
  <c r="F73"/>
  <c r="K61"/>
  <c r="K64"/>
  <c r="L64"/>
  <c r="L61"/>
  <c r="L59"/>
  <c r="L54"/>
  <c r="K45"/>
  <c r="K54"/>
  <c r="K59"/>
  <c r="L45"/>
  <c r="L52"/>
  <c r="K52"/>
  <c r="F36"/>
  <c r="G36"/>
  <c r="H36"/>
  <c r="I36"/>
  <c r="E36"/>
  <c r="E44" s="1"/>
  <c r="F44"/>
  <c r="P12"/>
  <c r="P35"/>
  <c r="O35"/>
  <c r="S44"/>
  <c r="K35" l="1"/>
  <c r="K31"/>
  <c r="L35"/>
  <c r="L31"/>
  <c r="L22"/>
  <c r="K24"/>
  <c r="K29"/>
  <c r="L24"/>
  <c r="L29"/>
  <c r="L12"/>
  <c r="K12"/>
  <c r="K22"/>
  <c r="O82" i="6" l="1"/>
  <c r="O68"/>
  <c r="O41"/>
  <c r="O16"/>
  <c r="N167"/>
  <c r="N140"/>
  <c r="N82"/>
  <c r="N56"/>
  <c r="N68"/>
  <c r="N113" l="1"/>
  <c r="N16"/>
  <c r="M17" l="1"/>
  <c r="M18"/>
  <c r="M19"/>
  <c r="M20"/>
  <c r="M21"/>
  <c r="M22"/>
  <c r="M23"/>
  <c r="M24"/>
  <c r="M25"/>
  <c r="M26"/>
  <c r="M27"/>
  <c r="M28"/>
  <c r="M29"/>
  <c r="M30"/>
  <c r="M31"/>
  <c r="M35"/>
  <c r="M36"/>
  <c r="M37"/>
  <c r="M38"/>
  <c r="M39"/>
  <c r="M40"/>
  <c r="M41"/>
  <c r="M42"/>
  <c r="M46"/>
  <c r="M48"/>
  <c r="M49"/>
  <c r="M50"/>
  <c r="M51"/>
  <c r="M53"/>
  <c r="M54"/>
  <c r="M55"/>
  <c r="M56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F64" l="1"/>
  <c r="G64"/>
  <c r="H64"/>
  <c r="I64"/>
  <c r="F20"/>
  <c r="G20"/>
  <c r="H20"/>
  <c r="I20"/>
  <c r="F106" l="1"/>
  <c r="G106"/>
  <c r="H106"/>
  <c r="I106"/>
  <c r="N199" i="4" l="1"/>
  <c r="T199"/>
  <c r="U199" s="1"/>
  <c r="V171"/>
  <c r="T135"/>
  <c r="U135" s="1"/>
  <c r="N135"/>
  <c r="T102"/>
  <c r="U102" s="1"/>
  <c r="T72"/>
  <c r="U72" s="1"/>
  <c r="N72"/>
  <c r="Q44"/>
  <c r="V44"/>
  <c r="T43"/>
  <c r="U43" s="1"/>
  <c r="N43"/>
  <c r="N170"/>
  <c r="T170"/>
  <c r="U170" s="1"/>
  <c r="T172" i="6" l="1"/>
  <c r="U172" s="1"/>
  <c r="V172" s="1"/>
  <c r="T171"/>
  <c r="U171" s="1"/>
  <c r="V171" s="1"/>
  <c r="T159"/>
  <c r="U159" s="1"/>
  <c r="V159" s="1"/>
  <c r="T158"/>
  <c r="U158" s="1"/>
  <c r="V158" s="1"/>
  <c r="T145"/>
  <c r="U145" s="1"/>
  <c r="V145" s="1"/>
  <c r="T133"/>
  <c r="U133" s="1"/>
  <c r="V133" s="1"/>
  <c r="T132"/>
  <c r="U132" s="1"/>
  <c r="V132" s="1"/>
  <c r="Q111"/>
  <c r="T118"/>
  <c r="U118" s="1"/>
  <c r="V118" s="1"/>
  <c r="T117"/>
  <c r="U117" s="1"/>
  <c r="V117" s="1"/>
  <c r="T103"/>
  <c r="U103" s="1"/>
  <c r="V103" s="1"/>
  <c r="T102"/>
  <c r="U102" s="1"/>
  <c r="V102" s="1"/>
  <c r="T89" l="1"/>
  <c r="U89" s="1"/>
  <c r="V89" s="1"/>
  <c r="T88"/>
  <c r="U88" s="1"/>
  <c r="V88" s="1"/>
  <c r="T75"/>
  <c r="U75" s="1"/>
  <c r="V75" s="1"/>
  <c r="T61"/>
  <c r="U61" s="1"/>
  <c r="V61" s="1"/>
  <c r="T60"/>
  <c r="U60" s="1"/>
  <c r="V60" s="1"/>
  <c r="T47"/>
  <c r="U47" s="1"/>
  <c r="V47" s="1"/>
  <c r="T46"/>
  <c r="U46" s="1"/>
  <c r="V46" s="1"/>
  <c r="T35"/>
  <c r="U35" s="1"/>
  <c r="V35" s="1"/>
  <c r="T25"/>
  <c r="U25" s="1"/>
  <c r="V25" s="1"/>
  <c r="P15" l="1"/>
  <c r="P14" s="1"/>
  <c r="N196" i="4" l="1"/>
  <c r="N100"/>
  <c r="N99"/>
  <c r="N70"/>
  <c r="N69"/>
  <c r="N40"/>
  <c r="K186" l="1"/>
  <c r="N132" l="1"/>
  <c r="J185"/>
  <c r="T26" i="6"/>
  <c r="U26" s="1"/>
  <c r="V26" s="1"/>
  <c r="T37"/>
  <c r="U37" s="1"/>
  <c r="V37" s="1"/>
  <c r="T49"/>
  <c r="U49" s="1"/>
  <c r="V49" s="1"/>
  <c r="T63"/>
  <c r="U63" s="1"/>
  <c r="V63" s="1"/>
  <c r="T77"/>
  <c r="U77" s="1"/>
  <c r="V77" s="1"/>
  <c r="T91"/>
  <c r="U91" s="1"/>
  <c r="V91" s="1"/>
  <c r="T105"/>
  <c r="U105" s="1"/>
  <c r="V105" s="1"/>
  <c r="U120"/>
  <c r="V120" s="1"/>
  <c r="T120"/>
  <c r="T135"/>
  <c r="U135" s="1"/>
  <c r="V135" s="1"/>
  <c r="T147"/>
  <c r="U147" s="1"/>
  <c r="V147" s="1"/>
  <c r="T161"/>
  <c r="U161" s="1"/>
  <c r="V161" s="1"/>
  <c r="T174"/>
  <c r="U174" s="1"/>
  <c r="V174" s="1"/>
  <c r="T39" i="4"/>
  <c r="U39" s="1"/>
  <c r="T68"/>
  <c r="U68" s="1"/>
  <c r="Q73"/>
  <c r="Q200"/>
  <c r="Q171"/>
  <c r="Q136"/>
  <c r="Q103"/>
  <c r="T98"/>
  <c r="U98" s="1"/>
  <c r="T131"/>
  <c r="U131" s="1"/>
  <c r="T166"/>
  <c r="U166" s="1"/>
  <c r="T195"/>
  <c r="U195" s="1"/>
  <c r="X204"/>
  <c r="N195"/>
  <c r="N39"/>
  <c r="N68"/>
  <c r="N98"/>
  <c r="N131"/>
  <c r="N166"/>
  <c r="N167" l="1"/>
  <c r="N164"/>
  <c r="T164" s="1"/>
  <c r="U164" s="1"/>
  <c r="N35"/>
  <c r="T160" i="6"/>
  <c r="U160" s="1"/>
  <c r="V160" s="1"/>
  <c r="T173"/>
  <c r="U173" s="1"/>
  <c r="V173" s="1"/>
  <c r="T146"/>
  <c r="U146" s="1"/>
  <c r="V146" s="1"/>
  <c r="T134"/>
  <c r="U134" s="1"/>
  <c r="V134" s="1"/>
  <c r="T119"/>
  <c r="U119" s="1"/>
  <c r="V119" s="1"/>
  <c r="T104"/>
  <c r="U104" s="1"/>
  <c r="V104" s="1"/>
  <c r="T90"/>
  <c r="U90" s="1"/>
  <c r="V90" s="1"/>
  <c r="T76"/>
  <c r="U76" s="1"/>
  <c r="V76" s="1"/>
  <c r="T62"/>
  <c r="U62" s="1"/>
  <c r="V62" s="1"/>
  <c r="T48"/>
  <c r="U48" s="1"/>
  <c r="V48" s="1"/>
  <c r="T36"/>
  <c r="U36" s="1"/>
  <c r="V36" s="1"/>
  <c r="R28"/>
  <c r="X172" i="4"/>
  <c r="X181"/>
  <c r="X188"/>
  <c r="X164" l="1"/>
  <c r="R165"/>
  <c r="Y172" l="1"/>
  <c r="R192"/>
  <c r="J35" l="1"/>
  <c r="T35" l="1"/>
  <c r="U35" s="1"/>
  <c r="I200"/>
  <c r="H200"/>
  <c r="G200"/>
  <c r="H162"/>
  <c r="I162"/>
  <c r="T156" i="6" l="1"/>
  <c r="U156" s="1"/>
  <c r="V156" s="1"/>
  <c r="J66" i="4" l="1"/>
  <c r="N18" i="6" l="1"/>
  <c r="O18"/>
  <c r="Q16" l="1"/>
  <c r="V115" l="1"/>
  <c r="U115"/>
  <c r="V114"/>
  <c r="U114"/>
  <c r="R15"/>
  <c r="V169" l="1"/>
  <c r="U169"/>
  <c r="T169"/>
  <c r="V168"/>
  <c r="U168"/>
  <c r="V155"/>
  <c r="U155"/>
  <c r="V143"/>
  <c r="U143"/>
  <c r="V142"/>
  <c r="U142"/>
  <c r="V130"/>
  <c r="U130"/>
  <c r="V129"/>
  <c r="U129"/>
  <c r="T129"/>
  <c r="V100"/>
  <c r="U100"/>
  <c r="V99"/>
  <c r="U99"/>
  <c r="V86"/>
  <c r="U86"/>
  <c r="V85"/>
  <c r="U85"/>
  <c r="U73"/>
  <c r="V73"/>
  <c r="V72"/>
  <c r="U72"/>
  <c r="T72"/>
  <c r="V44"/>
  <c r="U44"/>
  <c r="T44"/>
  <c r="V58"/>
  <c r="U58"/>
  <c r="V57"/>
  <c r="U57"/>
  <c r="T57"/>
  <c r="T58"/>
  <c r="V43"/>
  <c r="U43"/>
  <c r="T43"/>
  <c r="V33"/>
  <c r="U33"/>
  <c r="T33"/>
  <c r="V32"/>
  <c r="U32"/>
  <c r="T32"/>
  <c r="V23"/>
  <c r="V22"/>
  <c r="U23"/>
  <c r="U22"/>
  <c r="T23"/>
  <c r="T22"/>
  <c r="T196" i="4" l="1"/>
  <c r="U196" s="1"/>
  <c r="T168" l="1"/>
  <c r="U168" s="1"/>
  <c r="T167"/>
  <c r="U167" s="1"/>
  <c r="T133"/>
  <c r="U133" s="1"/>
  <c r="T132"/>
  <c r="U132" s="1"/>
  <c r="T100"/>
  <c r="U100" s="1"/>
  <c r="T99"/>
  <c r="U99" s="1"/>
  <c r="T41" l="1"/>
  <c r="U41" s="1"/>
  <c r="T40"/>
  <c r="U40" s="1"/>
  <c r="T70"/>
  <c r="U70" s="1"/>
  <c r="T69"/>
  <c r="U69" s="1"/>
  <c r="P151" i="6"/>
  <c r="P165"/>
  <c r="P164" s="1"/>
  <c r="P139"/>
  <c r="P138" s="1"/>
  <c r="P124"/>
  <c r="P123" s="1"/>
  <c r="P109"/>
  <c r="P108" s="1"/>
  <c r="P95"/>
  <c r="P94" s="1"/>
  <c r="P81"/>
  <c r="P80" s="1"/>
  <c r="P67"/>
  <c r="P66" s="1"/>
  <c r="P52"/>
  <c r="P39"/>
  <c r="P38" s="1"/>
  <c r="P28"/>
  <c r="P27" s="1"/>
  <c r="Q201" i="4" l="1"/>
  <c r="Q29" i="6"/>
  <c r="T29" s="1"/>
  <c r="T28" s="1"/>
  <c r="W172" i="4" l="1"/>
  <c r="W173"/>
  <c r="W180"/>
  <c r="W181"/>
  <c r="W188"/>
  <c r="J74"/>
  <c r="S201"/>
  <c r="R165" i="6"/>
  <c r="T168"/>
  <c r="T155"/>
  <c r="P150"/>
  <c r="R151"/>
  <c r="R109"/>
  <c r="R124"/>
  <c r="T143"/>
  <c r="T142"/>
  <c r="R139"/>
  <c r="T130"/>
  <c r="T115"/>
  <c r="T114"/>
  <c r="T100"/>
  <c r="T99"/>
  <c r="R95"/>
  <c r="R94" s="1"/>
  <c r="T86"/>
  <c r="T85"/>
  <c r="R81"/>
  <c r="T73"/>
  <c r="R67"/>
  <c r="R53"/>
  <c r="R39"/>
  <c r="S31"/>
  <c r="S27" s="1"/>
  <c r="Q28"/>
  <c r="V166"/>
  <c r="I162"/>
  <c r="H162"/>
  <c r="F162"/>
  <c r="E162"/>
  <c r="V153"/>
  <c r="Q153"/>
  <c r="V152"/>
  <c r="Q152"/>
  <c r="I136"/>
  <c r="H136"/>
  <c r="F136"/>
  <c r="E136"/>
  <c r="V128"/>
  <c r="Q128"/>
  <c r="Q127"/>
  <c r="V126"/>
  <c r="Q126"/>
  <c r="V112"/>
  <c r="Q112"/>
  <c r="E106"/>
  <c r="N106" s="1"/>
  <c r="V98"/>
  <c r="V96"/>
  <c r="I78"/>
  <c r="H78"/>
  <c r="F78"/>
  <c r="E78"/>
  <c r="G71"/>
  <c r="V70"/>
  <c r="Q70"/>
  <c r="Q69"/>
  <c r="Q68"/>
  <c r="E64"/>
  <c r="Q55"/>
  <c r="U54"/>
  <c r="Q54"/>
  <c r="V42"/>
  <c r="N30"/>
  <c r="N28" s="1"/>
  <c r="E20"/>
  <c r="N20" s="1"/>
  <c r="U17"/>
  <c r="M16"/>
  <c r="R194" i="4"/>
  <c r="P194"/>
  <c r="M194"/>
  <c r="I194"/>
  <c r="H194"/>
  <c r="F194"/>
  <c r="E194"/>
  <c r="J193"/>
  <c r="I192"/>
  <c r="H192"/>
  <c r="G192"/>
  <c r="F192"/>
  <c r="E192"/>
  <c r="J191"/>
  <c r="T191"/>
  <c r="U191" s="1"/>
  <c r="J190"/>
  <c r="T190"/>
  <c r="U190" s="1"/>
  <c r="P192"/>
  <c r="U186"/>
  <c r="T186"/>
  <c r="J186"/>
  <c r="O186"/>
  <c r="N186" s="1"/>
  <c r="U184"/>
  <c r="T184"/>
  <c r="J184"/>
  <c r="O184"/>
  <c r="N184" s="1"/>
  <c r="U183"/>
  <c r="T183"/>
  <c r="J183"/>
  <c r="O183"/>
  <c r="N183" s="1"/>
  <c r="N181"/>
  <c r="T181" s="1"/>
  <c r="U181" s="1"/>
  <c r="J178"/>
  <c r="G178"/>
  <c r="O178" s="1"/>
  <c r="J175"/>
  <c r="O175"/>
  <c r="P165"/>
  <c r="M165"/>
  <c r="J163"/>
  <c r="J161"/>
  <c r="T161" s="1"/>
  <c r="G161"/>
  <c r="U160"/>
  <c r="T160"/>
  <c r="J160"/>
  <c r="G160"/>
  <c r="O160" s="1"/>
  <c r="N160" s="1"/>
  <c r="J158"/>
  <c r="J157"/>
  <c r="T157" s="1"/>
  <c r="G162"/>
  <c r="I156"/>
  <c r="H156"/>
  <c r="F156"/>
  <c r="E156"/>
  <c r="J155"/>
  <c r="U155" s="1"/>
  <c r="G155"/>
  <c r="O155" s="1"/>
  <c r="N155" s="1"/>
  <c r="R154"/>
  <c r="J154"/>
  <c r="T154" s="1"/>
  <c r="U153"/>
  <c r="T153"/>
  <c r="J153"/>
  <c r="O153"/>
  <c r="N153" s="1"/>
  <c r="U152"/>
  <c r="T152"/>
  <c r="J152"/>
  <c r="O152"/>
  <c r="N152" s="1"/>
  <c r="U151"/>
  <c r="T151"/>
  <c r="J151"/>
  <c r="O151"/>
  <c r="N151" s="1"/>
  <c r="J149"/>
  <c r="R149"/>
  <c r="J148"/>
  <c r="T148" s="1"/>
  <c r="P148"/>
  <c r="I147"/>
  <c r="H147"/>
  <c r="H171" s="1"/>
  <c r="F147"/>
  <c r="E147"/>
  <c r="J146"/>
  <c r="U146" s="1"/>
  <c r="G146"/>
  <c r="O146" s="1"/>
  <c r="N146" s="1"/>
  <c r="J145"/>
  <c r="T145" s="1"/>
  <c r="R145"/>
  <c r="U144"/>
  <c r="T144"/>
  <c r="J144"/>
  <c r="O144"/>
  <c r="N144" s="1"/>
  <c r="U143"/>
  <c r="T143"/>
  <c r="J143"/>
  <c r="O143"/>
  <c r="N143" s="1"/>
  <c r="U142"/>
  <c r="T142"/>
  <c r="J142"/>
  <c r="O142"/>
  <c r="N142" s="1"/>
  <c r="U141"/>
  <c r="T141"/>
  <c r="J141"/>
  <c r="O141"/>
  <c r="N141" s="1"/>
  <c r="U140"/>
  <c r="T140"/>
  <c r="J140"/>
  <c r="O140"/>
  <c r="N140" s="1"/>
  <c r="U139"/>
  <c r="T139"/>
  <c r="J139"/>
  <c r="O139"/>
  <c r="N139" s="1"/>
  <c r="J137"/>
  <c r="R130"/>
  <c r="P130"/>
  <c r="M130"/>
  <c r="I130"/>
  <c r="H130"/>
  <c r="F130"/>
  <c r="E130"/>
  <c r="J129"/>
  <c r="I128"/>
  <c r="H128"/>
  <c r="F128"/>
  <c r="E128"/>
  <c r="G127"/>
  <c r="P127" s="1"/>
  <c r="U126"/>
  <c r="T126"/>
  <c r="J126"/>
  <c r="G126"/>
  <c r="O126" s="1"/>
  <c r="N126" s="1"/>
  <c r="J124"/>
  <c r="I123"/>
  <c r="H123"/>
  <c r="F123"/>
  <c r="E123"/>
  <c r="J122"/>
  <c r="T122" s="1"/>
  <c r="R122"/>
  <c r="U121"/>
  <c r="T121"/>
  <c r="J121"/>
  <c r="O121"/>
  <c r="N121" s="1"/>
  <c r="U120"/>
  <c r="T120"/>
  <c r="J120"/>
  <c r="O120"/>
  <c r="N120" s="1"/>
  <c r="U119"/>
  <c r="T119"/>
  <c r="J119"/>
  <c r="O119"/>
  <c r="N119" s="1"/>
  <c r="U118"/>
  <c r="T118"/>
  <c r="J118"/>
  <c r="O118"/>
  <c r="N118" s="1"/>
  <c r="U117"/>
  <c r="T117"/>
  <c r="J117"/>
  <c r="O117"/>
  <c r="N117" s="1"/>
  <c r="J115"/>
  <c r="I114"/>
  <c r="H114"/>
  <c r="H136" s="1"/>
  <c r="F114"/>
  <c r="E114"/>
  <c r="J113"/>
  <c r="R113"/>
  <c r="U112"/>
  <c r="T112"/>
  <c r="J112"/>
  <c r="O112"/>
  <c r="N112" s="1"/>
  <c r="U111"/>
  <c r="T111"/>
  <c r="J111"/>
  <c r="O111"/>
  <c r="N111" s="1"/>
  <c r="U110"/>
  <c r="T110"/>
  <c r="J110"/>
  <c r="O110"/>
  <c r="N110" s="1"/>
  <c r="U109"/>
  <c r="T109"/>
  <c r="J109"/>
  <c r="O109"/>
  <c r="N109" s="1"/>
  <c r="U108"/>
  <c r="T108"/>
  <c r="J108"/>
  <c r="O108"/>
  <c r="N108" s="1"/>
  <c r="U107"/>
  <c r="T107"/>
  <c r="J107"/>
  <c r="O107"/>
  <c r="N107" s="1"/>
  <c r="U106"/>
  <c r="T106"/>
  <c r="J106"/>
  <c r="O106"/>
  <c r="N106" s="1"/>
  <c r="J104"/>
  <c r="R97"/>
  <c r="P97"/>
  <c r="M97"/>
  <c r="I97"/>
  <c r="H97"/>
  <c r="F97"/>
  <c r="E97"/>
  <c r="J96"/>
  <c r="I95"/>
  <c r="H95"/>
  <c r="F95"/>
  <c r="E95"/>
  <c r="J94"/>
  <c r="G94"/>
  <c r="U93"/>
  <c r="T93"/>
  <c r="J93"/>
  <c r="G93"/>
  <c r="O93" s="1"/>
  <c r="N93" s="1"/>
  <c r="U92"/>
  <c r="T92"/>
  <c r="J92"/>
  <c r="G92"/>
  <c r="O92" s="1"/>
  <c r="N92" s="1"/>
  <c r="J90"/>
  <c r="I89"/>
  <c r="H89"/>
  <c r="F89"/>
  <c r="E89"/>
  <c r="J88"/>
  <c r="T88" s="1"/>
  <c r="R88"/>
  <c r="U87"/>
  <c r="T87"/>
  <c r="J87"/>
  <c r="O87"/>
  <c r="N87" s="1"/>
  <c r="U86"/>
  <c r="T86"/>
  <c r="J86"/>
  <c r="O86"/>
  <c r="N86" s="1"/>
  <c r="U85"/>
  <c r="T85"/>
  <c r="J85"/>
  <c r="O85"/>
  <c r="N85" s="1"/>
  <c r="J83"/>
  <c r="G89"/>
  <c r="I82"/>
  <c r="I103" s="1"/>
  <c r="H82"/>
  <c r="H103" s="1"/>
  <c r="F82"/>
  <c r="E82"/>
  <c r="J81"/>
  <c r="R81"/>
  <c r="U80"/>
  <c r="T80"/>
  <c r="J80"/>
  <c r="O80"/>
  <c r="N80" s="1"/>
  <c r="U79"/>
  <c r="T79"/>
  <c r="J79"/>
  <c r="O79"/>
  <c r="N79" s="1"/>
  <c r="U78"/>
  <c r="T78"/>
  <c r="J78"/>
  <c r="O78"/>
  <c r="N78" s="1"/>
  <c r="U77"/>
  <c r="T77"/>
  <c r="J77"/>
  <c r="O77"/>
  <c r="N77" s="1"/>
  <c r="U76"/>
  <c r="T76"/>
  <c r="J76"/>
  <c r="O76"/>
  <c r="N76" s="1"/>
  <c r="R67"/>
  <c r="P67"/>
  <c r="M67"/>
  <c r="I67"/>
  <c r="H67"/>
  <c r="F67"/>
  <c r="E67"/>
  <c r="O67"/>
  <c r="I65"/>
  <c r="H65"/>
  <c r="F65"/>
  <c r="E65"/>
  <c r="R64"/>
  <c r="P64"/>
  <c r="U64"/>
  <c r="U63"/>
  <c r="T63"/>
  <c r="J63"/>
  <c r="O63"/>
  <c r="N63" s="1"/>
  <c r="J61"/>
  <c r="I60"/>
  <c r="H60"/>
  <c r="F60"/>
  <c r="E60"/>
  <c r="J59"/>
  <c r="T59" s="1"/>
  <c r="G59"/>
  <c r="R59" s="1"/>
  <c r="U58"/>
  <c r="T58"/>
  <c r="J58"/>
  <c r="O58"/>
  <c r="N58" s="1"/>
  <c r="U57"/>
  <c r="T57"/>
  <c r="J57"/>
  <c r="O57"/>
  <c r="N57" s="1"/>
  <c r="U56"/>
  <c r="T56"/>
  <c r="J56"/>
  <c r="O56"/>
  <c r="N56" s="1"/>
  <c r="J54"/>
  <c r="I53"/>
  <c r="H53"/>
  <c r="H73" s="1"/>
  <c r="F53"/>
  <c r="E53"/>
  <c r="R52"/>
  <c r="P52"/>
  <c r="J52"/>
  <c r="U51"/>
  <c r="T51"/>
  <c r="J51"/>
  <c r="O51"/>
  <c r="N51" s="1"/>
  <c r="U50"/>
  <c r="T50"/>
  <c r="J50"/>
  <c r="O50"/>
  <c r="N50" s="1"/>
  <c r="U49"/>
  <c r="T49"/>
  <c r="J49"/>
  <c r="O49"/>
  <c r="N49" s="1"/>
  <c r="U48"/>
  <c r="T48"/>
  <c r="J48"/>
  <c r="O48"/>
  <c r="N48" s="1"/>
  <c r="U47"/>
  <c r="T47"/>
  <c r="J47"/>
  <c r="O47"/>
  <c r="N47" s="1"/>
  <c r="J45"/>
  <c r="R38"/>
  <c r="P38"/>
  <c r="M38"/>
  <c r="I38"/>
  <c r="H38"/>
  <c r="F38"/>
  <c r="E38"/>
  <c r="J37"/>
  <c r="U34"/>
  <c r="T34"/>
  <c r="U33"/>
  <c r="T33"/>
  <c r="J33"/>
  <c r="G33"/>
  <c r="O33" s="1"/>
  <c r="N33" s="1"/>
  <c r="J31"/>
  <c r="P31"/>
  <c r="P36" s="1"/>
  <c r="I30"/>
  <c r="H30"/>
  <c r="F30"/>
  <c r="E30"/>
  <c r="J29"/>
  <c r="R29"/>
  <c r="U28"/>
  <c r="T28"/>
  <c r="J28"/>
  <c r="O28"/>
  <c r="N28" s="1"/>
  <c r="U27"/>
  <c r="T27"/>
  <c r="J27"/>
  <c r="O27"/>
  <c r="N27" s="1"/>
  <c r="U26"/>
  <c r="T26"/>
  <c r="J26"/>
  <c r="O26"/>
  <c r="N26" s="1"/>
  <c r="J24"/>
  <c r="I23"/>
  <c r="H23"/>
  <c r="F23"/>
  <c r="E23"/>
  <c r="J22"/>
  <c r="T22" s="1"/>
  <c r="U21"/>
  <c r="T21"/>
  <c r="J21"/>
  <c r="O21"/>
  <c r="N21" s="1"/>
  <c r="U20"/>
  <c r="T20"/>
  <c r="J20"/>
  <c r="G20"/>
  <c r="O20" s="1"/>
  <c r="N20" s="1"/>
  <c r="U19"/>
  <c r="T19"/>
  <c r="J19"/>
  <c r="O19"/>
  <c r="N19" s="1"/>
  <c r="U18"/>
  <c r="T18"/>
  <c r="J18"/>
  <c r="O18"/>
  <c r="N18" s="1"/>
  <c r="U17"/>
  <c r="T17"/>
  <c r="J17"/>
  <c r="O17"/>
  <c r="N17" s="1"/>
  <c r="U16"/>
  <c r="T16"/>
  <c r="J16"/>
  <c r="O16"/>
  <c r="N16" s="1"/>
  <c r="U15"/>
  <c r="T15"/>
  <c r="J15"/>
  <c r="O15"/>
  <c r="N15" s="1"/>
  <c r="U14"/>
  <c r="T14"/>
  <c r="J14"/>
  <c r="G14"/>
  <c r="O14" s="1"/>
  <c r="N14" s="1"/>
  <c r="J12"/>
  <c r="Q102" i="3"/>
  <c r="S103"/>
  <c r="S97"/>
  <c r="S96"/>
  <c r="S90"/>
  <c r="S89"/>
  <c r="S83"/>
  <c r="S82"/>
  <c r="S73"/>
  <c r="S72"/>
  <c r="S63"/>
  <c r="S62"/>
  <c r="S56"/>
  <c r="S55"/>
  <c r="S48"/>
  <c r="S47"/>
  <c r="S40"/>
  <c r="S39"/>
  <c r="S33"/>
  <c r="S32"/>
  <c r="S25"/>
  <c r="S24"/>
  <c r="S20"/>
  <c r="S19"/>
  <c r="Q22"/>
  <c r="G165" i="4" l="1"/>
  <c r="G38"/>
  <c r="H44"/>
  <c r="V95" i="6"/>
  <c r="V140"/>
  <c r="X27"/>
  <c r="Y27" s="1"/>
  <c r="I44" i="4"/>
  <c r="I171"/>
  <c r="U193"/>
  <c r="I73"/>
  <c r="I136"/>
  <c r="R22"/>
  <c r="R23" s="1"/>
  <c r="O22"/>
  <c r="R31"/>
  <c r="R36" s="1"/>
  <c r="R44" s="1"/>
  <c r="R61"/>
  <c r="R65" s="1"/>
  <c r="P61"/>
  <c r="G114"/>
  <c r="G128"/>
  <c r="R124"/>
  <c r="P124"/>
  <c r="G147"/>
  <c r="G23"/>
  <c r="R12"/>
  <c r="R45"/>
  <c r="G67"/>
  <c r="R90"/>
  <c r="R95" s="1"/>
  <c r="P90"/>
  <c r="G97"/>
  <c r="G130"/>
  <c r="R158"/>
  <c r="N163"/>
  <c r="P185"/>
  <c r="P187" s="1"/>
  <c r="G194"/>
  <c r="O42" i="6"/>
  <c r="N42"/>
  <c r="R177"/>
  <c r="O39"/>
  <c r="Q96"/>
  <c r="O96"/>
  <c r="Q97"/>
  <c r="O97"/>
  <c r="Q125"/>
  <c r="Q124" s="1"/>
  <c r="O56"/>
  <c r="Q110"/>
  <c r="Q109" s="1"/>
  <c r="Q140"/>
  <c r="Q53"/>
  <c r="Q82"/>
  <c r="Q83"/>
  <c r="N83"/>
  <c r="Q166"/>
  <c r="O166"/>
  <c r="V31"/>
  <c r="T31"/>
  <c r="U31"/>
  <c r="Q17"/>
  <c r="N17"/>
  <c r="Q18"/>
  <c r="Q151"/>
  <c r="T27"/>
  <c r="G136"/>
  <c r="T136" s="1"/>
  <c r="G162"/>
  <c r="Q167"/>
  <c r="V18"/>
  <c r="U18"/>
  <c r="G82" i="4"/>
  <c r="R74"/>
  <c r="N74" s="1"/>
  <c r="T74" s="1"/>
  <c r="U74" s="1"/>
  <c r="U42" i="6"/>
  <c r="O52" i="4"/>
  <c r="N52" s="1"/>
  <c r="P88"/>
  <c r="P95"/>
  <c r="T146"/>
  <c r="O179"/>
  <c r="R179"/>
  <c r="R53"/>
  <c r="J64"/>
  <c r="T64"/>
  <c r="O154"/>
  <c r="N180"/>
  <c r="T180" s="1"/>
  <c r="R187"/>
  <c r="R200" s="1"/>
  <c r="O17" i="6"/>
  <c r="Q67"/>
  <c r="O70"/>
  <c r="G78"/>
  <c r="O92"/>
  <c r="O128"/>
  <c r="O141"/>
  <c r="O152"/>
  <c r="O54"/>
  <c r="T83"/>
  <c r="O112"/>
  <c r="O153"/>
  <c r="U29"/>
  <c r="U28" s="1"/>
  <c r="O162"/>
  <c r="N162"/>
  <c r="V17"/>
  <c r="Q40"/>
  <c r="Q41"/>
  <c r="Q42"/>
  <c r="N50"/>
  <c r="V54"/>
  <c r="N27"/>
  <c r="N177" s="1"/>
  <c r="O50"/>
  <c r="N54"/>
  <c r="T55"/>
  <c r="N64"/>
  <c r="N70"/>
  <c r="U70"/>
  <c r="T71"/>
  <c r="U83"/>
  <c r="V83" s="1"/>
  <c r="T84"/>
  <c r="N96"/>
  <c r="U96"/>
  <c r="T97"/>
  <c r="N112"/>
  <c r="T112" s="1"/>
  <c r="U112"/>
  <c r="N126"/>
  <c r="T126" s="1"/>
  <c r="U126"/>
  <c r="T127"/>
  <c r="N128"/>
  <c r="T128" s="1"/>
  <c r="U128"/>
  <c r="T141"/>
  <c r="U141" s="1"/>
  <c r="N152"/>
  <c r="U152"/>
  <c r="N153"/>
  <c r="T153" s="1"/>
  <c r="U153"/>
  <c r="N166"/>
  <c r="U166"/>
  <c r="G30" i="4"/>
  <c r="P29"/>
  <c r="G60"/>
  <c r="P59"/>
  <c r="P65"/>
  <c r="G65"/>
  <c r="G95"/>
  <c r="G123"/>
  <c r="P122"/>
  <c r="O127"/>
  <c r="P145"/>
  <c r="G156"/>
  <c r="P154"/>
  <c r="T155"/>
  <c r="P157"/>
  <c r="P179"/>
  <c r="T173"/>
  <c r="U173" s="1"/>
  <c r="O190"/>
  <c r="N190" s="1"/>
  <c r="O165"/>
  <c r="O191"/>
  <c r="N191" s="1"/>
  <c r="U22"/>
  <c r="U24"/>
  <c r="T24"/>
  <c r="G53"/>
  <c r="P53"/>
  <c r="U52"/>
  <c r="T52"/>
  <c r="U81"/>
  <c r="T81"/>
  <c r="U83"/>
  <c r="T83"/>
  <c r="T89" s="1"/>
  <c r="P22"/>
  <c r="P23" s="1"/>
  <c r="P24"/>
  <c r="O29"/>
  <c r="O31"/>
  <c r="O36" s="1"/>
  <c r="P128"/>
  <c r="U54"/>
  <c r="T54"/>
  <c r="T60" s="1"/>
  <c r="T94"/>
  <c r="U94"/>
  <c r="U113"/>
  <c r="T113"/>
  <c r="U115"/>
  <c r="T115"/>
  <c r="T123" s="1"/>
  <c r="U149"/>
  <c r="T149"/>
  <c r="O24"/>
  <c r="R24"/>
  <c r="R30" s="1"/>
  <c r="P54"/>
  <c r="O59"/>
  <c r="N59" s="1"/>
  <c r="U59"/>
  <c r="O61"/>
  <c r="O64"/>
  <c r="N64" s="1"/>
  <c r="R82"/>
  <c r="P81"/>
  <c r="P82" s="1"/>
  <c r="P83"/>
  <c r="P89" s="1"/>
  <c r="O88"/>
  <c r="U88"/>
  <c r="O90"/>
  <c r="O94"/>
  <c r="N96"/>
  <c r="R104"/>
  <c r="R114" s="1"/>
  <c r="P113"/>
  <c r="P115"/>
  <c r="P123" s="1"/>
  <c r="O122"/>
  <c r="U122"/>
  <c r="O124"/>
  <c r="R128"/>
  <c r="J127"/>
  <c r="P147"/>
  <c r="O145"/>
  <c r="U145"/>
  <c r="O148"/>
  <c r="R148"/>
  <c r="R156" s="1"/>
  <c r="U148"/>
  <c r="P149"/>
  <c r="P156" s="1"/>
  <c r="U154"/>
  <c r="O157"/>
  <c r="R157"/>
  <c r="U157"/>
  <c r="U161"/>
  <c r="N172"/>
  <c r="U180"/>
  <c r="N188"/>
  <c r="O54"/>
  <c r="R54"/>
  <c r="R60" s="1"/>
  <c r="O81"/>
  <c r="O83"/>
  <c r="R83"/>
  <c r="R89" s="1"/>
  <c r="O113"/>
  <c r="N113" s="1"/>
  <c r="O115"/>
  <c r="R115"/>
  <c r="R123" s="1"/>
  <c r="R137"/>
  <c r="R147" s="1"/>
  <c r="O149"/>
  <c r="O158"/>
  <c r="O185"/>
  <c r="U241" i="3"/>
  <c r="T241"/>
  <c r="N165" i="4" l="1"/>
  <c r="U163"/>
  <c r="U165" s="1"/>
  <c r="V141" i="6"/>
  <c r="V139" s="1"/>
  <c r="U139"/>
  <c r="T172" i="4"/>
  <c r="U172" s="1"/>
  <c r="V172"/>
  <c r="N158"/>
  <c r="P200"/>
  <c r="X163"/>
  <c r="R136"/>
  <c r="R103"/>
  <c r="P103"/>
  <c r="W36"/>
  <c r="N175" i="6"/>
  <c r="V163"/>
  <c r="O136"/>
  <c r="O165"/>
  <c r="O175"/>
  <c r="T98"/>
  <c r="W98" s="1"/>
  <c r="N136"/>
  <c r="T137"/>
  <c r="Q150"/>
  <c r="W23" i="4"/>
  <c r="T125" i="6"/>
  <c r="T124" s="1"/>
  <c r="T70"/>
  <c r="N121"/>
  <c r="O121"/>
  <c r="O53"/>
  <c r="T56"/>
  <c r="U56" s="1"/>
  <c r="V56" s="1"/>
  <c r="V53" s="1"/>
  <c r="N53"/>
  <c r="N52" s="1"/>
  <c r="T140"/>
  <c r="T139" s="1"/>
  <c r="Q52"/>
  <c r="N151"/>
  <c r="N150" s="1"/>
  <c r="O67"/>
  <c r="O151"/>
  <c r="N81"/>
  <c r="Q108"/>
  <c r="X108" s="1"/>
  <c r="Y108" s="1"/>
  <c r="O124"/>
  <c r="Q66"/>
  <c r="X66" s="1"/>
  <c r="Y66" s="1"/>
  <c r="Q81"/>
  <c r="O139"/>
  <c r="O109"/>
  <c r="O108" s="1"/>
  <c r="O81"/>
  <c r="O80" s="1"/>
  <c r="Q123"/>
  <c r="X123" s="1"/>
  <c r="Y123" s="1"/>
  <c r="O95"/>
  <c r="U95"/>
  <c r="Q165"/>
  <c r="T154"/>
  <c r="U154" s="1"/>
  <c r="U151" s="1"/>
  <c r="N95"/>
  <c r="N94" s="1"/>
  <c r="N139"/>
  <c r="N124"/>
  <c r="T69"/>
  <c r="N67"/>
  <c r="X138"/>
  <c r="N165"/>
  <c r="N164" s="1"/>
  <c r="N109"/>
  <c r="N108" s="1"/>
  <c r="N149" i="4"/>
  <c r="T158"/>
  <c r="U158" s="1"/>
  <c r="U162" s="1"/>
  <c r="R162"/>
  <c r="R171" s="1"/>
  <c r="N122"/>
  <c r="N88"/>
  <c r="P30"/>
  <c r="P44" s="1"/>
  <c r="G73"/>
  <c r="N154"/>
  <c r="G44"/>
  <c r="G171"/>
  <c r="Y164" s="1"/>
  <c r="Z164" s="1"/>
  <c r="Z165" s="1"/>
  <c r="G103"/>
  <c r="N12"/>
  <c r="T12" s="1"/>
  <c r="G136"/>
  <c r="Q95" i="6"/>
  <c r="T82"/>
  <c r="T51"/>
  <c r="S21"/>
  <c r="T21" s="1"/>
  <c r="V93"/>
  <c r="U30"/>
  <c r="V30" s="1"/>
  <c r="N97" i="4"/>
  <c r="T97" s="1"/>
  <c r="U97" s="1"/>
  <c r="T96"/>
  <c r="U96" s="1"/>
  <c r="T19" i="6"/>
  <c r="T15" s="1"/>
  <c r="T17"/>
  <c r="T175"/>
  <c r="T167"/>
  <c r="U167" s="1"/>
  <c r="V167" s="1"/>
  <c r="V165" s="1"/>
  <c r="V164" s="1"/>
  <c r="N148"/>
  <c r="O148"/>
  <c r="N78"/>
  <c r="O78"/>
  <c r="V176"/>
  <c r="U176"/>
  <c r="T176"/>
  <c r="S164"/>
  <c r="U163"/>
  <c r="T163"/>
  <c r="U137"/>
  <c r="U122"/>
  <c r="V122"/>
  <c r="S108"/>
  <c r="T122"/>
  <c r="U149"/>
  <c r="T50"/>
  <c r="U50" s="1"/>
  <c r="V50" s="1"/>
  <c r="T111"/>
  <c r="N92"/>
  <c r="T92" s="1"/>
  <c r="U92" s="1"/>
  <c r="V92" s="1"/>
  <c r="T68"/>
  <c r="V79"/>
  <c r="U79"/>
  <c r="T79"/>
  <c r="S66"/>
  <c r="N192" i="4"/>
  <c r="U188"/>
  <c r="U192" s="1"/>
  <c r="T188"/>
  <c r="T192" s="1"/>
  <c r="U179"/>
  <c r="T18" i="6"/>
  <c r="T16"/>
  <c r="P162" i="4"/>
  <c r="P171" s="1"/>
  <c r="N145"/>
  <c r="P114"/>
  <c r="P136" s="1"/>
  <c r="P60"/>
  <c r="N29"/>
  <c r="T29" s="1"/>
  <c r="U29" s="1"/>
  <c r="U30" s="1"/>
  <c r="X150" i="6"/>
  <c r="Y150" s="1"/>
  <c r="N66" i="4"/>
  <c r="T156"/>
  <c r="O192"/>
  <c r="T42" i="6"/>
  <c r="T41"/>
  <c r="U41" s="1"/>
  <c r="V41" s="1"/>
  <c r="V39" s="1"/>
  <c r="T162"/>
  <c r="U162" s="1"/>
  <c r="V162" s="1"/>
  <c r="U136"/>
  <c r="V136" s="1"/>
  <c r="O150"/>
  <c r="O106"/>
  <c r="O94" s="1"/>
  <c r="T166"/>
  <c r="T152"/>
  <c r="W140"/>
  <c r="T110"/>
  <c r="O20"/>
  <c r="V29"/>
  <c r="V28" s="1"/>
  <c r="Q39"/>
  <c r="T96"/>
  <c r="O64"/>
  <c r="O52" s="1"/>
  <c r="T64"/>
  <c r="U64" s="1"/>
  <c r="V64" s="1"/>
  <c r="T54"/>
  <c r="T40"/>
  <c r="N185" i="4"/>
  <c r="T185" s="1"/>
  <c r="U185" s="1"/>
  <c r="N81"/>
  <c r="N82" s="1"/>
  <c r="T82" s="1"/>
  <c r="O123"/>
  <c r="N115"/>
  <c r="O162"/>
  <c r="N157"/>
  <c r="N162" s="1"/>
  <c r="N104"/>
  <c r="O114"/>
  <c r="O82"/>
  <c r="O89"/>
  <c r="N83"/>
  <c r="N89" s="1"/>
  <c r="N193"/>
  <c r="N194" s="1"/>
  <c r="T194" s="1"/>
  <c r="U194" s="1"/>
  <c r="O194"/>
  <c r="O156"/>
  <c r="N148"/>
  <c r="N129"/>
  <c r="O130"/>
  <c r="N124"/>
  <c r="O128"/>
  <c r="O95"/>
  <c r="N90"/>
  <c r="O65"/>
  <c r="N61"/>
  <c r="O38"/>
  <c r="N37"/>
  <c r="N31"/>
  <c r="N36" s="1"/>
  <c r="O23"/>
  <c r="O187"/>
  <c r="U156"/>
  <c r="W136"/>
  <c r="X136" s="1"/>
  <c r="W103"/>
  <c r="X103" s="1"/>
  <c r="N22"/>
  <c r="U123"/>
  <c r="U60"/>
  <c r="O147"/>
  <c r="N137"/>
  <c r="O60"/>
  <c r="N54"/>
  <c r="N60" s="1"/>
  <c r="U127"/>
  <c r="T127"/>
  <c r="O30"/>
  <c r="N24"/>
  <c r="O53"/>
  <c r="N45"/>
  <c r="U89"/>
  <c r="N22" i="3"/>
  <c r="T109" i="6" l="1"/>
  <c r="T108" s="1"/>
  <c r="X52"/>
  <c r="Y52" s="1"/>
  <c r="N123" i="4"/>
  <c r="V149" i="6"/>
  <c r="S138"/>
  <c r="S150"/>
  <c r="S123"/>
  <c r="V137"/>
  <c r="T123"/>
  <c r="O200" i="4"/>
  <c r="T162"/>
  <c r="O171"/>
  <c r="N171" s="1"/>
  <c r="O136"/>
  <c r="N136" s="1"/>
  <c r="O103"/>
  <c r="N73"/>
  <c r="O44"/>
  <c r="N44" s="1"/>
  <c r="O164" i="6"/>
  <c r="O123"/>
  <c r="T165"/>
  <c r="T164" s="1"/>
  <c r="T121"/>
  <c r="U121" s="1"/>
  <c r="V121" s="1"/>
  <c r="T53"/>
  <c r="T95"/>
  <c r="T151"/>
  <c r="T150" s="1"/>
  <c r="T39"/>
  <c r="V51"/>
  <c r="V38" s="1"/>
  <c r="N123"/>
  <c r="U125"/>
  <c r="U124" s="1"/>
  <c r="U123" s="1"/>
  <c r="U93"/>
  <c r="T67"/>
  <c r="W67" s="1"/>
  <c r="N66"/>
  <c r="T81"/>
  <c r="U39"/>
  <c r="U51"/>
  <c r="U21"/>
  <c r="V21"/>
  <c r="Q14"/>
  <c r="S80"/>
  <c r="T149"/>
  <c r="S38"/>
  <c r="T93"/>
  <c r="U53"/>
  <c r="Q94"/>
  <c r="X94" s="1"/>
  <c r="Y94" s="1"/>
  <c r="Q164"/>
  <c r="X164" s="1"/>
  <c r="Y164" s="1"/>
  <c r="Q80"/>
  <c r="X80" s="1"/>
  <c r="Y80" s="1"/>
  <c r="N156" i="4"/>
  <c r="U165" i="6"/>
  <c r="U164" s="1"/>
  <c r="U82" i="4"/>
  <c r="V27" i="6"/>
  <c r="U110"/>
  <c r="U109" s="1"/>
  <c r="X38"/>
  <c r="Y38" s="1"/>
  <c r="U82"/>
  <c r="U81" s="1"/>
  <c r="Y138"/>
  <c r="W73" i="4"/>
  <c r="X73" s="1"/>
  <c r="P201"/>
  <c r="W200"/>
  <c r="X200" s="1"/>
  <c r="U12"/>
  <c r="U23" s="1"/>
  <c r="T23"/>
  <c r="U27" i="6"/>
  <c r="T78"/>
  <c r="U78" s="1"/>
  <c r="V78" s="1"/>
  <c r="W44" i="4"/>
  <c r="X44" s="1"/>
  <c r="U16" i="6"/>
  <c r="U15" s="1"/>
  <c r="N147" i="4"/>
  <c r="T137"/>
  <c r="N130"/>
  <c r="T130" s="1"/>
  <c r="U130" s="1"/>
  <c r="T129"/>
  <c r="U129" s="1"/>
  <c r="N114"/>
  <c r="T104"/>
  <c r="U104" s="1"/>
  <c r="N67"/>
  <c r="T67" s="1"/>
  <c r="U67" s="1"/>
  <c r="T66"/>
  <c r="U66" s="1"/>
  <c r="N53"/>
  <c r="T45"/>
  <c r="U68" i="6"/>
  <c r="U67" s="1"/>
  <c r="V154"/>
  <c r="V151" s="1"/>
  <c r="U150"/>
  <c r="N95" i="4"/>
  <c r="T90"/>
  <c r="N65"/>
  <c r="T61"/>
  <c r="T31"/>
  <c r="T36" s="1"/>
  <c r="N23"/>
  <c r="N38"/>
  <c r="T37"/>
  <c r="N138" i="6"/>
  <c r="O66"/>
  <c r="O138"/>
  <c r="T148"/>
  <c r="U148" s="1"/>
  <c r="V148" s="1"/>
  <c r="N80"/>
  <c r="U65"/>
  <c r="V65"/>
  <c r="V52" s="1"/>
  <c r="T65"/>
  <c r="S52"/>
  <c r="U107"/>
  <c r="V107"/>
  <c r="T107"/>
  <c r="S94"/>
  <c r="T20"/>
  <c r="U20" s="1"/>
  <c r="V20" s="1"/>
  <c r="T30" i="4"/>
  <c r="N30"/>
  <c r="N128"/>
  <c r="T124"/>
  <c r="U124" s="1"/>
  <c r="U128" s="1"/>
  <c r="T106" i="6"/>
  <c r="N187" i="4"/>
  <c r="N103"/>
  <c r="U255" i="3"/>
  <c r="T255"/>
  <c r="T259" s="1"/>
  <c r="Q255"/>
  <c r="Q259" s="1"/>
  <c r="U248"/>
  <c r="T248"/>
  <c r="Q248"/>
  <c r="U247"/>
  <c r="T247"/>
  <c r="Q247"/>
  <c r="V138" i="6" l="1"/>
  <c r="V177" s="1"/>
  <c r="T138"/>
  <c r="T177" s="1"/>
  <c r="U138"/>
  <c r="U177" s="1"/>
  <c r="T80"/>
  <c r="W39"/>
  <c r="T38"/>
  <c r="T52"/>
  <c r="V125"/>
  <c r="V124" s="1"/>
  <c r="V123" s="1"/>
  <c r="U38"/>
  <c r="X14"/>
  <c r="Y14" s="1"/>
  <c r="U52"/>
  <c r="T14"/>
  <c r="U14"/>
  <c r="V16"/>
  <c r="V15" s="1"/>
  <c r="V14" s="1"/>
  <c r="V162" i="4"/>
  <c r="W162" s="1"/>
  <c r="R201"/>
  <c r="W171"/>
  <c r="X171" s="1"/>
  <c r="T114"/>
  <c r="V131"/>
  <c r="V150" i="6"/>
  <c r="V82"/>
  <c r="U80"/>
  <c r="V110"/>
  <c r="U108"/>
  <c r="T66"/>
  <c r="O177"/>
  <c r="T94"/>
  <c r="U106"/>
  <c r="V106" s="1"/>
  <c r="V94" s="1"/>
  <c r="U137" i="4"/>
  <c r="U147" s="1"/>
  <c r="U171" s="1"/>
  <c r="T147"/>
  <c r="U45"/>
  <c r="U53" s="1"/>
  <c r="T53"/>
  <c r="V68" i="6"/>
  <c r="V67" s="1"/>
  <c r="U66"/>
  <c r="U90" i="4"/>
  <c r="U95" s="1"/>
  <c r="U103" s="1"/>
  <c r="T95"/>
  <c r="T103" s="1"/>
  <c r="U61"/>
  <c r="U65" s="1"/>
  <c r="U73" s="1"/>
  <c r="T65"/>
  <c r="U31"/>
  <c r="U36" s="1"/>
  <c r="U37"/>
  <c r="U38" s="1"/>
  <c r="T38"/>
  <c r="T44" s="1"/>
  <c r="O201"/>
  <c r="N200"/>
  <c r="N201" s="1"/>
  <c r="T187"/>
  <c r="T200" s="1"/>
  <c r="T128"/>
  <c r="U242" i="3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T136" i="4" l="1"/>
  <c r="U44"/>
  <c r="V81" i="6"/>
  <c r="V80" s="1"/>
  <c r="V109"/>
  <c r="V108" s="1"/>
  <c r="U114" i="4"/>
  <c r="U136" s="1"/>
  <c r="V130"/>
  <c r="V66" i="6"/>
  <c r="U94"/>
  <c r="U187" i="4"/>
  <c r="U200" s="1"/>
  <c r="Q14" i="3"/>
  <c r="N14"/>
  <c r="G257"/>
  <c r="U257" s="1"/>
  <c r="J268"/>
  <c r="J267"/>
  <c r="T201" i="4" l="1"/>
  <c r="U201"/>
  <c r="V257" i="3"/>
  <c r="N241"/>
  <c r="F133"/>
  <c r="T154"/>
  <c r="T142"/>
  <c r="Q142"/>
  <c r="G260"/>
  <c r="O260" s="1"/>
  <c r="G132"/>
  <c r="G133" s="1"/>
  <c r="G129"/>
  <c r="O257"/>
  <c r="G258"/>
  <c r="J258"/>
  <c r="J257"/>
  <c r="O252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O195" s="1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O175" s="1"/>
  <c r="K173"/>
  <c r="G171"/>
  <c r="O171" s="1"/>
  <c r="G172"/>
  <c r="O172" s="1"/>
  <c r="G173"/>
  <c r="O173" s="1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O159" s="1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O144" s="1"/>
  <c r="G138"/>
  <c r="O138" s="1"/>
  <c r="G139"/>
  <c r="O139" s="1"/>
  <c r="G140"/>
  <c r="O140" s="1"/>
  <c r="N140" s="1"/>
  <c r="G141"/>
  <c r="O141" s="1"/>
  <c r="G137"/>
  <c r="O137" s="1"/>
  <c r="N137" s="1"/>
  <c r="G135"/>
  <c r="O135" s="1"/>
  <c r="K135"/>
  <c r="K142"/>
  <c r="O142" s="1"/>
  <c r="J140"/>
  <c r="J137"/>
  <c r="K125"/>
  <c r="K127"/>
  <c r="K120"/>
  <c r="K118"/>
  <c r="K108"/>
  <c r="J108" s="1"/>
  <c r="I131"/>
  <c r="H131"/>
  <c r="F131"/>
  <c r="E131"/>
  <c r="O129"/>
  <c r="G127"/>
  <c r="G125"/>
  <c r="O125" s="1"/>
  <c r="G123"/>
  <c r="O123" s="1"/>
  <c r="G124"/>
  <c r="O124" s="1"/>
  <c r="G122"/>
  <c r="O122" s="1"/>
  <c r="G120"/>
  <c r="O120" s="1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244" l="1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Q23" s="1"/>
  <c r="E102"/>
  <c r="E95"/>
  <c r="E88"/>
  <c r="E71"/>
  <c r="E61"/>
  <c r="E54"/>
  <c r="E46"/>
  <c r="E38"/>
  <c r="E31"/>
  <c r="E18"/>
  <c r="F18"/>
  <c r="G16"/>
  <c r="O16" s="1"/>
  <c r="Q38" l="1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F31"/>
  <c r="G31" s="1"/>
  <c r="Q31" s="1"/>
  <c r="G17"/>
  <c r="M17"/>
  <c r="V16"/>
  <c r="V15"/>
  <c r="Q69" l="1"/>
  <c r="N69"/>
  <c r="N80"/>
  <c r="Q80"/>
  <c r="Q79"/>
  <c r="T79" s="1"/>
  <c r="N70"/>
  <c r="N16"/>
  <c r="Q15"/>
  <c r="O15"/>
  <c r="N15"/>
  <c r="N17"/>
  <c r="O17"/>
  <c r="G18"/>
  <c r="Q18" s="1"/>
  <c r="N51"/>
  <c r="O70"/>
  <c r="G71"/>
  <c r="N71" s="1"/>
  <c r="V80"/>
  <c r="G54"/>
  <c r="Q16"/>
  <c r="O68"/>
  <c r="Q51"/>
  <c r="V52"/>
  <c r="N68"/>
  <c r="U68"/>
  <c r="V70"/>
  <c r="U69"/>
  <c r="U15"/>
  <c r="N52"/>
  <c r="O52"/>
  <c r="O69"/>
  <c r="U18"/>
  <c r="K268"/>
  <c r="I259"/>
  <c r="H259"/>
  <c r="T69" l="1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N81" s="1"/>
  <c r="G30"/>
  <c r="N255"/>
  <c r="N259" s="1"/>
  <c r="V227"/>
  <c r="U227"/>
  <c r="J227"/>
  <c r="N227"/>
  <c r="E133"/>
  <c r="G78"/>
  <c r="G76"/>
  <c r="N76" s="1"/>
  <c r="G77"/>
  <c r="G53"/>
  <c r="Q53" s="1"/>
  <c r="V253" l="1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Q95" s="1"/>
  <c r="G92"/>
  <c r="M87"/>
  <c r="U87" s="1"/>
  <c r="G87"/>
  <c r="Q87" s="1"/>
  <c r="G86"/>
  <c r="Q86" s="1"/>
  <c r="G88"/>
  <c r="Q88" s="1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61" s="1"/>
  <c r="Q54"/>
  <c r="G46"/>
  <c r="Q46" s="1"/>
  <c r="O99" l="1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Q104" s="1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N168"/>
  <c r="L187"/>
  <c r="G180" i="3"/>
  <c r="O103" i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V203" i="3" l="1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</calcChain>
</file>

<file path=xl/comments1.xml><?xml version="1.0" encoding="utf-8"?>
<comments xmlns="http://schemas.openxmlformats.org/spreadsheetml/2006/main">
  <authors>
    <author>Бецку</author>
  </authors>
  <commentList>
    <comment ref="N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2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-0,35</t>
        </r>
      </text>
    </comment>
    <comment ref="N4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5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5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6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6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2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9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9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1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1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2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2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54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54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6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6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<sst xmlns="http://schemas.openxmlformats.org/spreadsheetml/2006/main" count="3642" uniqueCount="322">
  <si>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</si>
  <si>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</si>
  <si>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</si>
  <si>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</si>
  <si>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</si>
  <si>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</si>
  <si>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</si>
  <si>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</si>
  <si>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</si>
  <si>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</si>
  <si>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</si>
  <si>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</si>
  <si>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</si>
  <si>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</si>
  <si>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</si>
  <si>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</si>
  <si>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</si>
  <si>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</si>
  <si>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</si>
  <si>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</si>
  <si>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</si>
  <si>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</si>
  <si>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</si>
  <si>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</si>
  <si>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</si>
  <si>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</si>
  <si>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</si>
  <si>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</si>
  <si>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</si>
  <si>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</si>
  <si>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</si>
  <si>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</si>
  <si>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</si>
  <si>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</si>
  <si>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</si>
  <si>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</si>
  <si>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</si>
  <si>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</si>
  <si>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</si>
  <si>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</si>
  <si>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</si>
  <si>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</si>
  <si>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</si>
  <si>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</si>
  <si>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</si>
  <si>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</si>
  <si>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</si>
  <si>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</si>
  <si>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</si>
  <si>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</si>
  <si>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</si>
  <si>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</si>
  <si>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</si>
  <si>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</si>
  <si>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</si>
  <si>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</si>
  <si>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</si>
  <si>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</si>
  <si>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</si>
  <si>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</si>
  <si>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</si>
  <si>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</si>
  <si>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</si>
  <si>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</si>
  <si>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</si>
  <si>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</si>
  <si>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</si>
  <si>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</si>
  <si>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</si>
  <si>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</si>
  <si>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</si>
  <si>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</si>
  <si>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</si>
  <si>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</si>
  <si>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</si>
  <si>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</si>
  <si>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</si>
  <si>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</si>
  <si>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</si>
  <si>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</si>
  <si>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</si>
  <si>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</si>
  <si>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</si>
  <si>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</si>
  <si>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</si>
  <si>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</si>
  <si>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</si>
  <si>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</si>
  <si>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</si>
  <si>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</si>
  <si>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</si>
  <si>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</si>
  <si>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</si>
  <si>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</si>
  <si>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</si>
  <si>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</si>
  <si>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</si>
  <si>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</si>
  <si>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</si>
  <si>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</si>
  <si>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</si>
  <si>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</si>
  <si>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</si>
  <si>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</si>
  <si>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</si>
  <si>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</si>
  <si>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</si>
  <si>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</si>
  <si>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</si>
  <si>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</si>
  <si>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</si>
  <si>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</si>
  <si>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</si>
  <si>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</si>
  <si>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</si>
  <si>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</si>
  <si>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</si>
  <si>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</si>
  <si>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</si>
  <si>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</si>
  <si>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</si>
  <si>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</si>
  <si>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</si>
  <si>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</si>
  <si>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</si>
  <si>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</si>
  <si>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</si>
  <si>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</si>
  <si>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</si>
  <si>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</si>
  <si>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</si>
  <si>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</si>
  <si>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</si>
  <si>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</si>
  <si>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</si>
  <si>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</si>
  <si>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</si>
  <si>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</si>
  <si>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</si>
  <si>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</si>
  <si>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</si>
  <si>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</si>
  <si>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</si>
  <si>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</si>
  <si>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</si>
  <si>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</si>
  <si>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</si>
  <si>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</si>
  <si>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</si>
  <si>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</si>
  <si>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</si>
  <si>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</si>
  <si>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</si>
  <si>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</si>
  <si>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</si>
  <si>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</si>
  <si>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</si>
  <si>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</si>
  <si>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</si>
  <si>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</si>
  <si>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</si>
  <si>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</si>
  <si>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</si>
  <si>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</si>
  <si>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</si>
  <si>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</si>
  <si>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</si>
  <si>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</si>
  <si>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</si>
  <si>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</si>
  <si>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</si>
  <si>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</si>
  <si>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</si>
  <si>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</si>
  <si>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</si>
  <si>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</si>
  <si>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</si>
  <si>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</si>
  <si>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</si>
  <si>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</si>
  <si>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</si>
  <si>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</si>
  <si>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</si>
  <si>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</si>
  <si>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</si>
  <si>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</si>
  <si>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</si>
  <si>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</si>
  <si>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</si>
  <si>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</si>
  <si>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</si>
  <si>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</si>
  <si>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</si>
  <si>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</si>
  <si>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</si>
  <si>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</si>
  <si>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</si>
  <si>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</si>
  <si>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</si>
  <si>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</si>
  <si>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</si>
  <si>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</si>
  <si>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</si>
  <si>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</si>
  <si>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</si>
  <si>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</si>
  <si>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</si>
  <si>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</si>
  <si>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</si>
  <si>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</si>
  <si>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</si>
  <si>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</si>
  <si>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</si>
  <si>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</si>
  <si>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</si>
  <si>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</si>
  <si>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</si>
  <si>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</si>
  <si>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</si>
  <si>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</si>
  <si>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</si>
  <si>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</si>
  <si>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</si>
  <si>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</si>
  <si>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</si>
  <si>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</si>
  <si>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</si>
  <si>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</si>
  <si>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</si>
  <si>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</si>
  <si>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ВСЕГО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</si>
  <si>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</si>
  <si>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</si>
  <si>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</si>
  <si>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</si>
  <si>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</si>
  <si>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</si>
  <si>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</si>
  <si>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</si>
  <si>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</si>
  <si>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</si>
  <si>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</si>
  <si>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</si>
  <si>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</si>
  <si>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</si>
  <si>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804200О.99.0.ББ52А368000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</si>
  <si>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</si>
  <si>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</si>
  <si>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</si>
  <si>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</si>
  <si>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</si>
  <si>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</si>
  <si>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</si>
  <si>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</si>
  <si>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12601,86- на 1 человека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</si>
  <si>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</si>
  <si>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</si>
  <si>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841148,96 на 1 класс+ 23463,21 на 1 человека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</si>
  <si>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</si>
  <si>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</si>
  <si>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</si>
  <si>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</si>
  <si>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11423,78835- на 1 человека</t>
  </si>
  <si>
    <t>668575,57- на 1 класс+22820,48 на 1 человека</t>
  </si>
  <si>
    <t>628912,16- на 1 класс+22820,48 на 1 человека</t>
  </si>
  <si>
    <t>молодой специалист</t>
  </si>
  <si>
    <t>Повышение на4,3%</t>
  </si>
  <si>
    <t>Молод спец-ты</t>
  </si>
  <si>
    <t>к Приказу от 02.12.2019 г. № 249</t>
  </si>
  <si>
    <t>Нормативные затраты на оказание муниципальных услуг (работ) на 2020-2022 гг.</t>
  </si>
  <si>
    <t>2022 год</t>
  </si>
  <si>
    <t xml:space="preserve">2020 год </t>
  </si>
  <si>
    <t>Всего на 2020 год:</t>
  </si>
  <si>
    <t>2022 год, всего</t>
  </si>
  <si>
    <t>2020 год c 01.09.2020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</si>
  <si>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</si>
  <si>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</si>
  <si>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</si>
  <si>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</si>
  <si>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</si>
  <si>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</si>
  <si>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К2 Группы общеразвивающей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</si>
  <si>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</si>
  <si>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</si>
  <si>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</si>
  <si>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</si>
  <si>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</si>
  <si>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</si>
  <si>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</si>
  <si>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</si>
  <si>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</si>
  <si>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</si>
  <si>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</si>
  <si>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</si>
  <si>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</si>
  <si>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</si>
  <si>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К=11 Группы комбинированной направленности, в которых воспитанники посещают бассейн</t>
  </si>
  <si>
    <t>К=3 Группы комбинированной направленности (за исключением малокомплектных образовательных организаций)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</si>
  <si>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</si>
  <si>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</si>
  <si>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</si>
  <si>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668575,57- на 1 класс+ 1329,32- на 1 человека</t>
  </si>
  <si>
    <t>4001,99*2,411294- на 1 человека</t>
  </si>
  <si>
    <t>628912,16- на 1 класс+ 1329,32 на 1 человека</t>
  </si>
  <si>
    <t>1\17</t>
  </si>
  <si>
    <t>4\85</t>
  </si>
  <si>
    <t>3\72</t>
  </si>
  <si>
    <t>3\44</t>
  </si>
  <si>
    <t>787313,28- на 1 класс+1622,42 на 1 человека</t>
  </si>
  <si>
    <t>877875,1- на 1 класс+ 23116,,46 на 1 человека</t>
  </si>
  <si>
    <t>877875,1- на 1 класс+ 1622,42 на 1 человека</t>
  </si>
  <si>
    <t>787313,28- на 1 класс+ 23116,,46 на 1 человека</t>
  </si>
  <si>
    <t>4001,99*2,411294 на 1 человека</t>
  </si>
  <si>
    <t>841148,96 на 1 класс+1965,79 на 1 человека</t>
  </si>
  <si>
    <t>Приложение № 1</t>
  </si>
  <si>
    <t>к Приказу от 19.12.2019 г. № 268</t>
  </si>
  <si>
    <t>Доплата до МРОТ разница</t>
  </si>
  <si>
    <t>2022год</t>
  </si>
  <si>
    <t>Краевая доплата пед.работ.</t>
  </si>
  <si>
    <t>11462,74- на 1 человека</t>
  </si>
  <si>
    <t>к Приказу от 09.01.2020 г. № 1</t>
  </si>
  <si>
    <t>к Приказу от 09.01.2020 г. №  1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</si>
</sst>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000"/>
    <numFmt numFmtId="166" formatCode="#,##0.000000000"/>
  </numFmts>
  <fonts count="2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328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0" fontId="2" fillId="0" borderId="4" xfId="0" applyFont="1" applyFill="1" applyBorder="1"/>
    <xf numFmtId="4" fontId="2" fillId="0" borderId="4" xfId="0" applyNumberFormat="1" applyFont="1" applyFill="1" applyBorder="1"/>
    <xf numFmtId="0" fontId="2" fillId="0" borderId="4" xfId="0" applyFont="1" applyFill="1" applyBorder="1" applyAlignment="1">
      <alignment horizontal="left" vertical="center"/>
    </xf>
    <xf numFmtId="3" fontId="4" fillId="0" borderId="4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/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7" fillId="0" borderId="4" xfId="2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/>
    </xf>
    <xf numFmtId="4" fontId="2" fillId="0" borderId="0" xfId="0" applyNumberFormat="1" applyFont="1" applyFill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1" fillId="0" borderId="0" xfId="0" applyNumberFormat="1" applyFont="1" applyFill="1"/>
    <xf numFmtId="4" fontId="7" fillId="3" borderId="4" xfId="0" applyNumberFormat="1" applyFont="1" applyFill="1" applyBorder="1" applyAlignment="1">
      <alignment horizontal="right"/>
    </xf>
    <xf numFmtId="4" fontId="8" fillId="3" borderId="4" xfId="0" applyNumberFormat="1" applyFont="1" applyFill="1" applyBorder="1" applyAlignment="1">
      <alignment horizontal="center" wrapText="1"/>
    </xf>
    <xf numFmtId="4" fontId="4" fillId="3" borderId="4" xfId="0" applyNumberFormat="1" applyFont="1" applyFill="1" applyBorder="1" applyAlignment="1">
      <alignment horizontal="right" wrapText="1"/>
    </xf>
    <xf numFmtId="0" fontId="1" fillId="3" borderId="0" xfId="0" applyFont="1" applyFill="1"/>
    <xf numFmtId="4" fontId="4" fillId="3" borderId="4" xfId="0" applyNumberFormat="1" applyFont="1" applyFill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4" fontId="16" fillId="3" borderId="4" xfId="0" applyNumberFormat="1" applyFont="1" applyFill="1" applyBorder="1" applyAlignment="1">
      <alignment horizontal="left"/>
    </xf>
    <xf numFmtId="0" fontId="1" fillId="3" borderId="3" xfId="0" applyFont="1" applyFill="1" applyBorder="1" applyAlignment="1">
      <alignment vertical="top"/>
    </xf>
    <xf numFmtId="4" fontId="9" fillId="3" borderId="4" xfId="0" applyNumberFormat="1" applyFont="1" applyFill="1" applyBorder="1" applyAlignment="1">
      <alignment horizontal="right" wrapText="1"/>
    </xf>
    <xf numFmtId="4" fontId="1" fillId="3" borderId="0" xfId="0" applyNumberFormat="1" applyFont="1" applyFill="1"/>
    <xf numFmtId="4" fontId="7" fillId="5" borderId="4" xfId="0" applyNumberFormat="1" applyFont="1" applyFill="1" applyBorder="1" applyAlignment="1"/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0" fontId="1" fillId="5" borderId="0" xfId="0" applyFont="1" applyFill="1"/>
    <xf numFmtId="4" fontId="1" fillId="3" borderId="3" xfId="0" applyNumberFormat="1" applyFont="1" applyFill="1" applyBorder="1"/>
    <xf numFmtId="0" fontId="2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3" fontId="1" fillId="3" borderId="4" xfId="0" applyNumberFormat="1" applyFont="1" applyFill="1" applyBorder="1" applyAlignment="1">
      <alignment horizontal="center"/>
    </xf>
    <xf numFmtId="3" fontId="4" fillId="0" borderId="4" xfId="0" applyNumberFormat="1" applyFont="1" applyFill="1" applyBorder="1" applyAlignment="1">
      <alignment horizontal="center" wrapText="1"/>
    </xf>
    <xf numFmtId="4" fontId="2" fillId="3" borderId="4" xfId="0" applyNumberFormat="1" applyFont="1" applyFill="1" applyBorder="1" applyAlignment="1">
      <alignment horizontal="right"/>
    </xf>
    <xf numFmtId="4" fontId="2" fillId="3" borderId="4" xfId="0" applyNumberFormat="1" applyFont="1" applyFill="1" applyBorder="1"/>
    <xf numFmtId="0" fontId="1" fillId="3" borderId="3" xfId="0" applyFont="1" applyFill="1" applyBorder="1"/>
    <xf numFmtId="2" fontId="1" fillId="3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3" fontId="1" fillId="8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8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3" fontId="1" fillId="9" borderId="4" xfId="0" applyNumberFormat="1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right"/>
    </xf>
    <xf numFmtId="3" fontId="2" fillId="3" borderId="4" xfId="0" applyNumberFormat="1" applyFont="1" applyFill="1" applyBorder="1" applyAlignment="1">
      <alignment horizontal="right"/>
    </xf>
    <xf numFmtId="3" fontId="17" fillId="3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3" xfId="0" applyFont="1" applyFill="1" applyBorder="1"/>
    <xf numFmtId="4" fontId="1" fillId="0" borderId="3" xfId="0" applyNumberFormat="1" applyFont="1" applyFill="1" applyBorder="1"/>
    <xf numFmtId="166" fontId="1" fillId="0" borderId="3" xfId="0" applyNumberFormat="1" applyFont="1" applyFill="1" applyBorder="1"/>
    <xf numFmtId="0" fontId="1" fillId="0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4" fontId="1" fillId="3" borderId="4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wrapText="1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20" fillId="3" borderId="4" xfId="0" applyNumberFormat="1" applyFont="1" applyFill="1" applyBorder="1" applyAlignment="1">
      <alignment horizontal="center"/>
    </xf>
    <xf numFmtId="4" fontId="8" fillId="3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/>
    </xf>
    <xf numFmtId="3" fontId="1" fillId="3" borderId="4" xfId="0" applyNumberFormat="1" applyFont="1" applyFill="1" applyBorder="1" applyAlignment="1">
      <alignment horizontal="left"/>
    </xf>
    <xf numFmtId="3" fontId="2" fillId="3" borderId="4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/>
    <xf numFmtId="0" fontId="13" fillId="0" borderId="3" xfId="0" applyFont="1" applyFill="1" applyBorder="1" applyAlignment="1">
      <alignment vertical="top"/>
    </xf>
    <xf numFmtId="164" fontId="2" fillId="3" borderId="4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164" fontId="2" fillId="3" borderId="4" xfId="0" applyNumberFormat="1" applyFont="1" applyFill="1" applyBorder="1"/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4" fontId="4" fillId="3" borderId="4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colors>
    <mruColors>
      <color rgb="FFFFFFCC"/>
      <color rgb="FFFFCC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281" t="s">
        <v>1</v>
      </c>
      <c r="B3" s="281"/>
      <c r="C3" s="282"/>
      <c r="D3" s="281"/>
      <c r="E3" s="281"/>
      <c r="F3" s="281"/>
      <c r="G3" s="281"/>
      <c r="H3" s="281"/>
      <c r="I3" s="282"/>
      <c r="J3" s="281"/>
      <c r="K3" s="281"/>
      <c r="L3" s="281"/>
      <c r="M3" s="281"/>
      <c r="N3" s="282"/>
      <c r="O3" s="281"/>
      <c r="P3" s="281"/>
      <c r="Q3" s="281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275" t="s">
        <v>5</v>
      </c>
      <c r="F6" s="275"/>
      <c r="G6" s="275"/>
      <c r="H6" s="276" t="s">
        <v>6</v>
      </c>
      <c r="I6" s="276"/>
      <c r="J6" s="276"/>
      <c r="K6" s="276"/>
      <c r="L6" s="276" t="s">
        <v>7</v>
      </c>
      <c r="M6" s="276"/>
      <c r="N6" s="276"/>
      <c r="O6" s="276"/>
      <c r="P6" s="276"/>
      <c r="Q6" s="276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280" t="s">
        <v>8</v>
      </c>
      <c r="M7" s="280"/>
      <c r="N7" s="280"/>
      <c r="O7" s="280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>
      <c r="A96" s="284" t="s">
        <v>154</v>
      </c>
      <c r="B96" s="284"/>
      <c r="C96" s="284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283" t="s">
        <v>3</v>
      </c>
      <c r="B97" s="283" t="s">
        <v>86</v>
      </c>
      <c r="C97" s="7" t="s">
        <v>87</v>
      </c>
      <c r="D97" s="283" t="s">
        <v>4</v>
      </c>
      <c r="E97" s="283" t="s">
        <v>5</v>
      </c>
      <c r="F97" s="283"/>
      <c r="G97" s="283"/>
      <c r="H97" s="283" t="s">
        <v>6</v>
      </c>
      <c r="I97" s="283"/>
      <c r="J97" s="283"/>
      <c r="K97" s="283"/>
      <c r="L97" s="283" t="s">
        <v>7</v>
      </c>
      <c r="M97" s="283"/>
      <c r="N97" s="283"/>
      <c r="O97" s="283"/>
      <c r="P97" s="283"/>
      <c r="Q97" s="283"/>
    </row>
    <row r="98" spans="1:17" ht="110.4">
      <c r="A98" s="283"/>
      <c r="B98" s="283"/>
      <c r="C98" s="7"/>
      <c r="D98" s="283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279" t="s">
        <v>98</v>
      </c>
      <c r="B100" s="277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279"/>
      <c r="B101" s="277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10.4">
      <c r="A102" s="279"/>
      <c r="B102" s="277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3.8">
      <c r="A103" s="279"/>
      <c r="B103" s="277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82.8">
      <c r="A104" s="279"/>
      <c r="B104" s="277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82.8">
      <c r="A105" s="279"/>
      <c r="B105" s="277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10.4">
      <c r="A106" s="279"/>
      <c r="B106" s="277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3.8">
      <c r="A107" s="279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82.8">
      <c r="A108" s="279"/>
      <c r="B108" s="277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82.8">
      <c r="A109" s="279"/>
      <c r="B109" s="277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10.4">
      <c r="A110" s="279"/>
      <c r="B110" s="277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3.8">
      <c r="A111" s="279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>
      <c r="A112" s="279"/>
      <c r="B112" s="278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>
      <c r="A113" s="279"/>
      <c r="B113" s="278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3.8">
      <c r="A114" s="279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279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82.8">
      <c r="A116" s="279" t="s">
        <v>113</v>
      </c>
      <c r="B116" s="277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>
      <c r="A117" s="279"/>
      <c r="B117" s="277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10.4">
      <c r="A118" s="279"/>
      <c r="B118" s="277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3.8">
      <c r="A119" s="279"/>
      <c r="B119" s="277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82.8">
      <c r="A120" s="279"/>
      <c r="B120" s="277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>
      <c r="A121" s="279"/>
      <c r="B121" s="277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10.4">
      <c r="A122" s="279"/>
      <c r="B122" s="277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3.8">
      <c r="A123" s="279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82.8">
      <c r="A124" s="279"/>
      <c r="B124" s="277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>
      <c r="A125" s="279"/>
      <c r="B125" s="277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10.4">
      <c r="A126" s="279"/>
      <c r="B126" s="277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3.8">
      <c r="A127" s="279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>
      <c r="A128" s="279"/>
      <c r="B128" s="278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>
      <c r="A129" s="279"/>
      <c r="B129" s="278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3.8">
      <c r="A130" s="279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3.8">
      <c r="A131" s="279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82.8">
      <c r="A132" s="279" t="s">
        <v>114</v>
      </c>
      <c r="B132" s="277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82.8">
      <c r="A133" s="279"/>
      <c r="B133" s="277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10.4">
      <c r="A134" s="279"/>
      <c r="B134" s="277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3.8">
      <c r="A135" s="279"/>
      <c r="B135" s="277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82.8">
      <c r="A136" s="279"/>
      <c r="B136" s="277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>
      <c r="A137" s="279"/>
      <c r="B137" s="277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10.4">
      <c r="A138" s="279"/>
      <c r="B138" s="277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3.8">
      <c r="A139" s="279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82.8">
      <c r="A140" s="279"/>
      <c r="B140" s="277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82.8">
      <c r="A141" s="279"/>
      <c r="B141" s="277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10.4">
      <c r="A142" s="279"/>
      <c r="B142" s="277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3.8">
      <c r="A143" s="279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>
      <c r="A144" s="279"/>
      <c r="B144" s="278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>
      <c r="A145" s="279"/>
      <c r="B145" s="278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3.8">
      <c r="A146" s="279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3.8">
      <c r="A147" s="279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82.8">
      <c r="A148" s="279" t="s">
        <v>115</v>
      </c>
      <c r="B148" s="277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>
      <c r="A149" s="279"/>
      <c r="B149" s="277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10.4">
      <c r="A150" s="279"/>
      <c r="B150" s="277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3.8">
      <c r="A151" s="279"/>
      <c r="B151" s="277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82.8">
      <c r="A152" s="279"/>
      <c r="B152" s="277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>
      <c r="A153" s="279"/>
      <c r="B153" s="277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10.4">
      <c r="A154" s="279"/>
      <c r="B154" s="277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3.8">
      <c r="A155" s="279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82.8">
      <c r="A156" s="279"/>
      <c r="B156" s="277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82.8">
      <c r="A157" s="279"/>
      <c r="B157" s="277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10.4">
      <c r="A158" s="279"/>
      <c r="B158" s="277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3.8">
      <c r="A159" s="279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>
      <c r="A160" s="279"/>
      <c r="B160" s="278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>
      <c r="A161" s="279"/>
      <c r="B161" s="278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3.8">
      <c r="A162" s="279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3.8">
      <c r="A163" s="279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82.8">
      <c r="A164" s="279" t="s">
        <v>116</v>
      </c>
      <c r="B164" s="277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>
      <c r="A165" s="279"/>
      <c r="B165" s="277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10.4">
      <c r="A166" s="279"/>
      <c r="B166" s="277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96.6">
      <c r="A167" s="279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3.8">
      <c r="A168" s="279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82.8">
      <c r="A169" s="279"/>
      <c r="B169" s="277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>
      <c r="A170" s="279"/>
      <c r="B170" s="277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>
      <c r="A171" s="279"/>
      <c r="B171" s="277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10.4">
      <c r="A172" s="279"/>
      <c r="B172" s="277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96.6">
      <c r="A173" s="279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3.8">
      <c r="A174" s="279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82.8">
      <c r="A175" s="279"/>
      <c r="B175" s="277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>
      <c r="A176" s="279"/>
      <c r="B176" s="277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10.4">
      <c r="A177" s="279"/>
      <c r="B177" s="277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3.8">
      <c r="A178" s="279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>
      <c r="A179" s="279"/>
      <c r="B179" s="278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>
      <c r="A180" s="279"/>
      <c r="B180" s="278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3.8">
      <c r="A181" s="279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3.8">
      <c r="A182" s="279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>
      <c r="A183" s="279" t="s">
        <v>119</v>
      </c>
      <c r="B183" s="277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279"/>
      <c r="B184" s="277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279"/>
      <c r="B185" s="277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3.8">
      <c r="A186" s="279"/>
      <c r="B186" s="277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279"/>
      <c r="B187" s="277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279"/>
      <c r="B188" s="277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279"/>
      <c r="B189" s="277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10.4">
      <c r="A190" s="279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3.8">
      <c r="A191" s="279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279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279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279"/>
      <c r="B194" s="278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>
      <c r="A195" s="279"/>
      <c r="B195" s="278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3.8">
      <c r="A196" s="279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3.8">
      <c r="A197" s="279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273" t="s">
        <v>5</v>
      </c>
      <c r="E199" s="273"/>
      <c r="F199" s="273"/>
      <c r="G199" s="274" t="s">
        <v>6</v>
      </c>
      <c r="H199" s="274" t="s">
        <v>7</v>
      </c>
      <c r="I199" s="274"/>
      <c r="J199" s="274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274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271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>
      <c r="A204" s="272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286" t="s">
        <v>207</v>
      </c>
      <c r="B5" s="286"/>
      <c r="C5" s="287"/>
      <c r="D5" s="286"/>
      <c r="E5" s="286"/>
      <c r="F5" s="287"/>
      <c r="G5" s="287"/>
      <c r="H5" s="286"/>
      <c r="I5" s="286"/>
      <c r="J5" s="286"/>
      <c r="K5" s="287"/>
      <c r="L5" s="286"/>
      <c r="M5" s="286"/>
      <c r="N5" s="286"/>
      <c r="O5" s="286"/>
      <c r="P5" s="287"/>
      <c r="Q5" s="287"/>
      <c r="R5" s="287"/>
      <c r="S5" s="287"/>
      <c r="T5" s="286"/>
      <c r="U5" s="286"/>
      <c r="V5" s="286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288" t="s">
        <v>6</v>
      </c>
      <c r="K8" s="289"/>
      <c r="L8" s="289"/>
      <c r="M8" s="290"/>
      <c r="N8" s="291" t="s">
        <v>7</v>
      </c>
      <c r="O8" s="291"/>
      <c r="P8" s="291"/>
      <c r="Q8" s="291"/>
      <c r="R8" s="291"/>
      <c r="S8" s="291"/>
      <c r="T8" s="291"/>
      <c r="U8" s="291"/>
      <c r="V8" s="291"/>
    </row>
    <row r="9" spans="1:24">
      <c r="A9" s="109"/>
      <c r="B9" s="109"/>
      <c r="C9" s="109"/>
      <c r="D9" s="109"/>
      <c r="E9" s="294"/>
      <c r="F9" s="295"/>
      <c r="G9" s="296"/>
      <c r="H9" s="108"/>
      <c r="I9" s="108"/>
      <c r="J9" s="142"/>
      <c r="K9" s="142"/>
      <c r="L9" s="142"/>
      <c r="M9" s="142"/>
      <c r="N9" s="288"/>
      <c r="O9" s="299"/>
      <c r="P9" s="299"/>
      <c r="Q9" s="299"/>
      <c r="R9" s="299"/>
      <c r="S9" s="299"/>
      <c r="T9" s="300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292" t="s">
        <v>176</v>
      </c>
      <c r="O10" s="292"/>
      <c r="P10" s="292"/>
      <c r="Q10" s="292"/>
      <c r="R10" s="292"/>
      <c r="S10" s="292"/>
      <c r="T10" s="292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 t="shared" ref="T13:V13" si="0">T14+T15+T17+T16</f>
        <v>11853729.280000001</v>
      </c>
      <c r="U13" s="75">
        <f>U14+U15+U17+U16</f>
        <v>11853729.279999999</v>
      </c>
      <c r="V13" s="75">
        <f t="shared" si="0"/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 t="shared" ref="T17:T95" si="1">SUM(N17:Q17)</f>
        <v>0</v>
      </c>
      <c r="U17" s="75">
        <f t="shared" ref="U17:U95" si="2">H17*M17</f>
        <v>0</v>
      </c>
      <c r="V17" s="75">
        <f t="shared" ref="V17:V95" si="3"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 t="shared" ref="N18" si="4">E18*J18</f>
        <v>0</v>
      </c>
      <c r="O18" s="75">
        <f t="shared" ref="O18" si="5"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6">J20+K20+L20</f>
        <v>0</v>
      </c>
      <c r="N20" s="78">
        <f>N21+N23</f>
        <v>2274393.33</v>
      </c>
      <c r="O20" s="78">
        <f t="shared" ref="O20:V20" si="7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7"/>
        <v>4083694.15</v>
      </c>
      <c r="U20" s="78">
        <f t="shared" si="7"/>
        <v>4083694.15</v>
      </c>
      <c r="V20" s="78">
        <f t="shared" si="7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6"/>
        <v>0</v>
      </c>
      <c r="N21" s="75">
        <f t="shared" ref="N21:V21" si="8">SUM(N22:N22)</f>
        <v>2274393.33</v>
      </c>
      <c r="O21" s="75">
        <f>SUM(O22:O22)</f>
        <v>412851.11999999994</v>
      </c>
      <c r="P21" s="75"/>
      <c r="Q21" s="75">
        <f t="shared" si="8"/>
        <v>1050443.26</v>
      </c>
      <c r="R21" s="75"/>
      <c r="S21" s="75"/>
      <c r="T21" s="75">
        <f t="shared" si="8"/>
        <v>3737687.71</v>
      </c>
      <c r="U21" s="75">
        <f>SUM(U22:U22)</f>
        <v>3737687.71</v>
      </c>
      <c r="V21" s="75">
        <f t="shared" si="8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6"/>
        <v>10176.66</v>
      </c>
      <c r="N23" s="46">
        <f t="shared" ref="N23" si="9">E23*J23</f>
        <v>0</v>
      </c>
      <c r="O23" s="46">
        <f t="shared" ref="O23:O31" si="10">E23*K23</f>
        <v>0</v>
      </c>
      <c r="P23" s="46"/>
      <c r="Q23" s="46">
        <f>G23*L23</f>
        <v>346006.44</v>
      </c>
      <c r="R23" s="46"/>
      <c r="S23" s="75"/>
      <c r="T23" s="75">
        <f t="shared" si="1"/>
        <v>346006.44</v>
      </c>
      <c r="U23" s="75">
        <f>H23*M23</f>
        <v>346006.44</v>
      </c>
      <c r="V23" s="75">
        <f t="shared" si="3"/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6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 t="shared" ref="T25:V25" si="11">T26+T31</f>
        <v>14026264.35</v>
      </c>
      <c r="U25" s="78">
        <f t="shared" si="11"/>
        <v>14026264.349999998</v>
      </c>
      <c r="V25" s="78">
        <f t="shared" si="11"/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6"/>
        <v>0</v>
      </c>
      <c r="N26" s="75">
        <f>SUM(N27:N30)</f>
        <v>8172644.0499999998</v>
      </c>
      <c r="O26" s="75">
        <f t="shared" ref="O26:V26" si="12">SUM(O27:O30)</f>
        <v>1335694.8</v>
      </c>
      <c r="P26" s="75"/>
      <c r="Q26" s="75">
        <f t="shared" si="12"/>
        <v>3398492.9</v>
      </c>
      <c r="R26" s="75"/>
      <c r="S26" s="75"/>
      <c r="T26" s="75">
        <f t="shared" si="12"/>
        <v>12906831.75</v>
      </c>
      <c r="U26" s="75">
        <f t="shared" si="12"/>
        <v>12906831.749999998</v>
      </c>
      <c r="V26" s="75">
        <f t="shared" si="12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 t="shared" ref="G27:G29" si="13"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6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 t="shared" si="1"/>
        <v>0</v>
      </c>
      <c r="U27" s="75">
        <f t="shared" si="2"/>
        <v>0</v>
      </c>
      <c r="V27" s="75">
        <f t="shared" si="3"/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 t="shared" si="13"/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6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 t="shared" si="1"/>
        <v>0</v>
      </c>
      <c r="U28" s="75">
        <f t="shared" si="2"/>
        <v>0</v>
      </c>
      <c r="V28" s="75">
        <f t="shared" si="3"/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 t="shared" si="13"/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6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 t="shared" si="1"/>
        <v>5368817.8499999996</v>
      </c>
      <c r="U29" s="75">
        <f t="shared" si="2"/>
        <v>5368817.8499999987</v>
      </c>
      <c r="V29" s="75">
        <f t="shared" si="3"/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6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 t="shared" si="1"/>
        <v>7538013.9000000004</v>
      </c>
      <c r="U30" s="75">
        <f t="shared" si="2"/>
        <v>7538013.8999999994</v>
      </c>
      <c r="V30" s="75">
        <f t="shared" si="3"/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6"/>
        <v>10176.66</v>
      </c>
      <c r="N31" s="75">
        <f t="shared" ref="N31:N61" si="14">E31*J31</f>
        <v>0</v>
      </c>
      <c r="O31" s="75">
        <f t="shared" si="10"/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 t="shared" si="3"/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6"/>
        <v>0</v>
      </c>
      <c r="N33" s="78">
        <f>N34+N38</f>
        <v>4610681.3000000007</v>
      </c>
      <c r="O33" s="78">
        <f t="shared" ref="O33:V33" si="15">O34+O38</f>
        <v>1299266.76</v>
      </c>
      <c r="P33" s="78"/>
      <c r="Q33" s="179">
        <f t="shared" si="15"/>
        <v>4394709.3499999996</v>
      </c>
      <c r="R33" s="179"/>
      <c r="S33" s="78">
        <f>S32</f>
        <v>1347383.4000000001</v>
      </c>
      <c r="T33" s="78">
        <f t="shared" si="15"/>
        <v>10304657.409999998</v>
      </c>
      <c r="U33" s="78">
        <f>U34+U38</f>
        <v>10304657.409999998</v>
      </c>
      <c r="V33" s="78">
        <f t="shared" si="15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6"/>
        <v>0</v>
      </c>
      <c r="N34" s="75">
        <f>SUM(N35:N37)</f>
        <v>4610681.3000000007</v>
      </c>
      <c r="O34" s="75">
        <f t="shared" ref="O34:V34" si="16">SUM(O35:O37)</f>
        <v>1299266.76</v>
      </c>
      <c r="P34" s="75"/>
      <c r="Q34" s="75">
        <f t="shared" si="16"/>
        <v>3305806.73</v>
      </c>
      <c r="R34" s="75"/>
      <c r="S34" s="75"/>
      <c r="T34" s="75">
        <f t="shared" si="16"/>
        <v>9215754.7899999991</v>
      </c>
      <c r="U34" s="75">
        <f t="shared" si="16"/>
        <v>9215754.7899999991</v>
      </c>
      <c r="V34" s="75">
        <f t="shared" si="16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 t="shared" ref="G35:G37" si="17"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6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 t="shared" si="1"/>
        <v>2154402.75</v>
      </c>
      <c r="U35" s="75">
        <f t="shared" si="2"/>
        <v>2154402.75</v>
      </c>
      <c r="V35" s="75">
        <f t="shared" si="3"/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 t="shared" si="17"/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6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 t="shared" si="1"/>
        <v>2780504.6399999997</v>
      </c>
      <c r="U36" s="75">
        <f t="shared" si="2"/>
        <v>2780504.6399999997</v>
      </c>
      <c r="V36" s="75">
        <f t="shared" si="3"/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 t="shared" si="17"/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6"/>
        <v>93061.9</v>
      </c>
      <c r="N37" s="75">
        <f t="shared" ref="N37:N38" si="18">G37*J37</f>
        <v>2301096.1800000002</v>
      </c>
      <c r="O37" s="75">
        <f t="shared" ref="O37:O38" si="19">G37*K37</f>
        <v>558563.28</v>
      </c>
      <c r="P37" s="75"/>
      <c r="Q37" s="75">
        <f>G37*L37</f>
        <v>1421187.94</v>
      </c>
      <c r="R37" s="75"/>
      <c r="S37" s="75"/>
      <c r="T37" s="75">
        <f t="shared" si="1"/>
        <v>4280847.4000000004</v>
      </c>
      <c r="U37" s="75">
        <f t="shared" si="2"/>
        <v>4280847.3999999994</v>
      </c>
      <c r="V37" s="75">
        <f t="shared" si="3"/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6"/>
        <v>10176.66</v>
      </c>
      <c r="N38" s="75">
        <f t="shared" si="18"/>
        <v>0</v>
      </c>
      <c r="O38" s="75">
        <f t="shared" si="19"/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6"/>
        <v>0</v>
      </c>
      <c r="N40" s="78">
        <f>N41+N46</f>
        <v>11659167.85</v>
      </c>
      <c r="O40" s="78">
        <f t="shared" ref="O40:V40" si="20">O41+O46</f>
        <v>2659246.92</v>
      </c>
      <c r="P40" s="78"/>
      <c r="Q40" s="179">
        <f t="shared" si="20"/>
        <v>8994778.9499999993</v>
      </c>
      <c r="R40" s="179"/>
      <c r="S40" s="78">
        <f>S39</f>
        <v>1310636.58</v>
      </c>
      <c r="T40" s="78">
        <f t="shared" si="20"/>
        <v>23313193.719999999</v>
      </c>
      <c r="U40" s="78">
        <f t="shared" si="20"/>
        <v>23313193.719999999</v>
      </c>
      <c r="V40" s="78">
        <f t="shared" si="20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6"/>
        <v>0</v>
      </c>
      <c r="N41" s="75">
        <f>SUM(N42:N45)</f>
        <v>11659167.85</v>
      </c>
      <c r="O41" s="75">
        <f t="shared" ref="O41:V41" si="21">SUM(O42:O45)</f>
        <v>2659246.92</v>
      </c>
      <c r="P41" s="75"/>
      <c r="Q41" s="75">
        <f t="shared" si="21"/>
        <v>6766090.4100000001</v>
      </c>
      <c r="R41" s="75"/>
      <c r="S41" s="75"/>
      <c r="T41" s="75">
        <f t="shared" si="21"/>
        <v>21084505.18</v>
      </c>
      <c r="U41" s="75">
        <f t="shared" si="21"/>
        <v>21084505.18</v>
      </c>
      <c r="V41" s="75">
        <f t="shared" si="21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 t="shared" ref="G42:G45" si="22"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6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 t="shared" si="1"/>
        <v>3791748.84</v>
      </c>
      <c r="U42" s="75">
        <f t="shared" si="2"/>
        <v>3791748.84</v>
      </c>
      <c r="V42" s="75">
        <f t="shared" si="3"/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 t="shared" si="22"/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6"/>
        <v>77236.239999999991</v>
      </c>
      <c r="N43" s="75">
        <f t="shared" ref="N43:N46" si="23">G43*J43</f>
        <v>2599060.92</v>
      </c>
      <c r="O43" s="75">
        <f t="shared" ref="O43:O46" si="24">G43*K43</f>
        <v>922843.68</v>
      </c>
      <c r="P43" s="75"/>
      <c r="Q43" s="75">
        <f t="shared" ref="Q43:Q45" si="25">G43*L43</f>
        <v>2348049.64</v>
      </c>
      <c r="R43" s="75"/>
      <c r="S43" s="75"/>
      <c r="T43" s="75">
        <f t="shared" si="1"/>
        <v>5869954.2400000002</v>
      </c>
      <c r="U43" s="75">
        <f t="shared" si="2"/>
        <v>5869954.2399999993</v>
      </c>
      <c r="V43" s="75">
        <f t="shared" si="3"/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 t="shared" si="22"/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6"/>
        <v>185131.64999999997</v>
      </c>
      <c r="N44" s="75">
        <f t="shared" si="23"/>
        <v>3410245.92</v>
      </c>
      <c r="O44" s="75">
        <f t="shared" si="24"/>
        <v>291424.32</v>
      </c>
      <c r="P44" s="75"/>
      <c r="Q44" s="75">
        <f t="shared" si="25"/>
        <v>741489.36</v>
      </c>
      <c r="R44" s="75"/>
      <c r="S44" s="75"/>
      <c r="T44" s="75">
        <f t="shared" si="1"/>
        <v>4443159.5999999996</v>
      </c>
      <c r="U44" s="75">
        <f t="shared" si="2"/>
        <v>4443159.5999999996</v>
      </c>
      <c r="V44" s="75">
        <f t="shared" si="3"/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 t="shared" si="22"/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6"/>
        <v>93061.9</v>
      </c>
      <c r="N45" s="75">
        <f t="shared" si="23"/>
        <v>3751787.25</v>
      </c>
      <c r="O45" s="75">
        <f t="shared" si="24"/>
        <v>910701</v>
      </c>
      <c r="P45" s="75"/>
      <c r="Q45" s="75">
        <f t="shared" si="25"/>
        <v>2317154.25</v>
      </c>
      <c r="R45" s="75"/>
      <c r="S45" s="75"/>
      <c r="T45" s="75">
        <f t="shared" si="1"/>
        <v>6979642.5</v>
      </c>
      <c r="U45" s="75">
        <f t="shared" si="2"/>
        <v>6979642.5</v>
      </c>
      <c r="V45" s="75">
        <f t="shared" si="3"/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 t="shared" ref="G46" si="26"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6"/>
        <v>10176.66</v>
      </c>
      <c r="N46" s="75">
        <f t="shared" si="23"/>
        <v>0</v>
      </c>
      <c r="O46" s="75">
        <f t="shared" si="24"/>
        <v>0</v>
      </c>
      <c r="P46" s="75"/>
      <c r="Q46" s="75">
        <f>G46*L46</f>
        <v>2228688.54</v>
      </c>
      <c r="R46" s="75"/>
      <c r="S46" s="75"/>
      <c r="T46" s="75">
        <f t="shared" si="1"/>
        <v>2228688.54</v>
      </c>
      <c r="U46" s="75">
        <f t="shared" si="2"/>
        <v>2228688.54</v>
      </c>
      <c r="V46" s="75">
        <f t="shared" si="3"/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6"/>
        <v>0</v>
      </c>
      <c r="N48" s="78">
        <f>N49+N54</f>
        <v>4967010.3499999996</v>
      </c>
      <c r="O48" s="78">
        <f t="shared" ref="O48:V48" si="27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27"/>
        <v>11033489.57</v>
      </c>
      <c r="U48" s="78">
        <f t="shared" si="27"/>
        <v>11033489.57</v>
      </c>
      <c r="V48" s="78">
        <f t="shared" si="27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6"/>
        <v>0</v>
      </c>
      <c r="N49" s="75">
        <f t="shared" ref="N49:V49" si="28">SUM(N50:N53)</f>
        <v>4967010.3499999996</v>
      </c>
      <c r="O49" s="75">
        <f t="shared" si="28"/>
        <v>1384265.52</v>
      </c>
      <c r="P49" s="75"/>
      <c r="Q49" s="75">
        <f t="shared" si="28"/>
        <v>3522074.46</v>
      </c>
      <c r="R49" s="75"/>
      <c r="S49" s="75"/>
      <c r="T49" s="75">
        <f t="shared" si="28"/>
        <v>9873350.3300000001</v>
      </c>
      <c r="U49" s="75">
        <f t="shared" si="28"/>
        <v>9873350.3300000001</v>
      </c>
      <c r="V49" s="75">
        <f t="shared" si="28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 t="shared" ref="G50:G53" si="29"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6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 t="shared" si="1"/>
        <v>2671459.41</v>
      </c>
      <c r="U50" s="75">
        <f t="shared" si="2"/>
        <v>2671459.41</v>
      </c>
      <c r="V50" s="75">
        <f t="shared" si="3"/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6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 t="shared" si="29"/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 t="shared" ref="M53" si="30">J53+K53+L53</f>
        <v>93061.9</v>
      </c>
      <c r="N53" s="75">
        <f t="shared" ref="N53:N54" si="31">G53*J53</f>
        <v>2501191.5</v>
      </c>
      <c r="O53" s="75">
        <f t="shared" ref="O53:O54" si="32">G53*K53</f>
        <v>607134</v>
      </c>
      <c r="P53" s="75"/>
      <c r="Q53" s="75">
        <f t="shared" ref="Q53:Q54" si="33">G53*L53</f>
        <v>1544769.5</v>
      </c>
      <c r="R53" s="75"/>
      <c r="S53" s="75"/>
      <c r="T53" s="75">
        <f t="shared" ref="T53" si="34">SUM(N53:Q53)</f>
        <v>4653095</v>
      </c>
      <c r="U53" s="75">
        <f t="shared" ref="U53" si="35">H53*M53</f>
        <v>4653095</v>
      </c>
      <c r="V53" s="75">
        <f t="shared" ref="V53" si="36"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6"/>
        <v>10176.66</v>
      </c>
      <c r="N54" s="75">
        <f t="shared" si="31"/>
        <v>0</v>
      </c>
      <c r="O54" s="75">
        <f t="shared" si="32"/>
        <v>0</v>
      </c>
      <c r="P54" s="75"/>
      <c r="Q54" s="75">
        <f t="shared" si="33"/>
        <v>1160139.24</v>
      </c>
      <c r="R54" s="75"/>
      <c r="S54" s="75"/>
      <c r="T54" s="75">
        <f t="shared" si="1"/>
        <v>1160139.24</v>
      </c>
      <c r="U54" s="75">
        <f t="shared" si="2"/>
        <v>1160139.24</v>
      </c>
      <c r="V54" s="75">
        <f t="shared" si="3"/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6"/>
        <v>0</v>
      </c>
      <c r="N56" s="78">
        <f>N57+N61</f>
        <v>6619023.6899999995</v>
      </c>
      <c r="O56" s="78">
        <f t="shared" ref="O56:V56" si="37">O57+O61</f>
        <v>1954971.48</v>
      </c>
      <c r="P56" s="78"/>
      <c r="Q56" s="179">
        <f t="shared" si="37"/>
        <v>6612600.0499999998</v>
      </c>
      <c r="R56" s="179"/>
      <c r="S56" s="78">
        <f>S55</f>
        <v>1396379.1600000001</v>
      </c>
      <c r="T56" s="78">
        <f t="shared" si="37"/>
        <v>15186595.220000001</v>
      </c>
      <c r="U56" s="78">
        <f t="shared" si="37"/>
        <v>15186595.219999999</v>
      </c>
      <c r="V56" s="78">
        <f t="shared" si="37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6"/>
        <v>0</v>
      </c>
      <c r="N57" s="75">
        <f>SUM(N58:N60)</f>
        <v>6619023.6899999995</v>
      </c>
      <c r="O57" s="75">
        <f t="shared" ref="O57:T57" si="38">SUM(O58:O60)</f>
        <v>1954971.48</v>
      </c>
      <c r="P57" s="75"/>
      <c r="Q57" s="75">
        <f t="shared" si="38"/>
        <v>4974157.79</v>
      </c>
      <c r="R57" s="75"/>
      <c r="S57" s="75"/>
      <c r="T57" s="75">
        <f t="shared" si="38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 t="shared" ref="G58:G60" si="39"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6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 t="shared" si="1"/>
        <v>3102339.96</v>
      </c>
      <c r="U58" s="75">
        <f t="shared" si="2"/>
        <v>3102339.96</v>
      </c>
      <c r="V58" s="75">
        <f t="shared" si="3"/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 t="shared" si="39"/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6"/>
        <v>77236.239999999991</v>
      </c>
      <c r="N59" s="75">
        <f>G59*J59</f>
        <v>2564862.75</v>
      </c>
      <c r="O59" s="75">
        <f t="shared" ref="O59:O61" si="40">G59*K59</f>
        <v>910701</v>
      </c>
      <c r="P59" s="75"/>
      <c r="Q59" s="75">
        <f t="shared" ref="Q59:Q60" si="41">G59*L59</f>
        <v>2317154.25</v>
      </c>
      <c r="R59" s="75"/>
      <c r="S59" s="75"/>
      <c r="T59" s="75">
        <f t="shared" si="1"/>
        <v>5792718</v>
      </c>
      <c r="U59" s="75">
        <f t="shared" si="2"/>
        <v>5792717.9999999991</v>
      </c>
      <c r="V59" s="75">
        <f t="shared" si="3"/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 t="shared" si="39"/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6"/>
        <v>93061.9</v>
      </c>
      <c r="N60" s="75">
        <f>G60*J60</f>
        <v>2501191.5</v>
      </c>
      <c r="O60" s="75">
        <f t="shared" si="40"/>
        <v>607134</v>
      </c>
      <c r="P60" s="75"/>
      <c r="Q60" s="75">
        <f t="shared" si="41"/>
        <v>1544769.5</v>
      </c>
      <c r="R60" s="75"/>
      <c r="S60" s="75"/>
      <c r="T60" s="75">
        <f t="shared" si="1"/>
        <v>4653095</v>
      </c>
      <c r="U60" s="75">
        <f t="shared" si="2"/>
        <v>4653095</v>
      </c>
      <c r="V60" s="75">
        <f t="shared" si="3"/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 t="shared" ref="G61" si="42"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6"/>
        <v>10176.66</v>
      </c>
      <c r="N61" s="75">
        <f t="shared" si="14"/>
        <v>0</v>
      </c>
      <c r="O61" s="75">
        <f t="shared" si="40"/>
        <v>0</v>
      </c>
      <c r="P61" s="75"/>
      <c r="Q61" s="75">
        <f>G61*L61</f>
        <v>1638442.26</v>
      </c>
      <c r="R61" s="75"/>
      <c r="S61" s="75"/>
      <c r="T61" s="75">
        <f t="shared" si="1"/>
        <v>1638442.26</v>
      </c>
      <c r="U61" s="75">
        <f t="shared" si="2"/>
        <v>1638442.26</v>
      </c>
      <c r="V61" s="75">
        <f t="shared" si="3"/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6"/>
        <v>0</v>
      </c>
      <c r="N63" s="78">
        <f t="shared" ref="N63:V63" si="43">N64+N71</f>
        <v>5077661.33</v>
      </c>
      <c r="O63" s="78">
        <f t="shared" si="43"/>
        <v>1384265.52</v>
      </c>
      <c r="P63" s="78"/>
      <c r="Q63" s="179">
        <f t="shared" si="43"/>
        <v>4682213.7</v>
      </c>
      <c r="R63" s="179"/>
      <c r="S63" s="78">
        <f>S62</f>
        <v>1972079.34</v>
      </c>
      <c r="T63" s="78">
        <f t="shared" si="43"/>
        <v>11144140.549999999</v>
      </c>
      <c r="U63" s="78">
        <f t="shared" si="43"/>
        <v>11144140.549999999</v>
      </c>
      <c r="V63" s="78">
        <f t="shared" si="43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6"/>
        <v>0</v>
      </c>
      <c r="N64" s="75">
        <f t="shared" ref="N64:V64" si="44">SUM(N65:N70)</f>
        <v>5077661.33</v>
      </c>
      <c r="O64" s="75">
        <f t="shared" si="44"/>
        <v>1384265.52</v>
      </c>
      <c r="P64" s="75"/>
      <c r="Q64" s="75">
        <f t="shared" si="44"/>
        <v>3522074.46</v>
      </c>
      <c r="R64" s="75"/>
      <c r="S64" s="75"/>
      <c r="T64" s="75">
        <f t="shared" si="44"/>
        <v>9984001.3099999987</v>
      </c>
      <c r="U64" s="75">
        <f t="shared" si="44"/>
        <v>9984001.3099999987</v>
      </c>
      <c r="V64" s="75">
        <f t="shared" si="44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66" si="45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6"/>
        <v>86176.11</v>
      </c>
      <c r="N65" s="75">
        <f t="shared" ref="N65:N71" si="46">G65*J65</f>
        <v>1078451</v>
      </c>
      <c r="O65" s="75">
        <f>G65*K65</f>
        <v>303567</v>
      </c>
      <c r="P65" s="75"/>
      <c r="Q65" s="75">
        <f>G65*L65</f>
        <v>772384.75</v>
      </c>
      <c r="R65" s="75"/>
      <c r="S65" s="75"/>
      <c r="T65" s="75">
        <f t="shared" si="1"/>
        <v>2154402.75</v>
      </c>
      <c r="U65" s="75">
        <f t="shared" si="2"/>
        <v>2154402.75</v>
      </c>
      <c r="V65" s="75">
        <f t="shared" si="3"/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45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6"/>
        <v>77236.239999999991</v>
      </c>
      <c r="N66" s="75">
        <f t="shared" si="46"/>
        <v>1333728.6299999999</v>
      </c>
      <c r="O66" s="75">
        <f t="shared" ref="O66:O71" si="47">G66*K66</f>
        <v>473564.52</v>
      </c>
      <c r="P66" s="75"/>
      <c r="Q66" s="75">
        <f t="shared" ref="Q66" si="48">G66*L66</f>
        <v>1204920.21</v>
      </c>
      <c r="R66" s="75"/>
      <c r="S66" s="75"/>
      <c r="T66" s="75">
        <f t="shared" si="1"/>
        <v>3012213.36</v>
      </c>
      <c r="U66" s="75">
        <f t="shared" si="2"/>
        <v>3012213.3599999994</v>
      </c>
      <c r="V66" s="75">
        <f t="shared" si="3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>(E67*8+F67*4)/12</f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 t="shared" ref="M67" si="49">J67+K67+L67</f>
        <v>93061.9</v>
      </c>
      <c r="N67" s="75">
        <f>G67*J67</f>
        <v>2501191.5</v>
      </c>
      <c r="O67" s="75">
        <f>G67*K67</f>
        <v>607134</v>
      </c>
      <c r="P67" s="75"/>
      <c r="Q67" s="75">
        <f>G67*L67</f>
        <v>1544769.5</v>
      </c>
      <c r="R67" s="75"/>
      <c r="S67" s="75"/>
      <c r="T67" s="75">
        <f>SUM(N67:Q67)</f>
        <v>4653095</v>
      </c>
      <c r="U67" s="75">
        <f t="shared" ref="U67" si="50">H67*M67</f>
        <v>4653095</v>
      </c>
      <c r="V67" s="75">
        <f t="shared" ref="V67" si="51">I67*M67</f>
        <v>4653095</v>
      </c>
    </row>
    <row r="68" spans="1:22" ht="56.25" customHeight="1">
      <c r="A68" s="83"/>
      <c r="B68" s="97" t="s">
        <v>180</v>
      </c>
      <c r="C68" s="301" t="s">
        <v>78</v>
      </c>
      <c r="D68" s="303" t="s">
        <v>20</v>
      </c>
      <c r="E68" s="87">
        <v>0</v>
      </c>
      <c r="F68" s="87">
        <v>0</v>
      </c>
      <c r="G68" s="87">
        <f>(E68*8+F68*4)/12</f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46"/>
        <v>0</v>
      </c>
      <c r="O68" s="75">
        <f>G68*K68</f>
        <v>0</v>
      </c>
      <c r="P68" s="75"/>
      <c r="Q68" s="75">
        <f>G68*L68</f>
        <v>0</v>
      </c>
      <c r="R68" s="75"/>
      <c r="S68" s="75"/>
      <c r="T68" s="75">
        <f>SUM(N68:Q68)</f>
        <v>0</v>
      </c>
      <c r="U68" s="75">
        <f>H68*M68</f>
        <v>0</v>
      </c>
      <c r="V68" s="75">
        <f>I68*M68</f>
        <v>0</v>
      </c>
    </row>
    <row r="69" spans="1:22" ht="21" customHeight="1">
      <c r="A69" s="83"/>
      <c r="B69" s="97" t="s">
        <v>181</v>
      </c>
      <c r="C69" s="302"/>
      <c r="D69" s="304"/>
      <c r="E69" s="87">
        <v>39</v>
      </c>
      <c r="F69" s="87">
        <v>39</v>
      </c>
      <c r="G69" s="87">
        <f>(E69*8+F69*4)/12</f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>G69*K69</f>
        <v>0</v>
      </c>
      <c r="P69" s="75"/>
      <c r="Q69" s="75">
        <f>G69*L69</f>
        <v>0</v>
      </c>
      <c r="R69" s="75"/>
      <c r="S69" s="75"/>
      <c r="T69" s="75">
        <f>SUM(N69:Q69)</f>
        <v>60637.2</v>
      </c>
      <c r="U69" s="75">
        <f>H69*M69</f>
        <v>60637.2</v>
      </c>
      <c r="V69" s="75">
        <f>I69*M69</f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>(E70*8+F70*4)/12</f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46"/>
        <v>103653</v>
      </c>
      <c r="O70" s="75">
        <f>G70*K70</f>
        <v>0</v>
      </c>
      <c r="P70" s="75"/>
      <c r="Q70" s="75">
        <f>G70*L70</f>
        <v>0</v>
      </c>
      <c r="R70" s="75"/>
      <c r="S70" s="75"/>
      <c r="T70" s="75">
        <f>SUM(N70:Q70)</f>
        <v>103653</v>
      </c>
      <c r="U70" s="75">
        <f>H70*M70</f>
        <v>103653</v>
      </c>
      <c r="V70" s="75">
        <f>I70*M70</f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>(E71*8+F71*4)/12</f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6"/>
        <v>10176.66</v>
      </c>
      <c r="N71" s="75">
        <f t="shared" si="46"/>
        <v>0</v>
      </c>
      <c r="O71" s="75">
        <f t="shared" si="47"/>
        <v>0</v>
      </c>
      <c r="P71" s="75"/>
      <c r="Q71" s="75">
        <f>G71*L71</f>
        <v>1160139.24</v>
      </c>
      <c r="R71" s="75"/>
      <c r="S71" s="75"/>
      <c r="T71" s="75">
        <f t="shared" si="1"/>
        <v>1160139.24</v>
      </c>
      <c r="U71" s="75">
        <f t="shared" si="2"/>
        <v>1160139.24</v>
      </c>
      <c r="V71" s="75">
        <f t="shared" si="3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6"/>
        <v>0</v>
      </c>
      <c r="N73" s="78">
        <f t="shared" ref="N73:V73" si="52">N74+N81</f>
        <v>11094680.750000002</v>
      </c>
      <c r="O73" s="78">
        <f t="shared" si="52"/>
        <v>2732103</v>
      </c>
      <c r="P73" s="78"/>
      <c r="Q73" s="179">
        <f t="shared" si="52"/>
        <v>9241211.25</v>
      </c>
      <c r="R73" s="179"/>
      <c r="S73" s="78">
        <f>S72</f>
        <v>1396379.1600000001</v>
      </c>
      <c r="T73" s="78">
        <f t="shared" si="52"/>
        <v>23067995</v>
      </c>
      <c r="U73" s="78">
        <f t="shared" si="52"/>
        <v>23067995</v>
      </c>
      <c r="V73" s="78">
        <f t="shared" si="52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53">SUM(N75:N80)</f>
        <v>11094680.750000002</v>
      </c>
      <c r="O74" s="75">
        <f t="shared" si="53"/>
        <v>2732103</v>
      </c>
      <c r="P74" s="75"/>
      <c r="Q74" s="75">
        <f t="shared" si="53"/>
        <v>6951462.75</v>
      </c>
      <c r="R74" s="75"/>
      <c r="S74" s="75"/>
      <c r="T74" s="75">
        <f t="shared" si="53"/>
        <v>20778246.5</v>
      </c>
      <c r="U74" s="75">
        <f t="shared" si="53"/>
        <v>20778246.5</v>
      </c>
      <c r="V74" s="75">
        <f t="shared" si="53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54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6"/>
        <v>86176.11</v>
      </c>
      <c r="N75" s="75">
        <f>G75*J75</f>
        <v>3019662.8000000003</v>
      </c>
      <c r="O75" s="75">
        <f>G75*K75</f>
        <v>849987.6</v>
      </c>
      <c r="P75" s="75"/>
      <c r="Q75" s="75">
        <f>G75*L75</f>
        <v>2162677.2999999998</v>
      </c>
      <c r="R75" s="75"/>
      <c r="S75" s="75"/>
      <c r="T75" s="75">
        <f t="shared" si="1"/>
        <v>6032327.7000000002</v>
      </c>
      <c r="U75" s="75">
        <f t="shared" si="2"/>
        <v>6032327.7000000002</v>
      </c>
      <c r="V75" s="75">
        <f t="shared" si="3"/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54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>G76*J76</f>
        <v>0</v>
      </c>
      <c r="O76" s="75">
        <f t="shared" ref="O76:O81" si="55">G76*K76</f>
        <v>0</v>
      </c>
      <c r="P76" s="75"/>
      <c r="Q76" s="75">
        <f t="shared" ref="Q76:Q78" si="56">G76*L76</f>
        <v>0</v>
      </c>
      <c r="R76" s="75"/>
      <c r="S76" s="75"/>
      <c r="T76" s="75">
        <f t="shared" si="1"/>
        <v>0</v>
      </c>
      <c r="U76" s="75">
        <f t="shared" si="2"/>
        <v>0</v>
      </c>
      <c r="V76" s="75">
        <f t="shared" si="3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54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6"/>
        <v>93061.9</v>
      </c>
      <c r="N77" s="75">
        <f t="shared" ref="N77:N78" si="57">G77*J77</f>
        <v>7753693.6500000004</v>
      </c>
      <c r="O77" s="75">
        <f t="shared" si="55"/>
        <v>1882115.4000000001</v>
      </c>
      <c r="P77" s="75"/>
      <c r="Q77" s="75">
        <f t="shared" si="56"/>
        <v>4788785.45</v>
      </c>
      <c r="R77" s="75"/>
      <c r="S77" s="75"/>
      <c r="T77" s="75">
        <f t="shared" si="1"/>
        <v>14424594.5</v>
      </c>
      <c r="U77" s="75">
        <f t="shared" si="2"/>
        <v>14424594.5</v>
      </c>
      <c r="V77" s="75">
        <f t="shared" si="3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54"/>
        <v>0</v>
      </c>
      <c r="H78" s="87"/>
      <c r="I78" s="87"/>
      <c r="J78" s="75">
        <v>2073.06</v>
      </c>
      <c r="K78" s="75"/>
      <c r="L78" s="156"/>
      <c r="M78" s="75">
        <f t="shared" si="6"/>
        <v>2073.06</v>
      </c>
      <c r="N78" s="75">
        <f t="shared" si="57"/>
        <v>0</v>
      </c>
      <c r="O78" s="75">
        <f t="shared" si="55"/>
        <v>0</v>
      </c>
      <c r="P78" s="75"/>
      <c r="Q78" s="75">
        <f t="shared" si="56"/>
        <v>0</v>
      </c>
      <c r="R78" s="75"/>
      <c r="S78" s="75"/>
      <c r="T78" s="75">
        <f t="shared" si="1"/>
        <v>0</v>
      </c>
      <c r="U78" s="75">
        <f t="shared" si="2"/>
        <v>0</v>
      </c>
      <c r="V78" s="75">
        <f t="shared" si="3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54"/>
        <v>0</v>
      </c>
      <c r="H79" s="87"/>
      <c r="I79" s="87"/>
      <c r="J79" s="75">
        <v>1554.8</v>
      </c>
      <c r="K79" s="75"/>
      <c r="L79" s="156"/>
      <c r="M79" s="75">
        <f t="shared" ref="M79:M80" si="58">J79+K79+L79</f>
        <v>1554.8</v>
      </c>
      <c r="N79" s="75">
        <f t="shared" ref="N79:N80" si="59">G79*J79</f>
        <v>0</v>
      </c>
      <c r="O79" s="75">
        <f t="shared" ref="O79:O80" si="60">G79*K79</f>
        <v>0</v>
      </c>
      <c r="P79" s="75"/>
      <c r="Q79" s="75">
        <f t="shared" ref="Q79:Q80" si="61">G79*L79</f>
        <v>0</v>
      </c>
      <c r="R79" s="75"/>
      <c r="S79" s="75"/>
      <c r="T79" s="75">
        <f t="shared" ref="T79:T80" si="62">SUM(N79:Q79)</f>
        <v>0</v>
      </c>
      <c r="U79" s="75">
        <f t="shared" ref="U79:U80" si="63">H79*M79</f>
        <v>0</v>
      </c>
      <c r="V79" s="75">
        <f t="shared" ref="V79:V80" si="64">I79*M79</f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54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 t="shared" si="58"/>
        <v>2073.06</v>
      </c>
      <c r="N80" s="75">
        <f t="shared" si="59"/>
        <v>321324.3</v>
      </c>
      <c r="O80" s="75">
        <f t="shared" si="60"/>
        <v>0</v>
      </c>
      <c r="P80" s="75"/>
      <c r="Q80" s="75">
        <f t="shared" si="61"/>
        <v>0</v>
      </c>
      <c r="R80" s="75"/>
      <c r="S80" s="75"/>
      <c r="T80" s="75">
        <f t="shared" si="62"/>
        <v>321324.3</v>
      </c>
      <c r="U80" s="75">
        <f t="shared" si="63"/>
        <v>321324.3</v>
      </c>
      <c r="V80" s="75">
        <f t="shared" si="64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6"/>
        <v>10176.66</v>
      </c>
      <c r="N81" s="75">
        <f>G81*J81</f>
        <v>0</v>
      </c>
      <c r="O81" s="75">
        <f t="shared" si="55"/>
        <v>0</v>
      </c>
      <c r="P81" s="75"/>
      <c r="Q81" s="75">
        <f>G81*L81</f>
        <v>2289748.5</v>
      </c>
      <c r="R81" s="75"/>
      <c r="S81" s="75"/>
      <c r="T81" s="75">
        <f t="shared" si="1"/>
        <v>2289748.5</v>
      </c>
      <c r="U81" s="75">
        <f t="shared" si="2"/>
        <v>2289748.5</v>
      </c>
      <c r="V81" s="75">
        <f t="shared" si="3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6"/>
        <v>0</v>
      </c>
      <c r="N83" s="78">
        <f>N84+N88</f>
        <v>6224984.6600000001</v>
      </c>
      <c r="O83" s="78">
        <f t="shared" ref="O83:V83" si="65">O84+O88</f>
        <v>1699975.2000000002</v>
      </c>
      <c r="P83" s="78"/>
      <c r="Q83" s="179">
        <f t="shared" si="65"/>
        <v>5750087</v>
      </c>
      <c r="R83" s="179"/>
      <c r="S83" s="78">
        <f>S82</f>
        <v>2756011.5</v>
      </c>
      <c r="T83" s="78">
        <f t="shared" si="65"/>
        <v>13675046.860000001</v>
      </c>
      <c r="U83" s="78">
        <f t="shared" si="65"/>
        <v>13675046.860000001</v>
      </c>
      <c r="V83" s="78">
        <f t="shared" si="65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6"/>
        <v>0</v>
      </c>
      <c r="N84" s="75">
        <f>SUM(N85:N87)</f>
        <v>6224984.6600000001</v>
      </c>
      <c r="O84" s="75">
        <f t="shared" ref="O84:V84" si="66">SUM(O85:O87)</f>
        <v>1699975.2000000002</v>
      </c>
      <c r="P84" s="75"/>
      <c r="Q84" s="75">
        <f t="shared" si="66"/>
        <v>4325354.5999999996</v>
      </c>
      <c r="R84" s="75"/>
      <c r="S84" s="75"/>
      <c r="T84" s="75">
        <f t="shared" si="66"/>
        <v>12250314.460000001</v>
      </c>
      <c r="U84" s="75">
        <f t="shared" si="66"/>
        <v>12250314.460000001</v>
      </c>
      <c r="V84" s="75">
        <f t="shared" si="66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 t="shared" ref="G85:G88" si="67"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6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 t="shared" si="1"/>
        <v>2412931.08</v>
      </c>
      <c r="U85" s="75">
        <f t="shared" si="2"/>
        <v>2412931.08</v>
      </c>
      <c r="V85" s="75">
        <f t="shared" si="3"/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 t="shared" si="67"/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6"/>
        <v>77236.239999999991</v>
      </c>
      <c r="N86" s="75">
        <f t="shared" ref="N86:N88" si="68">G86*J86</f>
        <v>1265332.29</v>
      </c>
      <c r="O86" s="75">
        <f t="shared" ref="O86:O88" si="69">G86*K86</f>
        <v>449279.16000000003</v>
      </c>
      <c r="P86" s="75"/>
      <c r="Q86" s="75">
        <f t="shared" ref="Q86:Q87" si="70">G86*L86</f>
        <v>1143129.43</v>
      </c>
      <c r="R86" s="75"/>
      <c r="S86" s="75"/>
      <c r="T86" s="75">
        <f t="shared" si="1"/>
        <v>2857740.88</v>
      </c>
      <c r="U86" s="75">
        <f t="shared" si="2"/>
        <v>2857740.88</v>
      </c>
      <c r="V86" s="75">
        <f t="shared" si="3"/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 t="shared" si="67"/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 t="shared" ref="M87" si="71">J87+K87+L87</f>
        <v>93061.9</v>
      </c>
      <c r="N87" s="75">
        <f t="shared" si="68"/>
        <v>3751787.25</v>
      </c>
      <c r="O87" s="75">
        <f t="shared" si="69"/>
        <v>910701</v>
      </c>
      <c r="P87" s="75"/>
      <c r="Q87" s="75">
        <f t="shared" si="70"/>
        <v>2317154.25</v>
      </c>
      <c r="R87" s="75"/>
      <c r="S87" s="75"/>
      <c r="T87" s="75">
        <f t="shared" ref="T87" si="72">SUM(N87:Q87)</f>
        <v>6979642.5</v>
      </c>
      <c r="U87" s="75">
        <f t="shared" ref="U87" si="73">H87*M87</f>
        <v>6979642.5</v>
      </c>
      <c r="V87" s="75">
        <f t="shared" ref="V87" si="74"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 t="shared" si="67"/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6"/>
        <v>10176.66</v>
      </c>
      <c r="N88" s="75">
        <f t="shared" si="68"/>
        <v>0</v>
      </c>
      <c r="O88" s="75">
        <f t="shared" si="69"/>
        <v>0</v>
      </c>
      <c r="P88" s="75"/>
      <c r="Q88" s="75">
        <f>G88*L88</f>
        <v>1424732.4</v>
      </c>
      <c r="R88" s="75"/>
      <c r="S88" s="75"/>
      <c r="T88" s="75">
        <f t="shared" si="1"/>
        <v>1424732.4</v>
      </c>
      <c r="U88" s="75">
        <f t="shared" si="2"/>
        <v>1424732.4</v>
      </c>
      <c r="V88" s="75">
        <f t="shared" si="3"/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6"/>
        <v>0</v>
      </c>
      <c r="N90" s="78">
        <f>N91+N95</f>
        <v>5861980.0199999996</v>
      </c>
      <c r="O90" s="78">
        <f t="shared" ref="O90:V90" si="75">O91+O95</f>
        <v>1724260.56</v>
      </c>
      <c r="P90" s="78"/>
      <c r="Q90" s="179">
        <f t="shared" si="75"/>
        <v>5832231.0999999996</v>
      </c>
      <c r="R90" s="179"/>
      <c r="S90" s="78">
        <f>S89</f>
        <v>1714851.6</v>
      </c>
      <c r="T90" s="78">
        <f t="shared" si="75"/>
        <v>13418471.680000002</v>
      </c>
      <c r="U90" s="78">
        <f t="shared" si="75"/>
        <v>13418471.68</v>
      </c>
      <c r="V90" s="78">
        <f t="shared" si="75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6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76">SUM(Q92:Q94)</f>
        <v>4387145.38</v>
      </c>
      <c r="R91" s="75"/>
      <c r="S91" s="75"/>
      <c r="T91" s="75">
        <f t="shared" si="76"/>
        <v>11973385.960000001</v>
      </c>
      <c r="U91" s="75">
        <f t="shared" si="76"/>
        <v>11973385.959999999</v>
      </c>
      <c r="V91" s="75">
        <f t="shared" si="76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 t="shared" ref="G92:G95" si="77"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6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 t="shared" si="1"/>
        <v>2068226.6400000001</v>
      </c>
      <c r="U92" s="75">
        <f t="shared" si="2"/>
        <v>2068226.6400000001</v>
      </c>
      <c r="V92" s="75">
        <f t="shared" si="3"/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 t="shared" si="77"/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6"/>
        <v>77236.239999999991</v>
      </c>
      <c r="N93" s="75">
        <f t="shared" ref="N93:N95" si="78">G93*J93</f>
        <v>2325475.56</v>
      </c>
      <c r="O93" s="75">
        <f>G93*K93</f>
        <v>825702.24</v>
      </c>
      <c r="P93" s="75"/>
      <c r="Q93" s="75">
        <f t="shared" ref="Q93:Q94" si="79">G93*L93</f>
        <v>2100886.52</v>
      </c>
      <c r="R93" s="75"/>
      <c r="S93" s="75"/>
      <c r="T93" s="75">
        <f t="shared" si="1"/>
        <v>5252064.32</v>
      </c>
      <c r="U93" s="75">
        <f t="shared" si="2"/>
        <v>5252064.3199999994</v>
      </c>
      <c r="V93" s="75">
        <f t="shared" si="3"/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 t="shared" si="77"/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6"/>
        <v>93061.9</v>
      </c>
      <c r="N94" s="75">
        <f t="shared" si="78"/>
        <v>2501191.5</v>
      </c>
      <c r="O94" s="75">
        <f>G94*K94</f>
        <v>607134</v>
      </c>
      <c r="P94" s="75"/>
      <c r="Q94" s="75">
        <f t="shared" si="79"/>
        <v>1544769.5</v>
      </c>
      <c r="R94" s="75"/>
      <c r="S94" s="75"/>
      <c r="T94" s="75">
        <f t="shared" si="1"/>
        <v>4653095</v>
      </c>
      <c r="U94" s="75">
        <f t="shared" si="2"/>
        <v>4653095</v>
      </c>
      <c r="V94" s="75">
        <f t="shared" si="3"/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 t="shared" si="77"/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6"/>
        <v>10176.66</v>
      </c>
      <c r="N95" s="75">
        <f t="shared" si="78"/>
        <v>0</v>
      </c>
      <c r="O95" s="75">
        <f t="shared" ref="O95" si="80">G95*K95</f>
        <v>0</v>
      </c>
      <c r="P95" s="75"/>
      <c r="Q95" s="75">
        <f>G95*L95</f>
        <v>1445085.72</v>
      </c>
      <c r="R95" s="75"/>
      <c r="S95" s="75"/>
      <c r="T95" s="75">
        <f t="shared" si="1"/>
        <v>1445085.72</v>
      </c>
      <c r="U95" s="75">
        <f t="shared" si="2"/>
        <v>1445085.72</v>
      </c>
      <c r="V95" s="75">
        <f t="shared" si="3"/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6"/>
        <v>0</v>
      </c>
      <c r="N97" s="78">
        <f>N98+N102</f>
        <v>10839512.129999999</v>
      </c>
      <c r="O97" s="78">
        <f t="shared" ref="O97:V97" si="81">O98+O102</f>
        <v>2974956.6</v>
      </c>
      <c r="P97" s="78"/>
      <c r="Q97" s="179">
        <f t="shared" si="81"/>
        <v>9611389.5999999996</v>
      </c>
      <c r="R97" s="179"/>
      <c r="S97" s="78">
        <f>S96</f>
        <v>1739349.48</v>
      </c>
      <c r="T97" s="78">
        <f t="shared" si="81"/>
        <v>23425858.330000002</v>
      </c>
      <c r="U97" s="78">
        <f t="shared" si="81"/>
        <v>23425867.73</v>
      </c>
      <c r="V97" s="78">
        <f t="shared" si="81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 t="shared" ref="M98:M102" si="82">J98+K98+L98</f>
        <v>0</v>
      </c>
      <c r="N98" s="75">
        <f>SUM(N99:N101)</f>
        <v>10839512.129999999</v>
      </c>
      <c r="O98" s="75">
        <f t="shared" ref="O98:V98" si="83">SUM(O99:O101)</f>
        <v>2974956.6</v>
      </c>
      <c r="P98" s="75"/>
      <c r="Q98" s="75">
        <f t="shared" si="83"/>
        <v>7075462.7999999998</v>
      </c>
      <c r="R98" s="75"/>
      <c r="S98" s="75"/>
      <c r="T98" s="75">
        <f>SUM(T99:T101)</f>
        <v>20889931.530000001</v>
      </c>
      <c r="U98" s="75">
        <f t="shared" si="83"/>
        <v>20889931.530000001</v>
      </c>
      <c r="V98" s="75">
        <f t="shared" si="83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 t="shared" ref="G99:G102" si="84"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 t="shared" si="82"/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 t="shared" ref="T99:T102" si="85">SUM(N99:Q99)</f>
        <v>4544648.6399999997</v>
      </c>
      <c r="U99" s="75">
        <f t="shared" ref="U99:U102" si="86">H99*M99</f>
        <v>4544648.6400000006</v>
      </c>
      <c r="V99" s="75">
        <f t="shared" ref="V99:V102" si="87"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 t="shared" si="84"/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 t="shared" si="82"/>
        <v>75220.289999999994</v>
      </c>
      <c r="N100" s="75">
        <f t="shared" ref="N100:N102" si="88">G100*J100</f>
        <v>2257079.2199999997</v>
      </c>
      <c r="O100" s="75">
        <f t="shared" ref="O100:O102" si="89">G100*K100</f>
        <v>801416.88</v>
      </c>
      <c r="P100" s="75"/>
      <c r="Q100" s="75">
        <f t="shared" ref="Q100:Q101" si="90">G100*L100</f>
        <v>1906043.0399999998</v>
      </c>
      <c r="R100" s="75"/>
      <c r="S100" s="75"/>
      <c r="T100" s="75">
        <f t="shared" si="85"/>
        <v>4964539.1399999997</v>
      </c>
      <c r="U100" s="75">
        <f t="shared" si="86"/>
        <v>4964539.1399999997</v>
      </c>
      <c r="V100" s="75">
        <f t="shared" si="87"/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 t="shared" si="84"/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 t="shared" si="82"/>
        <v>91045.95</v>
      </c>
      <c r="N101" s="75">
        <f t="shared" si="88"/>
        <v>6252978.75</v>
      </c>
      <c r="O101" s="75">
        <f t="shared" si="89"/>
        <v>1517835</v>
      </c>
      <c r="P101" s="75"/>
      <c r="Q101" s="75">
        <f t="shared" si="90"/>
        <v>3609930</v>
      </c>
      <c r="R101" s="75"/>
      <c r="S101" s="75"/>
      <c r="T101" s="75">
        <f t="shared" si="85"/>
        <v>11380743.75</v>
      </c>
      <c r="U101" s="75">
        <f t="shared" si="86"/>
        <v>11380743.75</v>
      </c>
      <c r="V101" s="75">
        <f t="shared" si="87"/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 t="shared" si="84"/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 t="shared" si="82"/>
        <v>10350.76</v>
      </c>
      <c r="N102" s="75">
        <f t="shared" si="88"/>
        <v>0</v>
      </c>
      <c r="O102" s="75">
        <f t="shared" si="89"/>
        <v>0</v>
      </c>
      <c r="P102" s="75"/>
      <c r="Q102" s="75">
        <f>G102*L102-9.4</f>
        <v>2535926.8000000003</v>
      </c>
      <c r="R102" s="75"/>
      <c r="S102" s="75"/>
      <c r="T102" s="75">
        <f t="shared" si="85"/>
        <v>2535926.8000000003</v>
      </c>
      <c r="U102" s="75">
        <f t="shared" si="86"/>
        <v>2535936.2000000002</v>
      </c>
      <c r="V102" s="75">
        <f t="shared" si="87"/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293" t="s">
        <v>154</v>
      </c>
      <c r="B104" s="293"/>
      <c r="C104" s="293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297" t="s">
        <v>3</v>
      </c>
      <c r="B105" s="297" t="s">
        <v>86</v>
      </c>
      <c r="C105" s="114" t="s">
        <v>87</v>
      </c>
      <c r="D105" s="297" t="s">
        <v>4</v>
      </c>
      <c r="E105" s="298" t="s">
        <v>5</v>
      </c>
      <c r="F105" s="298"/>
      <c r="G105" s="298"/>
      <c r="H105" s="298"/>
      <c r="I105" s="298"/>
      <c r="J105" s="285" t="s">
        <v>6</v>
      </c>
      <c r="K105" s="285"/>
      <c r="L105" s="285"/>
      <c r="M105" s="285"/>
      <c r="N105" s="285" t="s">
        <v>7</v>
      </c>
      <c r="O105" s="285"/>
      <c r="P105" s="285"/>
      <c r="Q105" s="285"/>
      <c r="R105" s="285"/>
      <c r="S105" s="285"/>
      <c r="T105" s="285"/>
      <c r="U105" s="285"/>
      <c r="V105" s="285"/>
    </row>
    <row r="106" spans="1:22" ht="110.4">
      <c r="A106" s="297"/>
      <c r="B106" s="297"/>
      <c r="C106" s="114"/>
      <c r="D106" s="297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305" t="s">
        <v>98</v>
      </c>
      <c r="B108" s="307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305"/>
      <c r="B109" s="308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305"/>
      <c r="B110" s="308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305"/>
      <c r="B111" s="308"/>
      <c r="C111" s="15" t="s">
        <v>169</v>
      </c>
      <c r="D111" s="64"/>
      <c r="E111" s="59">
        <v>7</v>
      </c>
      <c r="F111" s="59">
        <v>7</v>
      </c>
      <c r="G111" s="59">
        <f t="shared" ref="G111:G118" si="91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92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305"/>
      <c r="B112" s="308"/>
      <c r="C112" s="15" t="s">
        <v>165</v>
      </c>
      <c r="D112" s="64"/>
      <c r="E112" s="59">
        <v>4</v>
      </c>
      <c r="F112" s="59">
        <v>4</v>
      </c>
      <c r="G112" s="59">
        <f t="shared" si="91"/>
        <v>4</v>
      </c>
      <c r="H112" s="59">
        <v>4</v>
      </c>
      <c r="I112" s="59">
        <v>4</v>
      </c>
      <c r="J112" s="71">
        <f t="shared" ref="J112:J117" si="93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94">O112</f>
        <v>369873</v>
      </c>
      <c r="O112" s="146">
        <f t="shared" si="92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95">H112*K112</f>
        <v>369873</v>
      </c>
      <c r="V112" s="100">
        <f t="shared" ref="V112:V117" si="96">I112*K112</f>
        <v>369873</v>
      </c>
    </row>
    <row r="113" spans="1:25">
      <c r="A113" s="305"/>
      <c r="B113" s="308"/>
      <c r="C113" s="15" t="s">
        <v>166</v>
      </c>
      <c r="D113" s="64"/>
      <c r="E113" s="59">
        <v>17</v>
      </c>
      <c r="F113" s="59">
        <v>17</v>
      </c>
      <c r="G113" s="59">
        <f t="shared" si="91"/>
        <v>17</v>
      </c>
      <c r="H113" s="59">
        <v>17</v>
      </c>
      <c r="I113" s="59">
        <v>17</v>
      </c>
      <c r="J113" s="71">
        <f t="shared" si="93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94"/>
        <v>1128142.4400000002</v>
      </c>
      <c r="O113" s="146">
        <f t="shared" si="92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95"/>
        <v>1128142.4400000002</v>
      </c>
      <c r="V113" s="100">
        <f t="shared" si="96"/>
        <v>1128142.4400000002</v>
      </c>
    </row>
    <row r="114" spans="1:25">
      <c r="A114" s="305"/>
      <c r="B114" s="308"/>
      <c r="C114" s="15" t="s">
        <v>167</v>
      </c>
      <c r="D114" s="64"/>
      <c r="E114" s="59">
        <v>1</v>
      </c>
      <c r="F114" s="59">
        <v>1</v>
      </c>
      <c r="G114" s="59">
        <f t="shared" si="91"/>
        <v>1</v>
      </c>
      <c r="H114" s="59">
        <v>1</v>
      </c>
      <c r="I114" s="59">
        <v>1</v>
      </c>
      <c r="J114" s="71">
        <f t="shared" si="93"/>
        <v>174890.83</v>
      </c>
      <c r="K114" s="75">
        <v>174890.83</v>
      </c>
      <c r="L114" s="72" t="s">
        <v>104</v>
      </c>
      <c r="M114" s="72" t="s">
        <v>104</v>
      </c>
      <c r="N114" s="140">
        <f t="shared" si="94"/>
        <v>174890.83</v>
      </c>
      <c r="O114" s="146">
        <f t="shared" si="92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95"/>
        <v>174890.83</v>
      </c>
      <c r="V114" s="100">
        <f t="shared" si="96"/>
        <v>174890.83</v>
      </c>
    </row>
    <row r="115" spans="1:25">
      <c r="A115" s="305"/>
      <c r="B115" s="308"/>
      <c r="C115" s="15" t="s">
        <v>190</v>
      </c>
      <c r="D115" s="64"/>
      <c r="E115" s="59">
        <v>1</v>
      </c>
      <c r="F115" s="59">
        <v>1</v>
      </c>
      <c r="G115" s="157">
        <f t="shared" si="91"/>
        <v>1</v>
      </c>
      <c r="H115" s="59">
        <v>1</v>
      </c>
      <c r="I115" s="59">
        <v>1</v>
      </c>
      <c r="J115" s="71">
        <f t="shared" si="93"/>
        <v>178794.98</v>
      </c>
      <c r="K115" s="75">
        <v>178794.98</v>
      </c>
      <c r="L115" s="72"/>
      <c r="M115" s="72"/>
      <c r="N115" s="145">
        <f t="shared" si="94"/>
        <v>178794.98</v>
      </c>
      <c r="O115" s="146">
        <f t="shared" si="92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95"/>
        <v>178794.98</v>
      </c>
      <c r="V115" s="100">
        <f t="shared" si="96"/>
        <v>178794.98</v>
      </c>
    </row>
    <row r="116" spans="1:25">
      <c r="A116" s="305"/>
      <c r="B116" s="308"/>
      <c r="C116" s="15" t="s">
        <v>170</v>
      </c>
      <c r="D116" s="64"/>
      <c r="E116" s="59">
        <v>1</v>
      </c>
      <c r="F116" s="59">
        <v>1</v>
      </c>
      <c r="G116" s="59">
        <f t="shared" si="91"/>
        <v>1</v>
      </c>
      <c r="H116" s="59">
        <v>1</v>
      </c>
      <c r="I116" s="59">
        <v>1</v>
      </c>
      <c r="J116" s="71">
        <f t="shared" si="93"/>
        <v>99648.29</v>
      </c>
      <c r="K116" s="75">
        <v>99648.29</v>
      </c>
      <c r="L116" s="72" t="s">
        <v>104</v>
      </c>
      <c r="M116" s="72" t="s">
        <v>104</v>
      </c>
      <c r="N116" s="140">
        <f t="shared" si="94"/>
        <v>99648.29</v>
      </c>
      <c r="O116" s="146">
        <f t="shared" si="92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95"/>
        <v>99648.29</v>
      </c>
      <c r="V116" s="100">
        <f t="shared" si="96"/>
        <v>99648.29</v>
      </c>
    </row>
    <row r="117" spans="1:25">
      <c r="A117" s="305"/>
      <c r="B117" s="308"/>
      <c r="C117" s="63" t="s">
        <v>168</v>
      </c>
      <c r="D117" s="64"/>
      <c r="E117" s="59">
        <v>1</v>
      </c>
      <c r="F117" s="59">
        <v>1</v>
      </c>
      <c r="G117" s="157">
        <f t="shared" si="91"/>
        <v>1</v>
      </c>
      <c r="H117" s="59">
        <v>1</v>
      </c>
      <c r="I117" s="59">
        <v>1</v>
      </c>
      <c r="J117" s="71">
        <f t="shared" si="93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94"/>
        <v>23553.439999999999</v>
      </c>
      <c r="O117" s="146">
        <f t="shared" si="92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95"/>
        <v>23553.439999999999</v>
      </c>
      <c r="V117" s="100">
        <f t="shared" si="96"/>
        <v>23553.439999999999</v>
      </c>
    </row>
    <row r="118" spans="1:25" ht="110.4">
      <c r="A118" s="305"/>
      <c r="B118" s="308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91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 t="shared" ref="U118:U212" si="97">H118*J118</f>
        <v>553567.08000000007</v>
      </c>
      <c r="V118" s="100">
        <f t="shared" ref="V118:V212" si="98">I118*J118</f>
        <v>553567.08000000007</v>
      </c>
    </row>
    <row r="119" spans="1:25">
      <c r="A119" s="305"/>
      <c r="B119" s="309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 t="shared" ref="H119:I119" si="99">H108+H118</f>
        <v>272</v>
      </c>
      <c r="I119" s="123">
        <f t="shared" si="99"/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100">SUM(O108:O118)</f>
        <v>9509660.7999999989</v>
      </c>
      <c r="P119" s="71"/>
      <c r="Q119" s="71">
        <f t="shared" si="100"/>
        <v>1088541.2799999998</v>
      </c>
      <c r="R119" s="71"/>
      <c r="S119" s="71"/>
      <c r="T119" s="71">
        <f t="shared" si="100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305"/>
      <c r="B120" s="306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 t="shared" si="97"/>
        <v>11666779.92</v>
      </c>
      <c r="V120" s="75">
        <f t="shared" si="98"/>
        <v>11666779.92</v>
      </c>
      <c r="Y120" s="85"/>
    </row>
    <row r="121" spans="1:25" ht="111.75" customHeight="1">
      <c r="A121" s="305"/>
      <c r="B121" s="306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305"/>
      <c r="B122" s="306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305"/>
      <c r="B123" s="306"/>
      <c r="C123" s="63" t="s">
        <v>167</v>
      </c>
      <c r="D123" s="64" t="s">
        <v>101</v>
      </c>
      <c r="E123" s="60">
        <v>1</v>
      </c>
      <c r="F123" s="60">
        <v>1</v>
      </c>
      <c r="G123" s="157">
        <f t="shared" ref="G123:G125" si="101">((E123*8)+(F123*4))/12</f>
        <v>1</v>
      </c>
      <c r="H123" s="60">
        <v>1</v>
      </c>
      <c r="I123" s="60">
        <v>1</v>
      </c>
      <c r="J123" s="71">
        <f t="shared" ref="J123:J124" si="102"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 t="shared" ref="N123:N124" si="103">O123</f>
        <v>266106.15000000002</v>
      </c>
      <c r="O123" s="146">
        <f t="shared" ref="O123:O124" si="104"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 t="shared" ref="U123:U124" si="105">H123*K123</f>
        <v>266106.15000000002</v>
      </c>
      <c r="V123" s="75">
        <f t="shared" ref="V123:V124" si="106">I123*K123</f>
        <v>266106.15000000002</v>
      </c>
    </row>
    <row r="124" spans="1:25" ht="21" customHeight="1">
      <c r="A124" s="305"/>
      <c r="B124" s="306"/>
      <c r="C124" s="63" t="s">
        <v>168</v>
      </c>
      <c r="D124" s="64" t="s">
        <v>101</v>
      </c>
      <c r="E124" s="60">
        <v>3</v>
      </c>
      <c r="F124" s="60">
        <v>3</v>
      </c>
      <c r="G124" s="59">
        <f t="shared" si="101"/>
        <v>3</v>
      </c>
      <c r="H124" s="60">
        <v>3</v>
      </c>
      <c r="I124" s="60">
        <v>3</v>
      </c>
      <c r="J124" s="71">
        <f t="shared" si="102"/>
        <v>23553.439999999999</v>
      </c>
      <c r="K124" s="75">
        <v>23553.439999999999</v>
      </c>
      <c r="L124" s="59" t="s">
        <v>104</v>
      </c>
      <c r="M124" s="59" t="s">
        <v>104</v>
      </c>
      <c r="N124" s="71">
        <f t="shared" si="103"/>
        <v>70660.319999999992</v>
      </c>
      <c r="O124" s="146">
        <f t="shared" si="104"/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 t="shared" si="105"/>
        <v>70660.319999999992</v>
      </c>
      <c r="V124" s="75">
        <f t="shared" si="106"/>
        <v>70660.319999999992</v>
      </c>
    </row>
    <row r="125" spans="1:25" ht="110.4">
      <c r="A125" s="305"/>
      <c r="B125" s="306"/>
      <c r="C125" s="61" t="s">
        <v>105</v>
      </c>
      <c r="D125" s="64" t="s">
        <v>101</v>
      </c>
      <c r="E125" s="60"/>
      <c r="F125" s="60">
        <v>0</v>
      </c>
      <c r="G125" s="59">
        <f t="shared" si="101"/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305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 t="shared" ref="H126:I126" si="107">H120+H125</f>
        <v>226</v>
      </c>
      <c r="I126" s="122">
        <f t="shared" si="107"/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108">SUM(O120:O125)</f>
        <v>8656731.1700000018</v>
      </c>
      <c r="P126" s="74"/>
      <c r="Q126" s="74">
        <f t="shared" si="108"/>
        <v>904449.74</v>
      </c>
      <c r="R126" s="74"/>
      <c r="S126" s="74"/>
      <c r="T126" s="74">
        <f t="shared" si="108"/>
        <v>2627301.98</v>
      </c>
      <c r="U126" s="74">
        <f t="shared" si="108"/>
        <v>12188482.890000001</v>
      </c>
      <c r="V126" s="74">
        <f t="shared" si="108"/>
        <v>12188482.890000001</v>
      </c>
    </row>
    <row r="127" spans="1:25" ht="82.8">
      <c r="A127" s="305"/>
      <c r="B127" s="306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 t="shared" si="97"/>
        <v>2936556</v>
      </c>
      <c r="V127" s="75">
        <f t="shared" si="98"/>
        <v>2936556</v>
      </c>
    </row>
    <row r="128" spans="1:25" ht="82.8">
      <c r="A128" s="305"/>
      <c r="B128" s="306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305"/>
      <c r="B129" s="306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 t="shared" ref="J129" si="109"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 t="shared" ref="N129" si="110"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 t="shared" ref="U129" si="111">H129*K129</f>
        <v>0</v>
      </c>
      <c r="V129" s="75">
        <f t="shared" ref="V129" si="112">I129*K129</f>
        <v>0</v>
      </c>
    </row>
    <row r="130" spans="1:22" ht="110.4">
      <c r="A130" s="305"/>
      <c r="B130" s="306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 t="shared" si="97"/>
        <v>0</v>
      </c>
      <c r="V130" s="75">
        <f t="shared" si="98"/>
        <v>0</v>
      </c>
    </row>
    <row r="131" spans="1:22">
      <c r="A131" s="305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 t="shared" ref="G131" si="113"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114">SUM(N127:N130)</f>
        <v>2936556</v>
      </c>
      <c r="O131" s="74">
        <f t="shared" si="114"/>
        <v>2155195</v>
      </c>
      <c r="P131" s="74"/>
      <c r="Q131" s="74">
        <f t="shared" si="114"/>
        <v>200099.5</v>
      </c>
      <c r="R131" s="74"/>
      <c r="S131" s="74"/>
      <c r="T131" s="74">
        <f t="shared" si="114"/>
        <v>581261.5</v>
      </c>
      <c r="U131" s="74">
        <f t="shared" si="114"/>
        <v>2936556</v>
      </c>
      <c r="V131" s="74">
        <f t="shared" si="114"/>
        <v>2936556</v>
      </c>
    </row>
    <row r="132" spans="1:22" ht="96.6">
      <c r="A132" s="305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 t="shared" si="97"/>
        <v>2598130.2800000003</v>
      </c>
      <c r="V132" s="75">
        <f t="shared" si="98"/>
        <v>2598130.2800000003</v>
      </c>
    </row>
    <row r="133" spans="1:22">
      <c r="A133" s="305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115">SUM(M132:M132)</f>
        <v>0</v>
      </c>
      <c r="N133" s="74">
        <f t="shared" si="115"/>
        <v>2598130.2800000003</v>
      </c>
      <c r="O133" s="74">
        <f t="shared" si="115"/>
        <v>2598130.2800000003</v>
      </c>
      <c r="P133" s="74"/>
      <c r="Q133" s="74">
        <f t="shared" si="115"/>
        <v>0</v>
      </c>
      <c r="R133" s="74"/>
      <c r="S133" s="74"/>
      <c r="T133" s="74">
        <f t="shared" si="115"/>
        <v>0</v>
      </c>
      <c r="U133" s="74">
        <f t="shared" si="115"/>
        <v>2598130.2800000003</v>
      </c>
      <c r="V133" s="74">
        <f t="shared" si="115"/>
        <v>2598130.2800000003</v>
      </c>
    </row>
    <row r="134" spans="1:22">
      <c r="A134" s="305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305" t="s">
        <v>113</v>
      </c>
      <c r="B135" s="306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 t="shared" si="97"/>
        <v>10465570.17</v>
      </c>
      <c r="V135" s="75">
        <f t="shared" si="98"/>
        <v>10465570.17</v>
      </c>
    </row>
    <row r="136" spans="1:22" ht="96.6">
      <c r="A136" s="305"/>
      <c r="B136" s="306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305"/>
      <c r="B137" s="306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 t="shared" ref="J137:J141" si="116">K137</f>
        <v>69362.66</v>
      </c>
      <c r="K137" s="71">
        <v>69362.66</v>
      </c>
      <c r="L137" s="59"/>
      <c r="M137" s="59"/>
      <c r="N137" s="71">
        <f t="shared" ref="N137:N141" si="117">O137</f>
        <v>416175.96</v>
      </c>
      <c r="O137" s="146">
        <f t="shared" ref="O137:O142" si="118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 t="shared" ref="U137:U141" si="119">H137*K137</f>
        <v>416175.96</v>
      </c>
      <c r="V137" s="75">
        <f t="shared" ref="V137:V141" si="120">I137*K137</f>
        <v>416175.96</v>
      </c>
    </row>
    <row r="138" spans="1:22">
      <c r="A138" s="305"/>
      <c r="B138" s="306"/>
      <c r="C138" s="63" t="s">
        <v>166</v>
      </c>
      <c r="D138" s="64" t="s">
        <v>101</v>
      </c>
      <c r="E138" s="59">
        <v>8</v>
      </c>
      <c r="F138" s="59">
        <v>8</v>
      </c>
      <c r="G138" s="59">
        <f t="shared" ref="G138:G141" si="121">((E138*8)+(F138*4))/12</f>
        <v>8</v>
      </c>
      <c r="H138" s="59">
        <v>8</v>
      </c>
      <c r="I138" s="59">
        <v>8</v>
      </c>
      <c r="J138" s="75">
        <f t="shared" si="116"/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118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 t="shared" si="119"/>
        <v>530890.56000000006</v>
      </c>
      <c r="V138" s="75">
        <f t="shared" si="120"/>
        <v>530890.56000000006</v>
      </c>
    </row>
    <row r="139" spans="1:22">
      <c r="A139" s="305"/>
      <c r="B139" s="306"/>
      <c r="C139" s="63" t="s">
        <v>167</v>
      </c>
      <c r="D139" s="64" t="s">
        <v>101</v>
      </c>
      <c r="E139" s="59">
        <v>4</v>
      </c>
      <c r="F139" s="59">
        <v>4</v>
      </c>
      <c r="G139" s="59">
        <f t="shared" si="121"/>
        <v>4</v>
      </c>
      <c r="H139" s="59">
        <v>4</v>
      </c>
      <c r="I139" s="59">
        <v>4</v>
      </c>
      <c r="J139" s="75">
        <f t="shared" si="116"/>
        <v>174890.83</v>
      </c>
      <c r="K139" s="75">
        <v>174890.83</v>
      </c>
      <c r="L139" s="59" t="s">
        <v>104</v>
      </c>
      <c r="M139" s="59" t="s">
        <v>104</v>
      </c>
      <c r="N139" s="71">
        <f t="shared" si="117"/>
        <v>699563.32</v>
      </c>
      <c r="O139" s="146">
        <f t="shared" si="118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 t="shared" si="119"/>
        <v>699563.32</v>
      </c>
      <c r="V139" s="75">
        <f t="shared" si="120"/>
        <v>699563.32</v>
      </c>
    </row>
    <row r="140" spans="1:22">
      <c r="A140" s="305"/>
      <c r="B140" s="306"/>
      <c r="C140" s="63" t="s">
        <v>170</v>
      </c>
      <c r="D140" s="64" t="s">
        <v>101</v>
      </c>
      <c r="E140" s="59">
        <v>1</v>
      </c>
      <c r="F140" s="59">
        <v>1</v>
      </c>
      <c r="G140" s="59">
        <f t="shared" si="121"/>
        <v>1</v>
      </c>
      <c r="H140" s="59">
        <v>1</v>
      </c>
      <c r="I140" s="59">
        <v>1</v>
      </c>
      <c r="J140" s="75">
        <f t="shared" si="116"/>
        <v>99648.29</v>
      </c>
      <c r="K140" s="75">
        <v>99648.29</v>
      </c>
      <c r="L140" s="59"/>
      <c r="M140" s="59"/>
      <c r="N140" s="71">
        <f t="shared" si="117"/>
        <v>99648.29</v>
      </c>
      <c r="O140" s="146">
        <f t="shared" si="118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 t="shared" si="119"/>
        <v>99648.29</v>
      </c>
      <c r="V140" s="75">
        <f t="shared" si="120"/>
        <v>99648.29</v>
      </c>
    </row>
    <row r="141" spans="1:22">
      <c r="A141" s="305"/>
      <c r="B141" s="306"/>
      <c r="C141" s="63" t="s">
        <v>168</v>
      </c>
      <c r="D141" s="64" t="s">
        <v>101</v>
      </c>
      <c r="E141" s="59">
        <v>1</v>
      </c>
      <c r="F141" s="59">
        <v>1</v>
      </c>
      <c r="G141" s="59">
        <f t="shared" si="121"/>
        <v>1</v>
      </c>
      <c r="H141" s="59">
        <v>1</v>
      </c>
      <c r="I141" s="59">
        <v>1</v>
      </c>
      <c r="J141" s="75">
        <f t="shared" si="116"/>
        <v>23553.439999999999</v>
      </c>
      <c r="K141" s="75">
        <v>23553.439999999999</v>
      </c>
      <c r="L141" s="59" t="s">
        <v>104</v>
      </c>
      <c r="M141" s="59" t="s">
        <v>104</v>
      </c>
      <c r="N141" s="71">
        <f t="shared" si="117"/>
        <v>23553.439999999999</v>
      </c>
      <c r="O141" s="146">
        <f t="shared" si="118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 t="shared" si="119"/>
        <v>23553.439999999999</v>
      </c>
      <c r="V141" s="75">
        <f t="shared" si="120"/>
        <v>23553.439999999999</v>
      </c>
    </row>
    <row r="142" spans="1:22" ht="110.4">
      <c r="A142" s="305"/>
      <c r="B142" s="306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118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 t="shared" si="97"/>
        <v>0</v>
      </c>
      <c r="V142" s="75">
        <f t="shared" si="98"/>
        <v>0</v>
      </c>
    </row>
    <row r="143" spans="1:22">
      <c r="A143" s="305"/>
      <c r="B143" s="306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122">SUM(N135:N142)</f>
        <v>12235401.74</v>
      </c>
      <c r="O143" s="71">
        <f t="shared" si="122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122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305"/>
      <c r="B144" s="306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 t="shared" ref="G144" si="123"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 t="shared" si="97"/>
        <v>11563534.08</v>
      </c>
      <c r="V144" s="75">
        <f t="shared" si="98"/>
        <v>11563534.08</v>
      </c>
    </row>
    <row r="145" spans="1:24" ht="82.8">
      <c r="A145" s="305"/>
      <c r="B145" s="306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305"/>
      <c r="B146" s="306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124">((E146*8)+(F146*4))/12</f>
        <v>1</v>
      </c>
      <c r="H146" s="60">
        <v>1</v>
      </c>
      <c r="I146" s="60">
        <v>1</v>
      </c>
      <c r="J146" s="75">
        <f t="shared" ref="J146:J148" si="125"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 t="shared" ref="N146:N148" si="126"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 t="shared" ref="U146:U148" si="127">H146*K146</f>
        <v>266106.15000000002</v>
      </c>
      <c r="V146" s="75">
        <f t="shared" ref="V146:V148" si="128">I146*K146</f>
        <v>266106.15000000002</v>
      </c>
    </row>
    <row r="147" spans="1:24">
      <c r="A147" s="305"/>
      <c r="B147" s="306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124"/>
        <v>2</v>
      </c>
      <c r="H147" s="60">
        <v>2</v>
      </c>
      <c r="I147" s="60">
        <v>2</v>
      </c>
      <c r="J147" s="75">
        <f t="shared" si="125"/>
        <v>32769.75</v>
      </c>
      <c r="K147" s="75">
        <v>32769.75</v>
      </c>
      <c r="L147" s="59" t="s">
        <v>104</v>
      </c>
      <c r="M147" s="59" t="s">
        <v>104</v>
      </c>
      <c r="N147" s="71">
        <f t="shared" si="126"/>
        <v>65539.5</v>
      </c>
      <c r="O147" s="146">
        <f t="shared" ref="O147:O148" si="129"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 t="shared" si="127"/>
        <v>65539.5</v>
      </c>
      <c r="V147" s="75">
        <f t="shared" si="128"/>
        <v>65539.5</v>
      </c>
    </row>
    <row r="148" spans="1:24">
      <c r="A148" s="305"/>
      <c r="B148" s="306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124"/>
        <v>5</v>
      </c>
      <c r="H148" s="60">
        <v>5</v>
      </c>
      <c r="I148" s="60">
        <v>5</v>
      </c>
      <c r="J148" s="75">
        <f t="shared" si="125"/>
        <v>23553.439999999999</v>
      </c>
      <c r="K148" s="75">
        <v>23553.439999999999</v>
      </c>
      <c r="L148" s="59" t="s">
        <v>104</v>
      </c>
      <c r="M148" s="59" t="s">
        <v>104</v>
      </c>
      <c r="N148" s="71">
        <f t="shared" si="126"/>
        <v>117767.2</v>
      </c>
      <c r="O148" s="146">
        <f t="shared" si="129"/>
        <v>117767.2</v>
      </c>
      <c r="P148" s="146"/>
      <c r="Q148" s="59" t="s">
        <v>104</v>
      </c>
      <c r="R148" s="59"/>
      <c r="S148" s="59"/>
      <c r="T148" s="59" t="s">
        <v>104</v>
      </c>
      <c r="U148" s="75">
        <f t="shared" si="127"/>
        <v>117767.2</v>
      </c>
      <c r="V148" s="75">
        <f t="shared" si="128"/>
        <v>117767.2</v>
      </c>
    </row>
    <row r="149" spans="1:24" ht="110.4">
      <c r="A149" s="305"/>
      <c r="B149" s="306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124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 t="shared" si="97"/>
        <v>337369</v>
      </c>
      <c r="V149" s="75">
        <f t="shared" si="98"/>
        <v>337369</v>
      </c>
    </row>
    <row r="150" spans="1:24">
      <c r="A150" s="305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130">SUM(N144:N149)</f>
        <v>12350315.93</v>
      </c>
      <c r="O150" s="74">
        <f t="shared" si="130"/>
        <v>8818564.2100000009</v>
      </c>
      <c r="P150" s="74"/>
      <c r="Q150" s="74">
        <f t="shared" si="130"/>
        <v>904449.74</v>
      </c>
      <c r="R150" s="74"/>
      <c r="S150" s="74"/>
      <c r="T150" s="74">
        <f t="shared" si="130"/>
        <v>2627301.98</v>
      </c>
      <c r="U150" s="75">
        <f t="shared" si="130"/>
        <v>12350315.93</v>
      </c>
      <c r="V150" s="75">
        <f t="shared" si="130"/>
        <v>12350315.93</v>
      </c>
    </row>
    <row r="151" spans="1:24" ht="82.8">
      <c r="A151" s="305"/>
      <c r="B151" s="306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124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 t="shared" si="97"/>
        <v>2290513.6799999997</v>
      </c>
      <c r="V151" s="75">
        <f t="shared" si="98"/>
        <v>2290513.6799999997</v>
      </c>
    </row>
    <row r="152" spans="1:24" ht="82.8">
      <c r="A152" s="305"/>
      <c r="B152" s="306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305"/>
      <c r="B153" s="306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124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305"/>
      <c r="B154" s="306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305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131">SUM(N151:N154)</f>
        <v>2314067.1199999996</v>
      </c>
      <c r="O155" s="74">
        <f t="shared" si="131"/>
        <v>1704605.54</v>
      </c>
      <c r="P155" s="74"/>
      <c r="Q155" s="74">
        <f t="shared" si="131"/>
        <v>156077.60999999999</v>
      </c>
      <c r="R155" s="74"/>
      <c r="S155" s="74"/>
      <c r="T155" s="74">
        <f t="shared" si="131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305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 t="shared" ref="G156" si="132"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 t="shared" si="97"/>
        <v>3087517.7600000002</v>
      </c>
      <c r="V156" s="75">
        <f t="shared" si="98"/>
        <v>3087517.7600000002</v>
      </c>
    </row>
    <row r="157" spans="1:24">
      <c r="A157" s="305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133">SUM(M156:M156)</f>
        <v>0</v>
      </c>
      <c r="N157" s="74">
        <f t="shared" si="133"/>
        <v>3087517.7600000002</v>
      </c>
      <c r="O157" s="74">
        <f t="shared" si="133"/>
        <v>3087517.7600000002</v>
      </c>
      <c r="P157" s="74"/>
      <c r="Q157" s="74">
        <f t="shared" si="133"/>
        <v>0</v>
      </c>
      <c r="R157" s="74"/>
      <c r="S157" s="74"/>
      <c r="T157" s="74">
        <f t="shared" si="133"/>
        <v>0</v>
      </c>
      <c r="U157" s="75">
        <f t="shared" si="133"/>
        <v>3087517.7600000002</v>
      </c>
      <c r="V157" s="75">
        <f t="shared" si="133"/>
        <v>3087517.7600000002</v>
      </c>
    </row>
    <row r="158" spans="1:24">
      <c r="A158" s="305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305" t="s">
        <v>114</v>
      </c>
      <c r="B159" s="306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134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 t="shared" si="97"/>
        <v>8460671.6699999999</v>
      </c>
      <c r="V159" s="75">
        <f t="shared" si="98"/>
        <v>8460671.6699999999</v>
      </c>
    </row>
    <row r="160" spans="1:24" ht="96.6">
      <c r="A160" s="305"/>
      <c r="B160" s="306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305"/>
      <c r="B161" s="306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134"/>
        <v>1</v>
      </c>
      <c r="H161" s="59">
        <v>1</v>
      </c>
      <c r="I161" s="59">
        <v>1</v>
      </c>
      <c r="J161" s="75">
        <f t="shared" ref="J161:J165" si="135"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305"/>
      <c r="B162" s="306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134"/>
        <v>4</v>
      </c>
      <c r="H162" s="59">
        <v>4</v>
      </c>
      <c r="I162" s="59">
        <v>4</v>
      </c>
      <c r="J162" s="75">
        <f t="shared" si="135"/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ref="O162:O166" si="136">G162*K162</f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305"/>
      <c r="B163" s="306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134"/>
        <v>7</v>
      </c>
      <c r="H163" s="59">
        <v>7</v>
      </c>
      <c r="I163" s="59">
        <v>7</v>
      </c>
      <c r="J163" s="75">
        <f t="shared" si="135"/>
        <v>69362.66</v>
      </c>
      <c r="K163" s="75">
        <v>69362.66</v>
      </c>
      <c r="L163" s="59" t="s">
        <v>104</v>
      </c>
      <c r="M163" s="59" t="s">
        <v>104</v>
      </c>
      <c r="N163" s="71">
        <f t="shared" ref="N163:N165" si="137">O163</f>
        <v>485538.62</v>
      </c>
      <c r="O163" s="146">
        <f t="shared" si="136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 t="shared" ref="U163:U165" si="138">H163*K163</f>
        <v>485538.62</v>
      </c>
      <c r="V163" s="75">
        <f t="shared" ref="V163:V165" si="139">I163*K163</f>
        <v>485538.62</v>
      </c>
    </row>
    <row r="164" spans="1:22">
      <c r="A164" s="305"/>
      <c r="B164" s="306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134"/>
        <v>4</v>
      </c>
      <c r="H164" s="59">
        <v>4</v>
      </c>
      <c r="I164" s="59">
        <v>4</v>
      </c>
      <c r="J164" s="75">
        <f t="shared" si="135"/>
        <v>66361.320000000007</v>
      </c>
      <c r="K164" s="75">
        <v>66361.320000000007</v>
      </c>
      <c r="L164" s="59" t="s">
        <v>104</v>
      </c>
      <c r="M164" s="59" t="s">
        <v>104</v>
      </c>
      <c r="N164" s="71">
        <f t="shared" si="137"/>
        <v>265445.28000000003</v>
      </c>
      <c r="O164" s="146">
        <f t="shared" si="136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 t="shared" si="138"/>
        <v>265445.28000000003</v>
      </c>
      <c r="V164" s="75">
        <f t="shared" si="139"/>
        <v>265445.28000000003</v>
      </c>
    </row>
    <row r="165" spans="1:22">
      <c r="A165" s="305"/>
      <c r="B165" s="306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134"/>
        <v>1</v>
      </c>
      <c r="H165" s="59">
        <v>1</v>
      </c>
      <c r="I165" s="59">
        <v>1</v>
      </c>
      <c r="J165" s="75">
        <f t="shared" si="135"/>
        <v>23553.439999999999</v>
      </c>
      <c r="K165" s="75">
        <v>23553.439999999999</v>
      </c>
      <c r="L165" s="59" t="s">
        <v>104</v>
      </c>
      <c r="M165" s="59" t="s">
        <v>104</v>
      </c>
      <c r="N165" s="71">
        <f t="shared" si="137"/>
        <v>23553.439999999999</v>
      </c>
      <c r="O165" s="146">
        <f t="shared" si="136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 t="shared" si="138"/>
        <v>23553.439999999999</v>
      </c>
      <c r="V165" s="75">
        <f t="shared" si="139"/>
        <v>23553.439999999999</v>
      </c>
    </row>
    <row r="166" spans="1:22" ht="110.4">
      <c r="A166" s="305"/>
      <c r="B166" s="306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134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136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 t="shared" si="97"/>
        <v>138391.77000000002</v>
      </c>
      <c r="V166" s="75">
        <f t="shared" si="98"/>
        <v>138391.77000000002</v>
      </c>
    </row>
    <row r="167" spans="1:22">
      <c r="A167" s="305"/>
      <c r="B167" s="306"/>
      <c r="C167" s="66" t="s">
        <v>106</v>
      </c>
      <c r="D167" s="67"/>
      <c r="E167" s="59">
        <f>E159+E166</f>
        <v>212</v>
      </c>
      <c r="F167" s="59">
        <f t="shared" ref="F167:I167" si="140">F159+F166</f>
        <v>212</v>
      </c>
      <c r="G167" s="59">
        <f>G159+G166</f>
        <v>212</v>
      </c>
      <c r="H167" s="59">
        <f t="shared" si="140"/>
        <v>212</v>
      </c>
      <c r="I167" s="59">
        <f t="shared" si="140"/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141">SUM(N159:N166)</f>
        <v>9545322.3199999984</v>
      </c>
      <c r="O167" s="71">
        <f t="shared" si="141"/>
        <v>6232351.6800000006</v>
      </c>
      <c r="P167" s="71"/>
      <c r="Q167" s="71">
        <f t="shared" si="141"/>
        <v>848421.87999999989</v>
      </c>
      <c r="R167" s="71"/>
      <c r="S167" s="71"/>
      <c r="T167" s="71">
        <f t="shared" si="141"/>
        <v>2464548.7599999998</v>
      </c>
      <c r="U167" s="71">
        <f t="shared" si="141"/>
        <v>9545322.3199999984</v>
      </c>
      <c r="V167" s="71">
        <f t="shared" si="141"/>
        <v>9545322.3199999984</v>
      </c>
    </row>
    <row r="168" spans="1:22" ht="82.8">
      <c r="A168" s="305"/>
      <c r="B168" s="306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134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 t="shared" si="97"/>
        <v>11511911.16</v>
      </c>
      <c r="V168" s="75">
        <f t="shared" si="98"/>
        <v>11511911.16</v>
      </c>
    </row>
    <row r="169" spans="1:22" ht="96.6">
      <c r="A169" s="305"/>
      <c r="B169" s="306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305"/>
      <c r="B170" s="306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134"/>
        <v>1</v>
      </c>
      <c r="H170" s="60">
        <v>1</v>
      </c>
      <c r="I170" s="60">
        <v>1</v>
      </c>
      <c r="J170" s="75">
        <f t="shared" ref="J170:J171" si="142">K170</f>
        <v>69362.66</v>
      </c>
      <c r="K170" s="75">
        <v>69362.66</v>
      </c>
      <c r="L170" s="59" t="s">
        <v>104</v>
      </c>
      <c r="M170" s="59" t="s">
        <v>104</v>
      </c>
      <c r="N170" s="71">
        <f t="shared" ref="N170:N171" si="143"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305"/>
      <c r="B171" s="306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134"/>
        <v>1</v>
      </c>
      <c r="H171" s="60">
        <v>1</v>
      </c>
      <c r="I171" s="60">
        <v>1</v>
      </c>
      <c r="J171" s="75">
        <f t="shared" si="142"/>
        <v>92468.25</v>
      </c>
      <c r="K171" s="75">
        <v>92468.25</v>
      </c>
      <c r="L171" s="59" t="s">
        <v>104</v>
      </c>
      <c r="M171" s="59" t="s">
        <v>104</v>
      </c>
      <c r="N171" s="71">
        <f t="shared" si="143"/>
        <v>92468.25</v>
      </c>
      <c r="O171" s="146">
        <f t="shared" ref="O171:O173" si="144"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 t="shared" ref="U171:U172" si="145">H171*K171</f>
        <v>92468.25</v>
      </c>
      <c r="V171" s="75">
        <f t="shared" ref="V171:V172" si="146">I171*K171</f>
        <v>92468.25</v>
      </c>
    </row>
    <row r="172" spans="1:22">
      <c r="A172" s="305"/>
      <c r="B172" s="306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134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 t="shared" si="144"/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 t="shared" si="145"/>
        <v>141320.63999999998</v>
      </c>
      <c r="V172" s="75">
        <f t="shared" si="146"/>
        <v>141320.63999999998</v>
      </c>
    </row>
    <row r="173" spans="1:22" ht="110.4">
      <c r="A173" s="305"/>
      <c r="B173" s="306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134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 t="shared" si="144"/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 t="shared" si="97"/>
        <v>506053.5</v>
      </c>
      <c r="V173" s="75">
        <f t="shared" si="98"/>
        <v>506053.5</v>
      </c>
    </row>
    <row r="174" spans="1:22">
      <c r="A174" s="305"/>
      <c r="B174" s="110"/>
      <c r="C174" s="66" t="s">
        <v>106</v>
      </c>
      <c r="D174" s="64"/>
      <c r="E174" s="60">
        <f>E168+E173</f>
        <v>226</v>
      </c>
      <c r="F174" s="60">
        <f t="shared" ref="F174:I174" si="147">F168+F173</f>
        <v>226</v>
      </c>
      <c r="G174" s="60">
        <f t="shared" si="147"/>
        <v>226</v>
      </c>
      <c r="H174" s="60">
        <f t="shared" si="147"/>
        <v>226</v>
      </c>
      <c r="I174" s="60">
        <f t="shared" si="147"/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148">SUM(N168:N173)</f>
        <v>12321116.210000001</v>
      </c>
      <c r="O174" s="74">
        <f t="shared" si="148"/>
        <v>8789364.4900000002</v>
      </c>
      <c r="P174" s="74"/>
      <c r="Q174" s="74">
        <f t="shared" si="148"/>
        <v>904449.73999999987</v>
      </c>
      <c r="R174" s="74"/>
      <c r="S174" s="74"/>
      <c r="T174" s="74">
        <f t="shared" si="148"/>
        <v>2627301.98</v>
      </c>
      <c r="U174" s="74">
        <f t="shared" si="148"/>
        <v>12321116.210000001</v>
      </c>
      <c r="V174" s="74">
        <f t="shared" si="148"/>
        <v>12321116.210000001</v>
      </c>
    </row>
    <row r="175" spans="1:22" ht="82.8">
      <c r="A175" s="305"/>
      <c r="B175" s="306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134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 t="shared" si="97"/>
        <v>3993716.1599999997</v>
      </c>
      <c r="V175" s="75">
        <f t="shared" si="98"/>
        <v>3993716.1599999997</v>
      </c>
    </row>
    <row r="176" spans="1:22" ht="96.6">
      <c r="A176" s="305"/>
      <c r="B176" s="306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305"/>
      <c r="B177" s="306"/>
      <c r="C177" s="63" t="s">
        <v>165</v>
      </c>
      <c r="D177" s="64" t="s">
        <v>101</v>
      </c>
      <c r="E177" s="60"/>
      <c r="F177" s="60"/>
      <c r="G177" s="59">
        <f t="shared" si="134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305"/>
      <c r="B178" s="306"/>
      <c r="C178" s="63" t="s">
        <v>168</v>
      </c>
      <c r="D178" s="64" t="s">
        <v>101</v>
      </c>
      <c r="E178" s="60"/>
      <c r="F178" s="60"/>
      <c r="G178" s="59">
        <f t="shared" si="134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305"/>
      <c r="B179" s="306"/>
      <c r="C179" s="61" t="s">
        <v>105</v>
      </c>
      <c r="D179" s="64" t="s">
        <v>101</v>
      </c>
      <c r="E179" s="60"/>
      <c r="F179" s="60"/>
      <c r="G179" s="59">
        <f t="shared" si="134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 t="shared" si="97"/>
        <v>0</v>
      </c>
      <c r="V179" s="75">
        <f t="shared" si="98"/>
        <v>0</v>
      </c>
    </row>
    <row r="180" spans="1:22">
      <c r="A180" s="305"/>
      <c r="B180" s="110"/>
      <c r="C180" s="66" t="s">
        <v>106</v>
      </c>
      <c r="D180" s="64"/>
      <c r="E180" s="60">
        <f>E175+E179</f>
        <v>68</v>
      </c>
      <c r="F180" s="60">
        <f t="shared" ref="F180:I180" si="149">F175+F179</f>
        <v>68</v>
      </c>
      <c r="G180" s="60">
        <f t="shared" si="149"/>
        <v>68</v>
      </c>
      <c r="H180" s="60">
        <f t="shared" si="149"/>
        <v>68</v>
      </c>
      <c r="I180" s="60">
        <f t="shared" si="149"/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150">SUM(N175:N179)</f>
        <v>3993716.16</v>
      </c>
      <c r="O180" s="74">
        <f t="shared" si="150"/>
        <v>2931065.2</v>
      </c>
      <c r="P180" s="74"/>
      <c r="Q180" s="74">
        <f t="shared" si="150"/>
        <v>272135.32</v>
      </c>
      <c r="R180" s="74"/>
      <c r="S180" s="74"/>
      <c r="T180" s="74">
        <f t="shared" si="150"/>
        <v>790515.64</v>
      </c>
      <c r="U180" s="74">
        <f t="shared" si="150"/>
        <v>3993716.1599999997</v>
      </c>
      <c r="V180" s="74">
        <f t="shared" si="150"/>
        <v>3993716.1599999997</v>
      </c>
    </row>
    <row r="181" spans="1:22" ht="96.6">
      <c r="A181" s="305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134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 t="shared" si="97"/>
        <v>1694951.76</v>
      </c>
      <c r="V181" s="75">
        <f t="shared" si="98"/>
        <v>1694951.76</v>
      </c>
    </row>
    <row r="182" spans="1:22">
      <c r="A182" s="305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151">SUM(M181:M181)</f>
        <v>0</v>
      </c>
      <c r="N182" s="74">
        <f t="shared" si="151"/>
        <v>1694951.76</v>
      </c>
      <c r="O182" s="74">
        <f t="shared" si="151"/>
        <v>1694951.76</v>
      </c>
      <c r="P182" s="74"/>
      <c r="Q182" s="74">
        <f t="shared" si="151"/>
        <v>0</v>
      </c>
      <c r="R182" s="74"/>
      <c r="S182" s="74"/>
      <c r="T182" s="74">
        <f t="shared" si="151"/>
        <v>0</v>
      </c>
      <c r="U182" s="75">
        <f t="shared" si="151"/>
        <v>1694951.76</v>
      </c>
      <c r="V182" s="75">
        <f t="shared" si="151"/>
        <v>1694951.76</v>
      </c>
    </row>
    <row r="183" spans="1:22">
      <c r="A183" s="305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305" t="s">
        <v>115</v>
      </c>
      <c r="B184" s="306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152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 t="shared" si="97"/>
        <v>8300279.79</v>
      </c>
      <c r="V184" s="75">
        <f t="shared" si="98"/>
        <v>8300279.79</v>
      </c>
    </row>
    <row r="185" spans="1:22" ht="96.6">
      <c r="A185" s="305"/>
      <c r="B185" s="306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305"/>
      <c r="B186" s="306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152"/>
        <v>1</v>
      </c>
      <c r="H186" s="59">
        <v>1</v>
      </c>
      <c r="I186" s="59">
        <v>1</v>
      </c>
      <c r="J186" s="75">
        <f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88" si="153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88" si="154">H186*K186</f>
        <v>25589.72</v>
      </c>
      <c r="V186" s="75">
        <f t="shared" ref="V186:V188" si="155">I186*K186</f>
        <v>25589.72</v>
      </c>
    </row>
    <row r="187" spans="1:22">
      <c r="A187" s="305"/>
      <c r="B187" s="306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152"/>
        <v>10</v>
      </c>
      <c r="H187" s="59">
        <v>10</v>
      </c>
      <c r="I187" s="59">
        <v>10</v>
      </c>
      <c r="J187" s="75">
        <f>K187</f>
        <v>69362.66</v>
      </c>
      <c r="K187" s="71">
        <v>69362.66</v>
      </c>
      <c r="L187" s="59" t="s">
        <v>104</v>
      </c>
      <c r="M187" s="59" t="s">
        <v>104</v>
      </c>
      <c r="N187" s="71">
        <f t="shared" si="153"/>
        <v>693626.60000000009</v>
      </c>
      <c r="O187" s="146">
        <f t="shared" ref="O187:O192" si="156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154"/>
        <v>693626.60000000009</v>
      </c>
      <c r="V187" s="75">
        <f t="shared" si="155"/>
        <v>693626.60000000009</v>
      </c>
    </row>
    <row r="188" spans="1:22">
      <c r="A188" s="305"/>
      <c r="B188" s="306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152"/>
        <v>1</v>
      </c>
      <c r="H188" s="59">
        <v>1</v>
      </c>
      <c r="I188" s="59">
        <v>1</v>
      </c>
      <c r="J188" s="75">
        <f>K188</f>
        <v>92468.25</v>
      </c>
      <c r="K188" s="71">
        <v>92468.25</v>
      </c>
      <c r="L188" s="59" t="s">
        <v>104</v>
      </c>
      <c r="M188" s="59" t="s">
        <v>104</v>
      </c>
      <c r="N188" s="71">
        <f t="shared" si="153"/>
        <v>92468.25</v>
      </c>
      <c r="O188" s="146">
        <f t="shared" si="156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154"/>
        <v>92468.25</v>
      </c>
      <c r="V188" s="75">
        <f t="shared" si="155"/>
        <v>92468.25</v>
      </c>
    </row>
    <row r="189" spans="1:22">
      <c r="A189" s="305"/>
      <c r="B189" s="306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152"/>
        <v>14</v>
      </c>
      <c r="H189" s="59">
        <v>14</v>
      </c>
      <c r="I189" s="59">
        <v>14</v>
      </c>
      <c r="J189" s="75">
        <f>K189</f>
        <v>66361.320000000007</v>
      </c>
      <c r="K189" s="75">
        <v>66361.320000000007</v>
      </c>
      <c r="L189" s="59" t="s">
        <v>104</v>
      </c>
      <c r="M189" s="59" t="s">
        <v>104</v>
      </c>
      <c r="N189" s="71">
        <f>O189</f>
        <v>929058.4800000001</v>
      </c>
      <c r="O189" s="146">
        <f t="shared" si="156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>H189*K189</f>
        <v>929058.4800000001</v>
      </c>
      <c r="V189" s="75">
        <f>I189*K189</f>
        <v>929058.4800000001</v>
      </c>
    </row>
    <row r="190" spans="1:22">
      <c r="A190" s="305"/>
      <c r="B190" s="306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152"/>
        <v>3</v>
      </c>
      <c r="H190" s="59">
        <v>3</v>
      </c>
      <c r="I190" s="59">
        <v>3</v>
      </c>
      <c r="J190" s="75">
        <f>K190</f>
        <v>174890.83</v>
      </c>
      <c r="K190" s="75">
        <v>174890.83</v>
      </c>
      <c r="L190" s="59" t="s">
        <v>104</v>
      </c>
      <c r="M190" s="59" t="s">
        <v>104</v>
      </c>
      <c r="N190" s="71">
        <f>O190</f>
        <v>524672.49</v>
      </c>
      <c r="O190" s="146">
        <f t="shared" si="156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>H190*K190</f>
        <v>524672.49</v>
      </c>
      <c r="V190" s="75">
        <f>I190*K190</f>
        <v>524672.49</v>
      </c>
    </row>
    <row r="191" spans="1:22">
      <c r="A191" s="305"/>
      <c r="B191" s="306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152"/>
        <v>1</v>
      </c>
      <c r="H191" s="59">
        <v>1</v>
      </c>
      <c r="I191" s="59">
        <v>1</v>
      </c>
      <c r="J191" s="75">
        <f t="shared" ref="J191:J192" si="157">K191</f>
        <v>99648.29</v>
      </c>
      <c r="K191" s="75">
        <v>99648.29</v>
      </c>
      <c r="L191" s="59" t="s">
        <v>104</v>
      </c>
      <c r="M191" s="59" t="s">
        <v>104</v>
      </c>
      <c r="N191" s="71">
        <f t="shared" ref="N191:N192" si="158">O191</f>
        <v>99648.29</v>
      </c>
      <c r="O191" s="146">
        <f t="shared" si="156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ref="U191:U192" si="159">H191*K191</f>
        <v>99648.29</v>
      </c>
      <c r="V191" s="75">
        <f t="shared" ref="V191:V192" si="160">I191*K191</f>
        <v>99648.29</v>
      </c>
    </row>
    <row r="192" spans="1:22">
      <c r="A192" s="305"/>
      <c r="B192" s="306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152"/>
        <v>2</v>
      </c>
      <c r="H192" s="59">
        <v>2</v>
      </c>
      <c r="I192" s="59">
        <v>2</v>
      </c>
      <c r="J192" s="75">
        <f t="shared" si="157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158"/>
        <v>47106.879999999997</v>
      </c>
      <c r="O192" s="146">
        <f t="shared" si="156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159"/>
        <v>47106.879999999997</v>
      </c>
      <c r="V192" s="75">
        <f t="shared" si="160"/>
        <v>47106.879999999997</v>
      </c>
    </row>
    <row r="193" spans="1:22" ht="110.4">
      <c r="A193" s="305"/>
      <c r="B193" s="306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152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 t="shared" si="97"/>
        <v>276783.54000000004</v>
      </c>
      <c r="V193" s="75">
        <f t="shared" si="98"/>
        <v>276783.54000000004</v>
      </c>
    </row>
    <row r="194" spans="1:22">
      <c r="A194" s="305"/>
      <c r="B194" s="306"/>
      <c r="C194" s="66" t="s">
        <v>106</v>
      </c>
      <c r="D194" s="67"/>
      <c r="E194" s="59">
        <f>E184+E193</f>
        <v>209</v>
      </c>
      <c r="F194" s="59">
        <f t="shared" ref="F194:I194" si="161">F184+F193</f>
        <v>209</v>
      </c>
      <c r="G194" s="59">
        <f t="shared" si="161"/>
        <v>209</v>
      </c>
      <c r="H194" s="59">
        <f t="shared" si="161"/>
        <v>209</v>
      </c>
      <c r="I194" s="59">
        <f t="shared" si="161"/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 t="shared" ref="T194:V194" si="162">SUM(T184:T193)</f>
        <v>2429673.0699999998</v>
      </c>
      <c r="U194" s="71">
        <f t="shared" si="162"/>
        <v>10989234.039999999</v>
      </c>
      <c r="V194" s="71">
        <f t="shared" si="162"/>
        <v>10989234.039999999</v>
      </c>
    </row>
    <row r="195" spans="1:22" ht="82.8">
      <c r="A195" s="305"/>
      <c r="B195" s="306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152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 t="shared" si="97"/>
        <v>11821648.68</v>
      </c>
      <c r="V195" s="75">
        <f t="shared" si="98"/>
        <v>11821648.68</v>
      </c>
    </row>
    <row r="196" spans="1:22" ht="96.6">
      <c r="A196" s="305"/>
      <c r="B196" s="306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305"/>
      <c r="B197" s="306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152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 t="shared" ref="V197:V201" si="163">I197*K197</f>
        <v>51179.44</v>
      </c>
    </row>
    <row r="198" spans="1:22">
      <c r="A198" s="305"/>
      <c r="B198" s="306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152"/>
        <v>2</v>
      </c>
      <c r="H198" s="60">
        <v>2</v>
      </c>
      <c r="I198" s="60">
        <v>2</v>
      </c>
      <c r="J198" s="75">
        <f t="shared" ref="J198:J201" si="164">K198</f>
        <v>92468.25</v>
      </c>
      <c r="K198" s="75">
        <v>92468.25</v>
      </c>
      <c r="L198" s="59" t="s">
        <v>104</v>
      </c>
      <c r="M198" s="59" t="s">
        <v>104</v>
      </c>
      <c r="N198" s="71">
        <f t="shared" ref="N198:N201" si="165">O198</f>
        <v>184936.5</v>
      </c>
      <c r="O198" s="146">
        <f t="shared" ref="O198:O201" si="166">G198*K198</f>
        <v>184936.5</v>
      </c>
      <c r="P198" s="146"/>
      <c r="Q198" s="59" t="s">
        <v>104</v>
      </c>
      <c r="R198" s="59"/>
      <c r="S198" s="59"/>
      <c r="T198" s="59" t="s">
        <v>104</v>
      </c>
      <c r="U198" s="75">
        <f t="shared" ref="U198:U201" si="167">H198*K198</f>
        <v>184936.5</v>
      </c>
      <c r="V198" s="75">
        <f t="shared" si="163"/>
        <v>184936.5</v>
      </c>
    </row>
    <row r="199" spans="1:22">
      <c r="A199" s="305"/>
      <c r="B199" s="306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152"/>
        <v>2</v>
      </c>
      <c r="H199" s="60">
        <v>2</v>
      </c>
      <c r="I199" s="60">
        <v>2</v>
      </c>
      <c r="J199" s="75">
        <f t="shared" si="164"/>
        <v>266106.15000000002</v>
      </c>
      <c r="K199" s="75">
        <v>266106.15000000002</v>
      </c>
      <c r="L199" s="59"/>
      <c r="M199" s="59"/>
      <c r="N199" s="71">
        <f t="shared" si="165"/>
        <v>532212.30000000005</v>
      </c>
      <c r="O199" s="146">
        <f t="shared" si="166"/>
        <v>532212.30000000005</v>
      </c>
      <c r="P199" s="146"/>
      <c r="Q199" s="59" t="s">
        <v>104</v>
      </c>
      <c r="R199" s="59"/>
      <c r="S199" s="59"/>
      <c r="T199" s="59"/>
      <c r="U199" s="75">
        <f t="shared" si="167"/>
        <v>532212.30000000005</v>
      </c>
      <c r="V199" s="75">
        <f t="shared" si="163"/>
        <v>532212.30000000005</v>
      </c>
    </row>
    <row r="200" spans="1:22">
      <c r="A200" s="305"/>
      <c r="B200" s="306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152"/>
        <v>1</v>
      </c>
      <c r="H200" s="60">
        <v>1</v>
      </c>
      <c r="I200" s="60">
        <v>1</v>
      </c>
      <c r="J200" s="75">
        <f t="shared" si="164"/>
        <v>32769.75</v>
      </c>
      <c r="K200" s="75">
        <v>32769.75</v>
      </c>
      <c r="L200" s="59"/>
      <c r="M200" s="59"/>
      <c r="N200" s="71">
        <f t="shared" si="165"/>
        <v>32769.75</v>
      </c>
      <c r="O200" s="146">
        <f t="shared" si="166"/>
        <v>32769.75</v>
      </c>
      <c r="P200" s="146"/>
      <c r="Q200" s="59" t="s">
        <v>104</v>
      </c>
      <c r="R200" s="59"/>
      <c r="S200" s="59"/>
      <c r="T200" s="59"/>
      <c r="U200" s="75">
        <f t="shared" si="167"/>
        <v>32769.75</v>
      </c>
      <c r="V200" s="75">
        <f t="shared" si="163"/>
        <v>32769.75</v>
      </c>
    </row>
    <row r="201" spans="1:22">
      <c r="A201" s="305"/>
      <c r="B201" s="306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152"/>
        <v>1</v>
      </c>
      <c r="H201" s="60">
        <v>1</v>
      </c>
      <c r="I201" s="60">
        <v>1</v>
      </c>
      <c r="J201" s="75">
        <f t="shared" si="164"/>
        <v>23553.439999999999</v>
      </c>
      <c r="K201" s="75">
        <v>23553.439999999999</v>
      </c>
      <c r="L201" s="59" t="s">
        <v>104</v>
      </c>
      <c r="M201" s="59" t="s">
        <v>104</v>
      </c>
      <c r="N201" s="71">
        <f t="shared" si="165"/>
        <v>23553.439999999999</v>
      </c>
      <c r="O201" s="146">
        <f t="shared" si="166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 t="shared" si="167"/>
        <v>23553.439999999999</v>
      </c>
      <c r="V201" s="75">
        <f t="shared" si="163"/>
        <v>23553.439999999999</v>
      </c>
    </row>
    <row r="202" spans="1:22" ht="110.4">
      <c r="A202" s="305"/>
      <c r="B202" s="306"/>
      <c r="C202" s="61" t="s">
        <v>105</v>
      </c>
      <c r="D202" s="64" t="s">
        <v>101</v>
      </c>
      <c r="E202" s="60"/>
      <c r="F202" s="60"/>
      <c r="G202" s="59">
        <f t="shared" si="152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>G202*K202</f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 t="shared" si="97"/>
        <v>0</v>
      </c>
      <c r="V202" s="75">
        <f t="shared" si="98"/>
        <v>0</v>
      </c>
    </row>
    <row r="203" spans="1:22">
      <c r="A203" s="305"/>
      <c r="B203" s="110"/>
      <c r="C203" s="66" t="s">
        <v>106</v>
      </c>
      <c r="D203" s="64"/>
      <c r="E203" s="60">
        <f>E195+E202</f>
        <v>229</v>
      </c>
      <c r="F203" s="60">
        <f t="shared" ref="F203:I203" si="168">F195+F202</f>
        <v>229</v>
      </c>
      <c r="G203" s="60">
        <f t="shared" si="168"/>
        <v>229</v>
      </c>
      <c r="H203" s="60">
        <f t="shared" si="168"/>
        <v>229</v>
      </c>
      <c r="I203" s="60">
        <f t="shared" si="168"/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 t="shared" ref="T203:V203" si="169">SUM(T195:T202)</f>
        <v>2662177.67</v>
      </c>
      <c r="U203" s="74">
        <f t="shared" si="169"/>
        <v>12646300.109999999</v>
      </c>
      <c r="V203" s="74">
        <f t="shared" si="169"/>
        <v>12646300.109999999</v>
      </c>
    </row>
    <row r="204" spans="1:22" ht="82.8">
      <c r="A204" s="305"/>
      <c r="B204" s="306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152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 t="shared" si="97"/>
        <v>2055589.1999999997</v>
      </c>
      <c r="V204" s="75">
        <f t="shared" si="98"/>
        <v>2055589.1999999997</v>
      </c>
    </row>
    <row r="205" spans="1:22" ht="96.6">
      <c r="A205" s="305"/>
      <c r="B205" s="306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305"/>
      <c r="B206" s="306"/>
      <c r="C206" s="63" t="s">
        <v>165</v>
      </c>
      <c r="D206" s="64" t="s">
        <v>101</v>
      </c>
      <c r="E206" s="60">
        <v>0</v>
      </c>
      <c r="F206" s="60"/>
      <c r="G206" s="59">
        <f t="shared" si="152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305"/>
      <c r="B207" s="306"/>
      <c r="C207" s="61" t="s">
        <v>105</v>
      </c>
      <c r="D207" s="64" t="s">
        <v>101</v>
      </c>
      <c r="E207" s="60"/>
      <c r="F207" s="60">
        <v>0</v>
      </c>
      <c r="G207" s="157">
        <f t="shared" ref="G207:G209" si="170"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 t="shared" si="97"/>
        <v>0</v>
      </c>
      <c r="V207" s="75">
        <f t="shared" si="98"/>
        <v>0</v>
      </c>
    </row>
    <row r="208" spans="1:22">
      <c r="A208" s="305"/>
      <c r="B208" s="110"/>
      <c r="C208" s="66" t="s">
        <v>106</v>
      </c>
      <c r="D208" s="64"/>
      <c r="E208" s="60">
        <f>E204+E207</f>
        <v>35</v>
      </c>
      <c r="F208" s="60">
        <f t="shared" ref="F208:I208" si="171">F204+F207</f>
        <v>35</v>
      </c>
      <c r="G208" s="60">
        <f t="shared" si="171"/>
        <v>35</v>
      </c>
      <c r="H208" s="60">
        <f t="shared" si="171"/>
        <v>35</v>
      </c>
      <c r="I208" s="60">
        <f t="shared" si="171"/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 t="shared" ref="T208:V208" si="172">SUM(T204:T207)</f>
        <v>406883.05</v>
      </c>
      <c r="U208" s="74">
        <f t="shared" si="172"/>
        <v>2055589.1999999997</v>
      </c>
      <c r="V208" s="74">
        <f t="shared" si="172"/>
        <v>2055589.1999999997</v>
      </c>
    </row>
    <row r="209" spans="1:22" ht="96.6">
      <c r="A209" s="305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 t="shared" si="170"/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 t="shared" si="97"/>
        <v>1655164.1600000001</v>
      </c>
      <c r="V209" s="75">
        <f t="shared" si="98"/>
        <v>1655164.1600000001</v>
      </c>
    </row>
    <row r="210" spans="1:22">
      <c r="A210" s="305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173">SUM(M209:M209)</f>
        <v>0</v>
      </c>
      <c r="N210" s="74">
        <f t="shared" si="173"/>
        <v>1655164.1600000001</v>
      </c>
      <c r="O210" s="74">
        <f t="shared" si="173"/>
        <v>1655164.1600000001</v>
      </c>
      <c r="P210" s="74"/>
      <c r="Q210" s="74">
        <f t="shared" si="173"/>
        <v>0</v>
      </c>
      <c r="R210" s="74"/>
      <c r="S210" s="74"/>
      <c r="T210" s="74">
        <f t="shared" si="173"/>
        <v>0</v>
      </c>
      <c r="U210" s="75">
        <f t="shared" si="173"/>
        <v>1655164.1600000001</v>
      </c>
      <c r="V210" s="75">
        <f t="shared" si="173"/>
        <v>1655164.1600000001</v>
      </c>
    </row>
    <row r="211" spans="1:22">
      <c r="A211" s="305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305" t="s">
        <v>116</v>
      </c>
      <c r="B212" s="307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174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 t="shared" si="97"/>
        <v>13071938.220000001</v>
      </c>
      <c r="V212" s="75">
        <f t="shared" si="98"/>
        <v>13071938.220000001</v>
      </c>
    </row>
    <row r="213" spans="1:22" ht="96.6">
      <c r="A213" s="305"/>
      <c r="B213" s="308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305"/>
      <c r="B214" s="308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174"/>
        <v>1</v>
      </c>
      <c r="H214" s="59">
        <v>1</v>
      </c>
      <c r="I214" s="59">
        <v>1</v>
      </c>
      <c r="J214" s="75">
        <f t="shared" ref="J214:J219" si="175">K214</f>
        <v>25589.72</v>
      </c>
      <c r="K214" s="71">
        <v>25589.72</v>
      </c>
      <c r="L214" s="59"/>
      <c r="M214" s="59"/>
      <c r="N214" s="71">
        <f t="shared" ref="N214:N215" si="176">O214</f>
        <v>25589.72</v>
      </c>
      <c r="O214" s="146">
        <f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177">H214*K214</f>
        <v>25589.72</v>
      </c>
      <c r="V214" s="75">
        <f t="shared" ref="V214:V215" si="178">I214*K214</f>
        <v>25589.72</v>
      </c>
    </row>
    <row r="215" spans="1:22">
      <c r="A215" s="305"/>
      <c r="B215" s="308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174"/>
        <v>3</v>
      </c>
      <c r="H215" s="59">
        <v>3</v>
      </c>
      <c r="I215" s="59">
        <v>3</v>
      </c>
      <c r="J215" s="75">
        <f t="shared" si="175"/>
        <v>69362.66</v>
      </c>
      <c r="K215" s="71">
        <v>69362.66</v>
      </c>
      <c r="L215" s="59" t="s">
        <v>104</v>
      </c>
      <c r="M215" s="59" t="s">
        <v>104</v>
      </c>
      <c r="N215" s="71">
        <f t="shared" si="176"/>
        <v>208087.98</v>
      </c>
      <c r="O215" s="146">
        <f t="shared" ref="O215:O219" si="179">G215*K215</f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177"/>
        <v>208087.98</v>
      </c>
      <c r="V215" s="75">
        <f t="shared" si="178"/>
        <v>208087.98</v>
      </c>
    </row>
    <row r="216" spans="1:22">
      <c r="A216" s="305"/>
      <c r="B216" s="308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174"/>
        <v>1</v>
      </c>
      <c r="H216" s="59">
        <v>1</v>
      </c>
      <c r="I216" s="59">
        <v>1</v>
      </c>
      <c r="J216" s="75">
        <f t="shared" si="175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>O216</f>
        <v>66361.320000000007</v>
      </c>
      <c r="O216" s="146">
        <f t="shared" si="17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177"/>
        <v>66361.320000000007</v>
      </c>
      <c r="V216" s="75">
        <f>I216*K216</f>
        <v>66361.320000000007</v>
      </c>
    </row>
    <row r="217" spans="1:22">
      <c r="A217" s="305"/>
      <c r="B217" s="308"/>
      <c r="C217" s="63" t="s">
        <v>167</v>
      </c>
      <c r="D217" s="64" t="s">
        <v>101</v>
      </c>
      <c r="E217" s="59"/>
      <c r="F217" s="59"/>
      <c r="G217" s="59">
        <f t="shared" si="174"/>
        <v>0</v>
      </c>
      <c r="H217" s="59"/>
      <c r="I217" s="59"/>
      <c r="J217" s="75">
        <f t="shared" si="175"/>
        <v>174890.83</v>
      </c>
      <c r="K217" s="75">
        <v>174890.83</v>
      </c>
      <c r="L217" s="59" t="s">
        <v>104</v>
      </c>
      <c r="M217" s="59" t="s">
        <v>104</v>
      </c>
      <c r="N217" s="71">
        <f>O217</f>
        <v>0</v>
      </c>
      <c r="O217" s="146">
        <f t="shared" si="17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177"/>
        <v>0</v>
      </c>
      <c r="V217" s="75">
        <f>I217*K217</f>
        <v>0</v>
      </c>
    </row>
    <row r="218" spans="1:22">
      <c r="A218" s="305"/>
      <c r="B218" s="308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174"/>
        <v>1</v>
      </c>
      <c r="H218" s="59">
        <v>1</v>
      </c>
      <c r="I218" s="59">
        <v>1</v>
      </c>
      <c r="J218" s="75">
        <f t="shared" si="175"/>
        <v>99648.29</v>
      </c>
      <c r="K218" s="75">
        <v>99648.29</v>
      </c>
      <c r="L218" s="59" t="s">
        <v>104</v>
      </c>
      <c r="M218" s="59" t="s">
        <v>104</v>
      </c>
      <c r="N218" s="71">
        <f>O218</f>
        <v>99648.29</v>
      </c>
      <c r="O218" s="146">
        <f t="shared" si="17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177"/>
        <v>99648.29</v>
      </c>
      <c r="V218" s="75">
        <f>I218*K218</f>
        <v>99648.29</v>
      </c>
    </row>
    <row r="219" spans="1:22">
      <c r="A219" s="305"/>
      <c r="B219" s="308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174"/>
        <v>1</v>
      </c>
      <c r="H219" s="59">
        <v>1</v>
      </c>
      <c r="I219" s="59">
        <v>1</v>
      </c>
      <c r="J219" s="75">
        <f t="shared" si="175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>O219</f>
        <v>23553.439999999999</v>
      </c>
      <c r="O219" s="146">
        <f t="shared" si="17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177"/>
        <v>23553.439999999999</v>
      </c>
      <c r="V219" s="75">
        <f>I219*K219</f>
        <v>23553.439999999999</v>
      </c>
    </row>
    <row r="220" spans="1:22" ht="110.4">
      <c r="A220" s="305"/>
      <c r="B220" s="308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174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>G220*K220</f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180">H220*J220</f>
        <v>276783.54000000004</v>
      </c>
      <c r="V220" s="75">
        <f t="shared" ref="V220:V238" si="181">I220*J220</f>
        <v>276783.54000000004</v>
      </c>
    </row>
    <row r="221" spans="1:22" ht="96.6">
      <c r="A221" s="305"/>
      <c r="B221" s="308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174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>G221*K221</f>
        <v>0</v>
      </c>
      <c r="P221" s="146"/>
      <c r="Q221" s="71"/>
      <c r="R221" s="71"/>
      <c r="S221" s="71"/>
      <c r="T221" s="71"/>
      <c r="U221" s="75">
        <f t="shared" si="180"/>
        <v>0</v>
      </c>
      <c r="V221" s="75">
        <f t="shared" si="181"/>
        <v>0</v>
      </c>
    </row>
    <row r="222" spans="1:22">
      <c r="A222" s="305"/>
      <c r="B222" s="309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182">SUM(O212:O221)</f>
        <v>8646234.3499999996</v>
      </c>
      <c r="P222" s="71"/>
      <c r="Q222" s="71">
        <f t="shared" si="182"/>
        <v>1312652.72</v>
      </c>
      <c r="R222" s="71"/>
      <c r="S222" s="71"/>
      <c r="T222" s="71">
        <f t="shared" si="182"/>
        <v>3813075.44</v>
      </c>
      <c r="U222" s="71">
        <f t="shared" si="182"/>
        <v>13771962.510000002</v>
      </c>
      <c r="V222" s="71">
        <f t="shared" si="182"/>
        <v>13771962.510000002</v>
      </c>
    </row>
    <row r="223" spans="1:22" ht="82.8">
      <c r="A223" s="305"/>
      <c r="B223" s="307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174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180"/>
        <v>8982388.0800000001</v>
      </c>
      <c r="V223" s="75">
        <f t="shared" si="181"/>
        <v>8982388.0800000001</v>
      </c>
    </row>
    <row r="224" spans="1:22" ht="96.6">
      <c r="A224" s="305"/>
      <c r="B224" s="308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174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180"/>
        <v>12003021.139999999</v>
      </c>
      <c r="V224" s="75">
        <f t="shared" si="181"/>
        <v>12003021.139999999</v>
      </c>
    </row>
    <row r="225" spans="1:22" ht="82.8">
      <c r="A225" s="305"/>
      <c r="B225" s="308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305"/>
      <c r="B226" s="308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174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305"/>
      <c r="B227" s="308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174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 t="shared" ref="O227:O228" si="183"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305"/>
      <c r="B228" s="308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174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 t="shared" si="183"/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305"/>
      <c r="B229" s="308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174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180"/>
        <v>168684.5</v>
      </c>
      <c r="V229" s="75">
        <f t="shared" si="181"/>
        <v>168684.5</v>
      </c>
    </row>
    <row r="230" spans="1:22" ht="96.6">
      <c r="A230" s="305"/>
      <c r="B230" s="308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174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180"/>
        <v>0</v>
      </c>
      <c r="V230" s="75">
        <f t="shared" si="181"/>
        <v>0</v>
      </c>
    </row>
    <row r="231" spans="1:22">
      <c r="A231" s="305"/>
      <c r="B231" s="309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184">SUM(O223:O230)</f>
        <v>15178208.960000001</v>
      </c>
      <c r="P231" s="74"/>
      <c r="Q231" s="74">
        <f t="shared" si="184"/>
        <v>1572782.07</v>
      </c>
      <c r="R231" s="74"/>
      <c r="S231" s="74"/>
      <c r="T231" s="74">
        <f t="shared" si="184"/>
        <v>4568715.3900000006</v>
      </c>
      <c r="U231" s="74">
        <f t="shared" si="184"/>
        <v>21319706.419999998</v>
      </c>
      <c r="V231" s="74">
        <f t="shared" si="184"/>
        <v>21319706.419999998</v>
      </c>
    </row>
    <row r="232" spans="1:22" ht="82.8">
      <c r="A232" s="305"/>
      <c r="B232" s="307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174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181"/>
        <v>3112749.36</v>
      </c>
    </row>
    <row r="233" spans="1:22" ht="96.6">
      <c r="A233" s="305"/>
      <c r="B233" s="308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174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180"/>
        <v>5253381.6400000006</v>
      </c>
      <c r="V233" s="75">
        <f t="shared" si="181"/>
        <v>5253381.6400000006</v>
      </c>
    </row>
    <row r="234" spans="1:22" ht="82.8">
      <c r="A234" s="305"/>
      <c r="B234" s="308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305"/>
      <c r="B235" s="308"/>
      <c r="C235" s="63" t="s">
        <v>168</v>
      </c>
      <c r="D235" s="64" t="s">
        <v>101</v>
      </c>
      <c r="E235" s="60"/>
      <c r="F235" s="60"/>
      <c r="G235" s="59">
        <f t="shared" si="174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305"/>
      <c r="B236" s="308"/>
      <c r="C236" s="61" t="s">
        <v>105</v>
      </c>
      <c r="D236" s="64" t="s">
        <v>101</v>
      </c>
      <c r="E236" s="60"/>
      <c r="F236" s="60"/>
      <c r="G236" s="59">
        <f t="shared" si="174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180"/>
        <v>0</v>
      </c>
      <c r="V236" s="75">
        <f t="shared" si="181"/>
        <v>0</v>
      </c>
    </row>
    <row r="237" spans="1:22">
      <c r="A237" s="305"/>
      <c r="B237" s="309"/>
      <c r="C237" s="66" t="s">
        <v>106</v>
      </c>
      <c r="D237" s="64"/>
      <c r="E237" s="60">
        <f>E232+E236</f>
        <v>53</v>
      </c>
      <c r="F237" s="60">
        <f t="shared" ref="F237:I237" si="185">F232+F236</f>
        <v>53</v>
      </c>
      <c r="G237" s="60">
        <f t="shared" si="185"/>
        <v>53</v>
      </c>
      <c r="H237" s="60">
        <f t="shared" si="185"/>
        <v>53</v>
      </c>
      <c r="I237" s="60">
        <f t="shared" si="185"/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186">SUM(O232:O236)</f>
        <v>6725272.9000000004</v>
      </c>
      <c r="P237" s="74"/>
      <c r="Q237" s="74">
        <f t="shared" si="186"/>
        <v>420208.94999999995</v>
      </c>
      <c r="R237" s="74"/>
      <c r="S237" s="74"/>
      <c r="T237" s="74">
        <f t="shared" si="186"/>
        <v>1220649.1499999999</v>
      </c>
      <c r="U237" s="74">
        <f t="shared" si="186"/>
        <v>8366131</v>
      </c>
      <c r="V237" s="74">
        <f t="shared" si="186"/>
        <v>8366131</v>
      </c>
    </row>
    <row r="238" spans="1:22" ht="96.6">
      <c r="A238" s="305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174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180"/>
        <v>4913768.6000000006</v>
      </c>
      <c r="V238" s="75">
        <f t="shared" si="181"/>
        <v>4913768.6000000006</v>
      </c>
    </row>
    <row r="239" spans="1:22">
      <c r="A239" s="305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187">SUM(M238:M238)</f>
        <v>0</v>
      </c>
      <c r="N239" s="74">
        <f t="shared" si="187"/>
        <v>4913768.6000000006</v>
      </c>
      <c r="O239" s="74">
        <f t="shared" si="187"/>
        <v>4913768.6000000006</v>
      </c>
      <c r="P239" s="74"/>
      <c r="Q239" s="74">
        <f t="shared" si="187"/>
        <v>0</v>
      </c>
      <c r="R239" s="74"/>
      <c r="S239" s="74"/>
      <c r="T239" s="74">
        <f t="shared" si="187"/>
        <v>0</v>
      </c>
      <c r="U239" s="75">
        <f t="shared" si="187"/>
        <v>4913768.6000000006</v>
      </c>
      <c r="V239" s="75">
        <f t="shared" si="187"/>
        <v>4913768.6000000006</v>
      </c>
    </row>
    <row r="240" spans="1:22">
      <c r="A240" s="305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188">N222+N231+N237+N239</f>
        <v>48371568.530000001</v>
      </c>
      <c r="O240" s="103">
        <f t="shared" si="188"/>
        <v>35463484.810000002</v>
      </c>
      <c r="P240" s="103"/>
      <c r="Q240" s="103">
        <f t="shared" si="188"/>
        <v>3305643.74</v>
      </c>
      <c r="R240" s="103"/>
      <c r="S240" s="103"/>
      <c r="T240" s="103">
        <f t="shared" si="188"/>
        <v>9602439.9800000004</v>
      </c>
      <c r="U240" s="103">
        <f t="shared" si="188"/>
        <v>48371568.530000001</v>
      </c>
      <c r="V240" s="103">
        <f t="shared" si="188"/>
        <v>48371568.530000001</v>
      </c>
    </row>
    <row r="241" spans="1:23" ht="187.2" customHeight="1">
      <c r="A241" s="305" t="s">
        <v>119</v>
      </c>
      <c r="B241" s="306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305"/>
      <c r="B242" s="306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18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305"/>
      <c r="B243" s="306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305"/>
      <c r="B244" s="306"/>
      <c r="C244" s="63" t="s">
        <v>166</v>
      </c>
      <c r="D244" s="64" t="s">
        <v>101</v>
      </c>
      <c r="E244" s="59">
        <v>2</v>
      </c>
      <c r="F244" s="59">
        <v>2</v>
      </c>
      <c r="G244" s="59">
        <f t="shared" ref="G244:G245" si="190"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305"/>
      <c r="B245" s="306"/>
      <c r="C245" s="61" t="s">
        <v>174</v>
      </c>
      <c r="D245" s="64" t="s">
        <v>101</v>
      </c>
      <c r="E245" s="59"/>
      <c r="F245" s="59"/>
      <c r="G245" s="59">
        <f t="shared" si="190"/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305"/>
      <c r="B246" s="306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 t="shared" ref="T246:V246" si="191">SUM(T241:T245)</f>
        <v>1112824.1100000001</v>
      </c>
      <c r="U246" s="71">
        <f t="shared" si="191"/>
        <v>4368241.84</v>
      </c>
      <c r="V246" s="71">
        <f t="shared" si="191"/>
        <v>4368241.84</v>
      </c>
    </row>
    <row r="247" spans="1:23" ht="193.2">
      <c r="A247" s="305"/>
      <c r="B247" s="306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18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193.2">
      <c r="A248" s="305"/>
      <c r="B248" s="306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18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305"/>
      <c r="B249" s="306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305"/>
      <c r="B250" s="110"/>
      <c r="C250" s="63" t="s">
        <v>165</v>
      </c>
      <c r="D250" s="64"/>
      <c r="E250" s="60">
        <v>1</v>
      </c>
      <c r="F250" s="60">
        <v>1</v>
      </c>
      <c r="G250" s="59">
        <f t="shared" ref="G250:G253" si="192"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305"/>
      <c r="B251" s="110"/>
      <c r="C251" s="63" t="s">
        <v>168</v>
      </c>
      <c r="D251" s="64"/>
      <c r="E251" s="60">
        <v>1</v>
      </c>
      <c r="F251" s="60">
        <v>1</v>
      </c>
      <c r="G251" s="59">
        <f t="shared" si="192"/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305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 t="shared" si="192"/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305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 t="shared" si="192"/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305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 t="shared" ref="T254:V254" si="193">SUM(T247:T253)</f>
        <v>1280860.3999999999</v>
      </c>
      <c r="U254" s="74">
        <f t="shared" si="193"/>
        <v>7891436.080000001</v>
      </c>
      <c r="V254" s="74">
        <f t="shared" si="193"/>
        <v>7891436.080000001</v>
      </c>
    </row>
    <row r="255" spans="1:23" ht="205.95" customHeight="1">
      <c r="A255" s="305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305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305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305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 t="shared" ref="G258:G260" si="194"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305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195">SUM(Q255:Q258)</f>
        <v>60029.850000000006</v>
      </c>
      <c r="R259" s="74"/>
      <c r="S259" s="74"/>
      <c r="T259" s="74">
        <f t="shared" si="195"/>
        <v>165628.5</v>
      </c>
      <c r="U259" s="74">
        <f t="shared" si="195"/>
        <v>2078344.5399999998</v>
      </c>
      <c r="V259" s="74">
        <f t="shared" si="195"/>
        <v>2078344.5399999998</v>
      </c>
    </row>
    <row r="260" spans="1:24" ht="96.6">
      <c r="A260" s="305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 t="shared" si="194"/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 t="shared" ref="U260" si="196">H260*J260</f>
        <v>1529704.25</v>
      </c>
      <c r="V260" s="75">
        <f t="shared" ref="V260" si="197">I260*J260</f>
        <v>1529704.25</v>
      </c>
    </row>
    <row r="261" spans="1:24">
      <c r="A261" s="305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198">SUM(M260:M260)</f>
        <v>0</v>
      </c>
      <c r="N261" s="74">
        <f t="shared" si="198"/>
        <v>1529704.25</v>
      </c>
      <c r="O261" s="74">
        <f t="shared" si="198"/>
        <v>1529704.25</v>
      </c>
      <c r="P261" s="74"/>
      <c r="Q261" s="74">
        <f t="shared" si="198"/>
        <v>0</v>
      </c>
      <c r="R261" s="74"/>
      <c r="S261" s="74"/>
      <c r="T261" s="74">
        <f t="shared" si="198"/>
        <v>0</v>
      </c>
      <c r="U261" s="74">
        <f t="shared" si="198"/>
        <v>1529704.25</v>
      </c>
      <c r="V261" s="74">
        <f t="shared" si="198"/>
        <v>1529704.25</v>
      </c>
    </row>
    <row r="262" spans="1:24">
      <c r="A262" s="305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199">N246+N254+N259+N261</f>
        <v>15867726.709999999</v>
      </c>
      <c r="O262" s="103">
        <f t="shared" si="199"/>
        <v>12439981.869999999</v>
      </c>
      <c r="P262" s="103"/>
      <c r="Q262" s="103">
        <f t="shared" si="199"/>
        <v>868431.83</v>
      </c>
      <c r="R262" s="103"/>
      <c r="S262" s="103"/>
      <c r="T262" s="103">
        <f t="shared" si="199"/>
        <v>2559313.0099999998</v>
      </c>
      <c r="U262" s="103">
        <f t="shared" si="199"/>
        <v>15867726.710000001</v>
      </c>
      <c r="V262" s="103">
        <f t="shared" si="199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310" t="s">
        <v>5</v>
      </c>
      <c r="E264" s="310"/>
      <c r="F264" s="310"/>
      <c r="G264" s="310"/>
      <c r="H264" s="310"/>
      <c r="I264" s="291" t="s">
        <v>6</v>
      </c>
      <c r="J264" s="291" t="s">
        <v>7</v>
      </c>
      <c r="K264" s="291"/>
      <c r="L264" s="291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291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 t="shared" ref="L268" si="200">K268</f>
        <v>6590626.5599999996</v>
      </c>
      <c r="M268" s="85"/>
    </row>
    <row r="271" spans="1:24">
      <c r="A271" s="80" t="s">
        <v>178</v>
      </c>
    </row>
  </sheetData>
  <mergeCells count="41"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219"/>
  <sheetViews>
    <sheetView tabSelected="1" topLeftCell="C1" zoomScale="60" zoomScaleNormal="60" workbookViewId="0">
      <selection activeCell="Y166" sqref="Y1:Y1048576"/>
    </sheetView>
  </sheetViews>
  <sheetFormatPr defaultColWidth="9.109375" defaultRowHeight="13.8"/>
  <cols>
    <col min="1" max="1" width="19.44140625" style="80" customWidth="1"/>
    <col min="2" max="2" width="28.6640625" style="80" customWidth="1"/>
    <col min="3" max="3" width="24.554687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8.33203125" style="80" bestFit="1" customWidth="1"/>
    <col min="8" max="9" width="12" style="80" bestFit="1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204" customWidth="1"/>
    <col min="14" max="14" width="16.6640625" style="204" customWidth="1"/>
    <col min="15" max="15" width="15.44140625" style="204" customWidth="1"/>
    <col min="16" max="16" width="14.6640625" style="204" customWidth="1"/>
    <col min="17" max="17" width="21.88671875" style="204" customWidth="1"/>
    <col min="18" max="19" width="14.33203125" style="204" customWidth="1"/>
    <col min="20" max="20" width="16.109375" style="204" customWidth="1"/>
    <col min="21" max="21" width="19" style="204" customWidth="1"/>
    <col min="22" max="22" width="15.33203125" style="80" hidden="1" customWidth="1"/>
    <col min="23" max="23" width="13.5546875" style="80" hidden="1" customWidth="1"/>
    <col min="24" max="24" width="22" style="80" hidden="1" customWidth="1"/>
    <col min="25" max="25" width="18" style="80" hidden="1" customWidth="1"/>
    <col min="26" max="26" width="18.44140625" style="80" customWidth="1"/>
    <col min="27" max="16384" width="9.109375" style="80"/>
  </cols>
  <sheetData>
    <row r="1" spans="1:21">
      <c r="T1" s="209" t="s">
        <v>175</v>
      </c>
    </row>
    <row r="2" spans="1:21" hidden="1">
      <c r="T2" s="209" t="s">
        <v>268</v>
      </c>
    </row>
    <row r="3" spans="1:21" hidden="1">
      <c r="R3" s="209"/>
      <c r="S3" s="209"/>
      <c r="T3" s="209" t="s">
        <v>175</v>
      </c>
    </row>
    <row r="4" spans="1:21">
      <c r="R4" s="209"/>
      <c r="S4" s="209"/>
      <c r="T4" s="209" t="s">
        <v>321</v>
      </c>
    </row>
    <row r="5" spans="1:21" hidden="1">
      <c r="R5" s="209" t="s">
        <v>175</v>
      </c>
      <c r="S5" s="209"/>
    </row>
    <row r="6" spans="1:21" hidden="1">
      <c r="R6" s="209" t="s">
        <v>189</v>
      </c>
      <c r="S6" s="209"/>
    </row>
    <row r="7" spans="1:21">
      <c r="A7" s="286" t="s">
        <v>269</v>
      </c>
      <c r="B7" s="286"/>
      <c r="C7" s="287"/>
      <c r="D7" s="286"/>
      <c r="E7" s="286"/>
      <c r="F7" s="287"/>
      <c r="G7" s="287"/>
      <c r="H7" s="286"/>
      <c r="I7" s="286"/>
      <c r="J7" s="286"/>
      <c r="K7" s="287"/>
      <c r="L7" s="286"/>
      <c r="M7" s="286"/>
      <c r="N7" s="286"/>
      <c r="O7" s="286"/>
      <c r="P7" s="287"/>
      <c r="Q7" s="287"/>
      <c r="R7" s="286"/>
      <c r="S7" s="287"/>
      <c r="T7" s="286"/>
      <c r="U7" s="286"/>
    </row>
    <row r="8" spans="1:21">
      <c r="A8" s="293" t="s">
        <v>154</v>
      </c>
      <c r="B8" s="293"/>
      <c r="C8" s="293"/>
      <c r="D8" s="86"/>
      <c r="E8" s="87"/>
      <c r="F8" s="87"/>
      <c r="G8" s="87"/>
      <c r="H8" s="87"/>
      <c r="I8" s="87"/>
      <c r="J8" s="75"/>
      <c r="K8" s="75"/>
      <c r="L8" s="75"/>
      <c r="M8" s="46"/>
      <c r="N8" s="46"/>
      <c r="O8" s="46"/>
      <c r="P8" s="46"/>
      <c r="Q8" s="46"/>
      <c r="R8" s="46"/>
      <c r="S8" s="46"/>
      <c r="T8" s="46"/>
      <c r="U8" s="46"/>
    </row>
    <row r="9" spans="1:21" ht="27.6">
      <c r="A9" s="297" t="s">
        <v>3</v>
      </c>
      <c r="B9" s="297" t="s">
        <v>86</v>
      </c>
      <c r="C9" s="190" t="s">
        <v>87</v>
      </c>
      <c r="D9" s="297" t="s">
        <v>4</v>
      </c>
      <c r="E9" s="298" t="s">
        <v>5</v>
      </c>
      <c r="F9" s="298"/>
      <c r="G9" s="298"/>
      <c r="H9" s="298"/>
      <c r="I9" s="298"/>
      <c r="J9" s="285" t="s">
        <v>6</v>
      </c>
      <c r="K9" s="285"/>
      <c r="L9" s="285"/>
      <c r="M9" s="285"/>
      <c r="N9" s="314" t="s">
        <v>7</v>
      </c>
      <c r="O9" s="314"/>
      <c r="P9" s="314"/>
      <c r="Q9" s="314"/>
      <c r="R9" s="314"/>
      <c r="S9" s="314"/>
      <c r="T9" s="314"/>
      <c r="U9" s="314"/>
    </row>
    <row r="10" spans="1:21" ht="110.4">
      <c r="A10" s="297"/>
      <c r="B10" s="297"/>
      <c r="C10" s="190"/>
      <c r="D10" s="297"/>
      <c r="E10" s="191" t="s">
        <v>176</v>
      </c>
      <c r="F10" s="191" t="s">
        <v>208</v>
      </c>
      <c r="G10" s="221" t="s">
        <v>271</v>
      </c>
      <c r="H10" s="221" t="s">
        <v>205</v>
      </c>
      <c r="I10" s="221" t="s">
        <v>270</v>
      </c>
      <c r="J10" s="187" t="s">
        <v>88</v>
      </c>
      <c r="K10" s="187" t="s">
        <v>89</v>
      </c>
      <c r="L10" s="187" t="s">
        <v>90</v>
      </c>
      <c r="M10" s="205" t="s">
        <v>91</v>
      </c>
      <c r="N10" s="205" t="s">
        <v>272</v>
      </c>
      <c r="O10" s="205" t="s">
        <v>93</v>
      </c>
      <c r="P10" s="205" t="s">
        <v>94</v>
      </c>
      <c r="Q10" s="205" t="s">
        <v>222</v>
      </c>
      <c r="R10" s="205" t="s">
        <v>95</v>
      </c>
      <c r="S10" s="205" t="s">
        <v>223</v>
      </c>
      <c r="T10" s="205" t="s">
        <v>210</v>
      </c>
      <c r="U10" s="205" t="s">
        <v>273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99" t="s">
        <v>16</v>
      </c>
      <c r="F11" s="99" t="s">
        <v>16</v>
      </c>
      <c r="G11" s="99"/>
      <c r="H11" s="99" t="s">
        <v>16</v>
      </c>
      <c r="I11" s="99" t="s">
        <v>16</v>
      </c>
      <c r="J11" s="187" t="s">
        <v>17</v>
      </c>
      <c r="K11" s="187" t="s">
        <v>17</v>
      </c>
      <c r="L11" s="187" t="s">
        <v>17</v>
      </c>
      <c r="M11" s="205" t="s">
        <v>17</v>
      </c>
      <c r="N11" s="205" t="s">
        <v>17</v>
      </c>
      <c r="O11" s="205" t="s">
        <v>17</v>
      </c>
      <c r="P11" s="205" t="s">
        <v>17</v>
      </c>
      <c r="Q11" s="205"/>
      <c r="R11" s="205" t="s">
        <v>17</v>
      </c>
      <c r="S11" s="205"/>
      <c r="T11" s="205" t="s">
        <v>17</v>
      </c>
      <c r="U11" s="205" t="s">
        <v>17</v>
      </c>
    </row>
    <row r="12" spans="1:21" ht="82.8">
      <c r="A12" s="305" t="s">
        <v>98</v>
      </c>
      <c r="B12" s="307" t="s">
        <v>238</v>
      </c>
      <c r="C12" s="61" t="s">
        <v>100</v>
      </c>
      <c r="D12" s="62" t="s">
        <v>101</v>
      </c>
      <c r="E12" s="59">
        <v>286</v>
      </c>
      <c r="F12" s="59">
        <v>286</v>
      </c>
      <c r="G12" s="59">
        <v>286</v>
      </c>
      <c r="H12" s="59">
        <v>286</v>
      </c>
      <c r="I12" s="59">
        <v>286</v>
      </c>
      <c r="J12" s="107">
        <f>SUM(K12:M12)</f>
        <v>38349.724475059993</v>
      </c>
      <c r="K12" s="107">
        <f>19579.7+1329.32</f>
        <v>20909.02</v>
      </c>
      <c r="L12" s="70">
        <f>4001.99*2.411294</f>
        <v>9649.9744750599984</v>
      </c>
      <c r="M12" s="202">
        <v>7790.73</v>
      </c>
      <c r="N12" s="203">
        <f>SUM(O12:R12)</f>
        <v>10968015.369867159</v>
      </c>
      <c r="O12" s="203">
        <f>G12*K12-0.28</f>
        <v>5979979.4399999995</v>
      </c>
      <c r="P12" s="203">
        <f>G12*L12-5.55</f>
        <v>2759887.1498671598</v>
      </c>
      <c r="Q12" s="203"/>
      <c r="R12" s="46">
        <f>G12*M12</f>
        <v>2228148.7799999998</v>
      </c>
      <c r="S12" s="46"/>
      <c r="T12" s="46">
        <f>N12</f>
        <v>10968015.369867159</v>
      </c>
      <c r="U12" s="46">
        <f>T12</f>
        <v>10968015.369867159</v>
      </c>
    </row>
    <row r="13" spans="1:21" ht="82.8">
      <c r="A13" s="305"/>
      <c r="B13" s="308"/>
      <c r="C13" s="63" t="s">
        <v>163</v>
      </c>
      <c r="D13" s="64" t="s">
        <v>101</v>
      </c>
      <c r="E13" s="59" t="s">
        <v>104</v>
      </c>
      <c r="F13" s="59" t="s">
        <v>104</v>
      </c>
      <c r="G13" s="59"/>
      <c r="H13" s="59" t="s">
        <v>104</v>
      </c>
      <c r="I13" s="59" t="s">
        <v>104</v>
      </c>
      <c r="J13" s="59" t="s">
        <v>104</v>
      </c>
      <c r="K13" s="59" t="s">
        <v>104</v>
      </c>
      <c r="L13" s="72" t="s">
        <v>104</v>
      </c>
      <c r="M13" s="206" t="s">
        <v>104</v>
      </c>
      <c r="N13" s="205"/>
      <c r="O13" s="203"/>
      <c r="P13" s="206" t="s">
        <v>104</v>
      </c>
      <c r="Q13" s="206"/>
      <c r="R13" s="206" t="s">
        <v>104</v>
      </c>
      <c r="S13" s="206"/>
      <c r="T13" s="253"/>
      <c r="U13" s="253"/>
    </row>
    <row r="14" spans="1:21">
      <c r="A14" s="305"/>
      <c r="B14" s="308"/>
      <c r="C14" s="63" t="s">
        <v>164</v>
      </c>
      <c r="D14" s="64"/>
      <c r="E14" s="59"/>
      <c r="F14" s="59"/>
      <c r="G14" s="59">
        <f>((E14*8)+(F14*4))/12</f>
        <v>0</v>
      </c>
      <c r="H14" s="59"/>
      <c r="I14" s="59"/>
      <c r="J14" s="71">
        <f>K14</f>
        <v>25589.72</v>
      </c>
      <c r="K14" s="75">
        <v>25589.72</v>
      </c>
      <c r="L14" s="72" t="s">
        <v>104</v>
      </c>
      <c r="M14" s="206" t="s">
        <v>104</v>
      </c>
      <c r="N14" s="205">
        <f>O14</f>
        <v>0</v>
      </c>
      <c r="O14" s="203">
        <f>G14*K14</f>
        <v>0</v>
      </c>
      <c r="P14" s="206" t="s">
        <v>104</v>
      </c>
      <c r="Q14" s="206"/>
      <c r="R14" s="206" t="s">
        <v>104</v>
      </c>
      <c r="S14" s="206"/>
      <c r="T14" s="253">
        <f>H14*K14</f>
        <v>0</v>
      </c>
      <c r="U14" s="253">
        <f>I14*K14</f>
        <v>0</v>
      </c>
    </row>
    <row r="15" spans="1:21">
      <c r="A15" s="305"/>
      <c r="B15" s="308"/>
      <c r="C15" s="63" t="s">
        <v>169</v>
      </c>
      <c r="D15" s="64"/>
      <c r="E15" s="59">
        <v>9</v>
      </c>
      <c r="F15" s="59">
        <v>9</v>
      </c>
      <c r="G15" s="59">
        <v>9</v>
      </c>
      <c r="H15" s="59">
        <v>9</v>
      </c>
      <c r="I15" s="59">
        <v>9</v>
      </c>
      <c r="J15" s="71">
        <f>K15</f>
        <v>69362.66</v>
      </c>
      <c r="K15" s="71">
        <v>69362.66</v>
      </c>
      <c r="L15" s="72" t="s">
        <v>104</v>
      </c>
      <c r="M15" s="206" t="s">
        <v>104</v>
      </c>
      <c r="N15" s="205">
        <f>O15</f>
        <v>624263.94000000006</v>
      </c>
      <c r="O15" s="203">
        <f t="shared" ref="O15:O21" si="0">G15*K15</f>
        <v>624263.94000000006</v>
      </c>
      <c r="P15" s="206" t="s">
        <v>104</v>
      </c>
      <c r="Q15" s="206"/>
      <c r="R15" s="206" t="s">
        <v>104</v>
      </c>
      <c r="S15" s="206"/>
      <c r="T15" s="253">
        <f>H15*K15</f>
        <v>624263.94000000006</v>
      </c>
      <c r="U15" s="253">
        <f>I15*K15</f>
        <v>624263.94000000006</v>
      </c>
    </row>
    <row r="16" spans="1:21">
      <c r="A16" s="305"/>
      <c r="B16" s="308"/>
      <c r="C16" s="63" t="s">
        <v>165</v>
      </c>
      <c r="D16" s="64"/>
      <c r="E16" s="59">
        <v>2</v>
      </c>
      <c r="F16" s="59">
        <v>2</v>
      </c>
      <c r="G16" s="59">
        <v>2</v>
      </c>
      <c r="H16" s="59">
        <v>2</v>
      </c>
      <c r="I16" s="59">
        <v>2</v>
      </c>
      <c r="J16" s="71">
        <f t="shared" ref="J16:J21" si="1">K16</f>
        <v>92468.25</v>
      </c>
      <c r="K16" s="75">
        <v>92468.25</v>
      </c>
      <c r="L16" s="72" t="s">
        <v>104</v>
      </c>
      <c r="M16" s="206" t="s">
        <v>104</v>
      </c>
      <c r="N16" s="205">
        <f t="shared" ref="N16:N21" si="2">O16</f>
        <v>184936.5</v>
      </c>
      <c r="O16" s="203">
        <f t="shared" si="0"/>
        <v>184936.5</v>
      </c>
      <c r="P16" s="206" t="s">
        <v>104</v>
      </c>
      <c r="Q16" s="206"/>
      <c r="R16" s="206" t="s">
        <v>104</v>
      </c>
      <c r="S16" s="206"/>
      <c r="T16" s="253">
        <f t="shared" ref="T16:T21" si="3">H16*K16</f>
        <v>184936.5</v>
      </c>
      <c r="U16" s="253">
        <f t="shared" ref="U16:U21" si="4">I16*K16</f>
        <v>184936.5</v>
      </c>
    </row>
    <row r="17" spans="1:24">
      <c r="A17" s="305"/>
      <c r="B17" s="308"/>
      <c r="C17" s="63" t="s">
        <v>166</v>
      </c>
      <c r="D17" s="64"/>
      <c r="E17" s="59">
        <v>22</v>
      </c>
      <c r="F17" s="59">
        <v>22</v>
      </c>
      <c r="G17" s="59">
        <v>22</v>
      </c>
      <c r="H17" s="59">
        <v>22</v>
      </c>
      <c r="I17" s="59">
        <v>22</v>
      </c>
      <c r="J17" s="71">
        <f t="shared" si="1"/>
        <v>66361.320000000007</v>
      </c>
      <c r="K17" s="75">
        <v>66361.320000000007</v>
      </c>
      <c r="L17" s="72" t="s">
        <v>104</v>
      </c>
      <c r="M17" s="206" t="s">
        <v>104</v>
      </c>
      <c r="N17" s="205">
        <f t="shared" si="2"/>
        <v>1459949.04</v>
      </c>
      <c r="O17" s="203">
        <f t="shared" si="0"/>
        <v>1459949.04</v>
      </c>
      <c r="P17" s="206" t="s">
        <v>104</v>
      </c>
      <c r="Q17" s="206"/>
      <c r="R17" s="206" t="s">
        <v>104</v>
      </c>
      <c r="S17" s="206"/>
      <c r="T17" s="253">
        <f t="shared" si="3"/>
        <v>1459949.04</v>
      </c>
      <c r="U17" s="253">
        <f t="shared" si="4"/>
        <v>1459949.04</v>
      </c>
    </row>
    <row r="18" spans="1:24">
      <c r="A18" s="305"/>
      <c r="B18" s="308"/>
      <c r="C18" s="63" t="s">
        <v>167</v>
      </c>
      <c r="D18" s="64"/>
      <c r="E18" s="59">
        <v>2</v>
      </c>
      <c r="F18" s="59">
        <v>2</v>
      </c>
      <c r="G18" s="59">
        <v>2</v>
      </c>
      <c r="H18" s="59">
        <v>2</v>
      </c>
      <c r="I18" s="59">
        <v>2</v>
      </c>
      <c r="J18" s="71">
        <f t="shared" si="1"/>
        <v>174890.83</v>
      </c>
      <c r="K18" s="75">
        <v>174890.83</v>
      </c>
      <c r="L18" s="72" t="s">
        <v>104</v>
      </c>
      <c r="M18" s="206" t="s">
        <v>104</v>
      </c>
      <c r="N18" s="205">
        <f t="shared" si="2"/>
        <v>349781.66</v>
      </c>
      <c r="O18" s="203">
        <f t="shared" si="0"/>
        <v>349781.66</v>
      </c>
      <c r="P18" s="206" t="s">
        <v>104</v>
      </c>
      <c r="Q18" s="206"/>
      <c r="R18" s="206" t="s">
        <v>104</v>
      </c>
      <c r="S18" s="206"/>
      <c r="T18" s="253">
        <f t="shared" si="3"/>
        <v>349781.66</v>
      </c>
      <c r="U18" s="253">
        <f t="shared" si="4"/>
        <v>349781.66</v>
      </c>
    </row>
    <row r="19" spans="1:24">
      <c r="A19" s="305"/>
      <c r="B19" s="308"/>
      <c r="C19" s="63" t="s">
        <v>190</v>
      </c>
      <c r="D19" s="64"/>
      <c r="E19" s="59"/>
      <c r="F19" s="59"/>
      <c r="G19" s="157"/>
      <c r="H19" s="59"/>
      <c r="I19" s="59"/>
      <c r="J19" s="71">
        <f t="shared" si="1"/>
        <v>178794.98</v>
      </c>
      <c r="K19" s="75">
        <v>178794.98</v>
      </c>
      <c r="L19" s="72"/>
      <c r="M19" s="206"/>
      <c r="N19" s="205">
        <f t="shared" si="2"/>
        <v>0</v>
      </c>
      <c r="O19" s="203">
        <f t="shared" si="0"/>
        <v>0</v>
      </c>
      <c r="P19" s="206" t="s">
        <v>104</v>
      </c>
      <c r="Q19" s="206"/>
      <c r="R19" s="206" t="s">
        <v>104</v>
      </c>
      <c r="S19" s="206"/>
      <c r="T19" s="253">
        <f t="shared" si="3"/>
        <v>0</v>
      </c>
      <c r="U19" s="253">
        <f t="shared" si="4"/>
        <v>0</v>
      </c>
    </row>
    <row r="20" spans="1:24">
      <c r="A20" s="305"/>
      <c r="B20" s="308"/>
      <c r="C20" s="63" t="s">
        <v>170</v>
      </c>
      <c r="D20" s="64"/>
      <c r="E20" s="59">
        <v>1</v>
      </c>
      <c r="F20" s="59">
        <v>1</v>
      </c>
      <c r="G20" s="59">
        <f t="shared" ref="G20" si="5">((E20*8)+(F20*4))/12</f>
        <v>1</v>
      </c>
      <c r="H20" s="59">
        <v>1</v>
      </c>
      <c r="I20" s="59">
        <v>1</v>
      </c>
      <c r="J20" s="71">
        <f t="shared" si="1"/>
        <v>99648.29</v>
      </c>
      <c r="K20" s="75">
        <v>99648.29</v>
      </c>
      <c r="L20" s="72" t="s">
        <v>104</v>
      </c>
      <c r="M20" s="206" t="s">
        <v>104</v>
      </c>
      <c r="N20" s="205">
        <f t="shared" si="2"/>
        <v>99648.29</v>
      </c>
      <c r="O20" s="203">
        <f t="shared" si="0"/>
        <v>99648.29</v>
      </c>
      <c r="P20" s="206" t="s">
        <v>104</v>
      </c>
      <c r="Q20" s="206"/>
      <c r="R20" s="206" t="s">
        <v>104</v>
      </c>
      <c r="S20" s="206"/>
      <c r="T20" s="253">
        <f t="shared" si="3"/>
        <v>99648.29</v>
      </c>
      <c r="U20" s="253">
        <f t="shared" si="4"/>
        <v>99648.29</v>
      </c>
    </row>
    <row r="21" spans="1:24">
      <c r="A21" s="305"/>
      <c r="B21" s="308"/>
      <c r="C21" s="63" t="s">
        <v>168</v>
      </c>
      <c r="D21" s="64"/>
      <c r="E21" s="59">
        <v>1</v>
      </c>
      <c r="F21" s="59">
        <v>1</v>
      </c>
      <c r="G21" s="59">
        <v>1</v>
      </c>
      <c r="H21" s="59">
        <v>1</v>
      </c>
      <c r="I21" s="59">
        <v>1</v>
      </c>
      <c r="J21" s="71">
        <f t="shared" si="1"/>
        <v>23553.439999999999</v>
      </c>
      <c r="K21" s="75">
        <v>23553.439999999999</v>
      </c>
      <c r="L21" s="72" t="s">
        <v>104</v>
      </c>
      <c r="M21" s="206" t="s">
        <v>104</v>
      </c>
      <c r="N21" s="205">
        <f t="shared" si="2"/>
        <v>23553.439999999999</v>
      </c>
      <c r="O21" s="203">
        <f t="shared" si="0"/>
        <v>23553.439999999999</v>
      </c>
      <c r="P21" s="206" t="s">
        <v>104</v>
      </c>
      <c r="Q21" s="206"/>
      <c r="R21" s="206" t="s">
        <v>104</v>
      </c>
      <c r="S21" s="206"/>
      <c r="T21" s="253">
        <f t="shared" si="3"/>
        <v>23553.439999999999</v>
      </c>
      <c r="U21" s="253">
        <f t="shared" si="4"/>
        <v>23553.439999999999</v>
      </c>
    </row>
    <row r="22" spans="1:24" ht="82.8">
      <c r="A22" s="305"/>
      <c r="B22" s="308"/>
      <c r="C22" s="61" t="s">
        <v>105</v>
      </c>
      <c r="D22" s="64" t="s">
        <v>101</v>
      </c>
      <c r="E22" s="59">
        <v>3</v>
      </c>
      <c r="F22" s="59">
        <v>3</v>
      </c>
      <c r="G22" s="59">
        <v>3</v>
      </c>
      <c r="H22" s="59">
        <v>3</v>
      </c>
      <c r="I22" s="59">
        <v>3</v>
      </c>
      <c r="J22" s="75">
        <f>SUM(K22:M22)</f>
        <v>140182.94447506001</v>
      </c>
      <c r="K22" s="75">
        <f>121412.92+1329.32</f>
        <v>122742.24</v>
      </c>
      <c r="L22" s="72">
        <f>4001.99*2.411294</f>
        <v>9649.9744750599984</v>
      </c>
      <c r="M22" s="202">
        <v>7790.73</v>
      </c>
      <c r="N22" s="203">
        <f>SUM(O22:R22)</f>
        <v>420548.83342518</v>
      </c>
      <c r="O22" s="203">
        <f>G22*K22</f>
        <v>368226.72000000003</v>
      </c>
      <c r="P22" s="203">
        <f>G22*L22</f>
        <v>28949.923425179994</v>
      </c>
      <c r="Q22" s="203"/>
      <c r="R22" s="46">
        <f>G22*M22</f>
        <v>23372.19</v>
      </c>
      <c r="S22" s="46"/>
      <c r="T22" s="253">
        <f>H22*J22</f>
        <v>420548.83342518006</v>
      </c>
      <c r="U22" s="253">
        <f t="shared" ref="U22:U127" si="6">I22*J22</f>
        <v>420548.83342518006</v>
      </c>
    </row>
    <row r="23" spans="1:24">
      <c r="A23" s="305"/>
      <c r="B23" s="309"/>
      <c r="C23" s="66" t="s">
        <v>106</v>
      </c>
      <c r="D23" s="67"/>
      <c r="E23" s="59">
        <f>E12+E22</f>
        <v>289</v>
      </c>
      <c r="F23" s="59">
        <f>F12+F22</f>
        <v>289</v>
      </c>
      <c r="G23" s="59">
        <f>G12+G22</f>
        <v>289</v>
      </c>
      <c r="H23" s="59">
        <f t="shared" ref="H23:I23" si="7">H12+H22</f>
        <v>289</v>
      </c>
      <c r="I23" s="59">
        <f t="shared" si="7"/>
        <v>289</v>
      </c>
      <c r="J23" s="71" t="s">
        <v>104</v>
      </c>
      <c r="K23" s="71" t="s">
        <v>104</v>
      </c>
      <c r="L23" s="71" t="s">
        <v>104</v>
      </c>
      <c r="M23" s="203" t="s">
        <v>104</v>
      </c>
      <c r="N23" s="203">
        <f>SUM(N12:N22)</f>
        <v>14130697.073292335</v>
      </c>
      <c r="O23" s="203">
        <f t="shared" ref="O23:R23" si="8">SUM(O12:O22)</f>
        <v>9090339.0299999993</v>
      </c>
      <c r="P23" s="203">
        <f t="shared" si="8"/>
        <v>2788837.0732923397</v>
      </c>
      <c r="Q23" s="203"/>
      <c r="R23" s="203">
        <f t="shared" si="8"/>
        <v>2251520.9699999997</v>
      </c>
      <c r="S23" s="203"/>
      <c r="T23" s="46">
        <f>SUM(T12:T22)</f>
        <v>14130697.073292337</v>
      </c>
      <c r="U23" s="46">
        <f>SUM(U12:U22)</f>
        <v>14130697.073292337</v>
      </c>
      <c r="W23" s="85">
        <f>R23+R30+R36+R42</f>
        <v>5048393.04</v>
      </c>
    </row>
    <row r="24" spans="1:24" ht="82.8">
      <c r="A24" s="305"/>
      <c r="B24" s="306" t="s">
        <v>239</v>
      </c>
      <c r="C24" s="61" t="s">
        <v>100</v>
      </c>
      <c r="D24" s="62" t="s">
        <v>101</v>
      </c>
      <c r="E24" s="59">
        <v>242</v>
      </c>
      <c r="F24" s="59">
        <v>242</v>
      </c>
      <c r="G24" s="59">
        <v>242</v>
      </c>
      <c r="H24" s="59">
        <v>242</v>
      </c>
      <c r="I24" s="59">
        <v>242</v>
      </c>
      <c r="J24" s="107">
        <f>SUM(K24:M24)</f>
        <v>53409.174475060005</v>
      </c>
      <c r="K24" s="107">
        <f>34346.05+1622.42</f>
        <v>35968.47</v>
      </c>
      <c r="L24" s="70">
        <f>4001.99*2.411294</f>
        <v>9649.9744750599984</v>
      </c>
      <c r="M24" s="202">
        <v>7790.73</v>
      </c>
      <c r="N24" s="203">
        <f>SUM(O24:R24)</f>
        <v>12925020.22296452</v>
      </c>
      <c r="O24" s="203">
        <f>G24*K24</f>
        <v>8704369.7400000002</v>
      </c>
      <c r="P24" s="201">
        <f>G24*L24</f>
        <v>2335293.8229645197</v>
      </c>
      <c r="Q24" s="201"/>
      <c r="R24" s="46">
        <f>G24*M24</f>
        <v>1885356.66</v>
      </c>
      <c r="S24" s="46"/>
      <c r="T24" s="46">
        <f t="shared" ref="T24:T127" si="9">H24*J24</f>
        <v>12925020.222964521</v>
      </c>
      <c r="U24" s="46">
        <f t="shared" si="6"/>
        <v>12925020.222964521</v>
      </c>
      <c r="X24" s="85"/>
    </row>
    <row r="25" spans="1:24" ht="111.75" customHeight="1">
      <c r="A25" s="305"/>
      <c r="B25" s="306"/>
      <c r="C25" s="63" t="s">
        <v>102</v>
      </c>
      <c r="D25" s="64" t="s">
        <v>101</v>
      </c>
      <c r="E25" s="59" t="s">
        <v>104</v>
      </c>
      <c r="F25" s="59" t="s">
        <v>104</v>
      </c>
      <c r="G25" s="59" t="s">
        <v>104</v>
      </c>
      <c r="H25" s="59" t="s">
        <v>104</v>
      </c>
      <c r="I25" s="59" t="s">
        <v>104</v>
      </c>
      <c r="J25" s="59" t="s">
        <v>104</v>
      </c>
      <c r="K25" s="59" t="s">
        <v>104</v>
      </c>
      <c r="L25" s="59" t="s">
        <v>104</v>
      </c>
      <c r="M25" s="123" t="s">
        <v>104</v>
      </c>
      <c r="N25" s="203"/>
      <c r="O25" s="203"/>
      <c r="P25" s="123" t="s">
        <v>104</v>
      </c>
      <c r="Q25" s="123"/>
      <c r="R25" s="123" t="s">
        <v>104</v>
      </c>
      <c r="S25" s="123"/>
      <c r="T25" s="46"/>
      <c r="U25" s="46"/>
    </row>
    <row r="26" spans="1:24" ht="20.25" customHeight="1">
      <c r="A26" s="305"/>
      <c r="B26" s="306"/>
      <c r="C26" s="63" t="s">
        <v>165</v>
      </c>
      <c r="D26" s="64" t="s">
        <v>101</v>
      </c>
      <c r="E26" s="60">
        <v>3</v>
      </c>
      <c r="F26" s="60">
        <v>3</v>
      </c>
      <c r="G26" s="60">
        <v>3</v>
      </c>
      <c r="H26" s="60">
        <v>3</v>
      </c>
      <c r="I26" s="60">
        <v>3</v>
      </c>
      <c r="J26" s="71">
        <f>K26</f>
        <v>92468.25</v>
      </c>
      <c r="K26" s="75">
        <v>92468.25</v>
      </c>
      <c r="L26" s="59" t="s">
        <v>104</v>
      </c>
      <c r="M26" s="123" t="s">
        <v>104</v>
      </c>
      <c r="N26" s="203">
        <f>O26</f>
        <v>277404.75</v>
      </c>
      <c r="O26" s="203">
        <f>G26*K26</f>
        <v>277404.75</v>
      </c>
      <c r="P26" s="123" t="s">
        <v>104</v>
      </c>
      <c r="Q26" s="123"/>
      <c r="R26" s="123" t="s">
        <v>104</v>
      </c>
      <c r="S26" s="123"/>
      <c r="T26" s="46">
        <f>H26*K26</f>
        <v>277404.75</v>
      </c>
      <c r="U26" s="46">
        <f>I26*K26</f>
        <v>277404.75</v>
      </c>
    </row>
    <row r="27" spans="1:24" ht="21" customHeight="1">
      <c r="A27" s="305"/>
      <c r="B27" s="306"/>
      <c r="C27" s="63" t="s">
        <v>167</v>
      </c>
      <c r="D27" s="64" t="s">
        <v>101</v>
      </c>
      <c r="E27" s="60">
        <v>2</v>
      </c>
      <c r="F27" s="60">
        <v>2</v>
      </c>
      <c r="G27" s="60">
        <v>2</v>
      </c>
      <c r="H27" s="60">
        <v>2</v>
      </c>
      <c r="I27" s="60">
        <v>2</v>
      </c>
      <c r="J27" s="71">
        <f t="shared" ref="J27:J28" si="10">K27</f>
        <v>266106.15000000002</v>
      </c>
      <c r="K27" s="75">
        <v>266106.15000000002</v>
      </c>
      <c r="L27" s="59" t="s">
        <v>104</v>
      </c>
      <c r="M27" s="123" t="s">
        <v>104</v>
      </c>
      <c r="N27" s="203">
        <f t="shared" ref="N27:N28" si="11">O27</f>
        <v>532212.30000000005</v>
      </c>
      <c r="O27" s="203">
        <f t="shared" ref="O27:O28" si="12">G27*K27</f>
        <v>532212.30000000005</v>
      </c>
      <c r="P27" s="123" t="s">
        <v>104</v>
      </c>
      <c r="Q27" s="123"/>
      <c r="R27" s="123" t="s">
        <v>104</v>
      </c>
      <c r="S27" s="123"/>
      <c r="T27" s="46">
        <f t="shared" ref="T27:T28" si="13">H27*K27</f>
        <v>532212.30000000005</v>
      </c>
      <c r="U27" s="46">
        <f t="shared" ref="U27:U28" si="14">I27*K27</f>
        <v>532212.30000000005</v>
      </c>
    </row>
    <row r="28" spans="1:24" ht="21" customHeight="1">
      <c r="A28" s="305"/>
      <c r="B28" s="306"/>
      <c r="C28" s="63" t="s">
        <v>168</v>
      </c>
      <c r="D28" s="64" t="s">
        <v>101</v>
      </c>
      <c r="E28" s="60">
        <v>1</v>
      </c>
      <c r="F28" s="60">
        <v>1</v>
      </c>
      <c r="G28" s="60">
        <v>1</v>
      </c>
      <c r="H28" s="60">
        <v>1</v>
      </c>
      <c r="I28" s="60">
        <v>1</v>
      </c>
      <c r="J28" s="71">
        <f t="shared" si="10"/>
        <v>23553.439999999999</v>
      </c>
      <c r="K28" s="75">
        <v>23553.439999999999</v>
      </c>
      <c r="L28" s="59" t="s">
        <v>104</v>
      </c>
      <c r="M28" s="123" t="s">
        <v>104</v>
      </c>
      <c r="N28" s="203">
        <f t="shared" si="11"/>
        <v>23553.439999999999</v>
      </c>
      <c r="O28" s="203">
        <f t="shared" si="12"/>
        <v>23553.439999999999</v>
      </c>
      <c r="P28" s="123" t="s">
        <v>104</v>
      </c>
      <c r="Q28" s="123"/>
      <c r="R28" s="123" t="s">
        <v>104</v>
      </c>
      <c r="S28" s="123"/>
      <c r="T28" s="46">
        <f t="shared" si="13"/>
        <v>23553.439999999999</v>
      </c>
      <c r="U28" s="46">
        <f t="shared" si="14"/>
        <v>23553.439999999999</v>
      </c>
    </row>
    <row r="29" spans="1:24" ht="82.8">
      <c r="A29" s="305"/>
      <c r="B29" s="306"/>
      <c r="C29" s="61" t="s">
        <v>105</v>
      </c>
      <c r="D29" s="64" t="s">
        <v>101</v>
      </c>
      <c r="E29" s="60">
        <v>2</v>
      </c>
      <c r="F29" s="60">
        <v>2</v>
      </c>
      <c r="G29" s="60">
        <v>2</v>
      </c>
      <c r="H29" s="60">
        <v>2</v>
      </c>
      <c r="I29" s="60">
        <v>2</v>
      </c>
      <c r="J29" s="71">
        <f>K29</f>
        <v>153030.05000000002</v>
      </c>
      <c r="K29" s="73">
        <f>151407.63+1622.42</f>
        <v>153030.05000000002</v>
      </c>
      <c r="L29" s="70">
        <f>4001.99*2.411294</f>
        <v>9649.9744750599984</v>
      </c>
      <c r="M29" s="202">
        <v>7790.73</v>
      </c>
      <c r="N29" s="203">
        <f>SUM(O29:R29)</f>
        <v>340941.50895012007</v>
      </c>
      <c r="O29" s="203">
        <f>G29*K29</f>
        <v>306060.10000000003</v>
      </c>
      <c r="P29" s="201">
        <f>G29*L29</f>
        <v>19299.948950119997</v>
      </c>
      <c r="Q29" s="201"/>
      <c r="R29" s="46">
        <f>G29*M29</f>
        <v>15581.46</v>
      </c>
      <c r="S29" s="46"/>
      <c r="T29" s="46">
        <f>N29</f>
        <v>340941.50895012007</v>
      </c>
      <c r="U29" s="46">
        <f>T29</f>
        <v>340941.50895012007</v>
      </c>
    </row>
    <row r="30" spans="1:24">
      <c r="A30" s="305"/>
      <c r="B30" s="192"/>
      <c r="C30" s="66" t="s">
        <v>106</v>
      </c>
      <c r="D30" s="64"/>
      <c r="E30" s="60">
        <f>E24+E29</f>
        <v>244</v>
      </c>
      <c r="F30" s="60">
        <f>F24+F29</f>
        <v>244</v>
      </c>
      <c r="G30" s="60">
        <f>G24+G29</f>
        <v>244</v>
      </c>
      <c r="H30" s="60">
        <f t="shared" ref="H30:I30" si="15">H24+H29</f>
        <v>244</v>
      </c>
      <c r="I30" s="60">
        <f t="shared" si="15"/>
        <v>244</v>
      </c>
      <c r="J30" s="59" t="s">
        <v>104</v>
      </c>
      <c r="K30" s="59" t="s">
        <v>104</v>
      </c>
      <c r="L30" s="59" t="s">
        <v>104</v>
      </c>
      <c r="M30" s="123" t="s">
        <v>104</v>
      </c>
      <c r="N30" s="207">
        <f>SUM(N24:N29)</f>
        <v>14099132.22191464</v>
      </c>
      <c r="O30" s="207">
        <f t="shared" ref="O30:U30" si="16">SUM(O24:O29)</f>
        <v>9843600.3300000001</v>
      </c>
      <c r="P30" s="207">
        <f t="shared" si="16"/>
        <v>2354593.7719146395</v>
      </c>
      <c r="Q30" s="207"/>
      <c r="R30" s="207">
        <f t="shared" si="16"/>
        <v>1900938.1199999999</v>
      </c>
      <c r="S30" s="207"/>
      <c r="T30" s="207">
        <f t="shared" si="16"/>
        <v>14099132.221914642</v>
      </c>
      <c r="U30" s="207">
        <f t="shared" si="16"/>
        <v>14099132.221914642</v>
      </c>
    </row>
    <row r="31" spans="1:24" ht="82.95" customHeight="1">
      <c r="A31" s="305"/>
      <c r="B31" s="307" t="s">
        <v>240</v>
      </c>
      <c r="C31" s="61" t="s">
        <v>100</v>
      </c>
      <c r="D31" s="62" t="s">
        <v>101</v>
      </c>
      <c r="E31" s="60">
        <v>46</v>
      </c>
      <c r="F31" s="60">
        <v>46</v>
      </c>
      <c r="G31" s="60">
        <v>46</v>
      </c>
      <c r="H31" s="60">
        <v>46</v>
      </c>
      <c r="I31" s="60">
        <v>46</v>
      </c>
      <c r="J31" s="107">
        <f>SUM(K31:M31)</f>
        <v>60511.614475060007</v>
      </c>
      <c r="K31" s="107">
        <f>41105.12+1965.79</f>
        <v>43070.91</v>
      </c>
      <c r="L31" s="70">
        <f>4001.99*2.411294</f>
        <v>9649.9744750599984</v>
      </c>
      <c r="M31" s="202">
        <v>7790.73</v>
      </c>
      <c r="N31" s="201">
        <f>SUM(O31:R31)</f>
        <v>2783534.3358527604</v>
      </c>
      <c r="O31" s="201">
        <f>G31*K31</f>
        <v>1981261.86</v>
      </c>
      <c r="P31" s="201">
        <f>G31*L31+0.09</f>
        <v>443898.91585275996</v>
      </c>
      <c r="Q31" s="201"/>
      <c r="R31" s="46">
        <f>G31*M31-0.02</f>
        <v>358373.55999999994</v>
      </c>
      <c r="S31" s="46"/>
      <c r="T31" s="46">
        <f>N31</f>
        <v>2783534.3358527604</v>
      </c>
      <c r="U31" s="46">
        <f>T31</f>
        <v>2783534.3358527604</v>
      </c>
    </row>
    <row r="32" spans="1:24" ht="82.8">
      <c r="A32" s="305"/>
      <c r="B32" s="308"/>
      <c r="C32" s="63" t="s">
        <v>102</v>
      </c>
      <c r="D32" s="64" t="s">
        <v>101</v>
      </c>
      <c r="E32" s="59" t="s">
        <v>104</v>
      </c>
      <c r="F32" s="59" t="s">
        <v>104</v>
      </c>
      <c r="G32" s="59" t="s">
        <v>104</v>
      </c>
      <c r="H32" s="59" t="s">
        <v>104</v>
      </c>
      <c r="I32" s="59" t="s">
        <v>104</v>
      </c>
      <c r="J32" s="59" t="s">
        <v>104</v>
      </c>
      <c r="K32" s="59" t="s">
        <v>104</v>
      </c>
      <c r="L32" s="59" t="s">
        <v>104</v>
      </c>
      <c r="M32" s="123" t="s">
        <v>104</v>
      </c>
      <c r="N32" s="203"/>
      <c r="O32" s="203"/>
      <c r="P32" s="123" t="s">
        <v>104</v>
      </c>
      <c r="Q32" s="123"/>
      <c r="R32" s="123" t="s">
        <v>104</v>
      </c>
      <c r="S32" s="123"/>
      <c r="T32" s="46"/>
      <c r="U32" s="46"/>
    </row>
    <row r="33" spans="1:24">
      <c r="A33" s="305"/>
      <c r="B33" s="308"/>
      <c r="C33" s="63" t="s">
        <v>168</v>
      </c>
      <c r="D33" s="64" t="s">
        <v>101</v>
      </c>
      <c r="E33" s="59"/>
      <c r="F33" s="59"/>
      <c r="G33" s="59">
        <f>((E33*8)+(F33*4))/12</f>
        <v>0</v>
      </c>
      <c r="H33" s="59"/>
      <c r="I33" s="59"/>
      <c r="J33" s="71">
        <f t="shared" ref="J33" si="17">K33</f>
        <v>23553.439999999999</v>
      </c>
      <c r="K33" s="75">
        <v>23553.439999999999</v>
      </c>
      <c r="L33" s="59" t="s">
        <v>104</v>
      </c>
      <c r="M33" s="123" t="s">
        <v>104</v>
      </c>
      <c r="N33" s="203">
        <f t="shared" ref="N33" si="18">O33</f>
        <v>0</v>
      </c>
      <c r="O33" s="203">
        <f>G33*K33</f>
        <v>0</v>
      </c>
      <c r="P33" s="123" t="s">
        <v>104</v>
      </c>
      <c r="Q33" s="123"/>
      <c r="R33" s="123" t="s">
        <v>104</v>
      </c>
      <c r="S33" s="123"/>
      <c r="T33" s="46">
        <f t="shared" ref="T33" si="19">H33*K33</f>
        <v>0</v>
      </c>
      <c r="U33" s="46">
        <f t="shared" ref="U33" si="20">I33*K33</f>
        <v>0</v>
      </c>
    </row>
    <row r="34" spans="1:24" ht="82.8">
      <c r="A34" s="305"/>
      <c r="B34" s="308"/>
      <c r="C34" s="61" t="s">
        <v>105</v>
      </c>
      <c r="D34" s="64" t="s">
        <v>101</v>
      </c>
      <c r="E34" s="60"/>
      <c r="F34" s="60"/>
      <c r="G34" s="60"/>
      <c r="H34" s="60"/>
      <c r="I34" s="60"/>
      <c r="J34" s="73"/>
      <c r="K34" s="73"/>
      <c r="L34" s="74"/>
      <c r="M34" s="201"/>
      <c r="N34" s="201"/>
      <c r="O34" s="201"/>
      <c r="P34" s="201"/>
      <c r="Q34" s="201"/>
      <c r="R34" s="201"/>
      <c r="S34" s="201"/>
      <c r="T34" s="46">
        <f t="shared" si="9"/>
        <v>0</v>
      </c>
      <c r="U34" s="46">
        <f t="shared" si="6"/>
        <v>0</v>
      </c>
    </row>
    <row r="35" spans="1:24" ht="92.4" customHeight="1">
      <c r="A35" s="305"/>
      <c r="B35" s="309"/>
      <c r="C35" s="166" t="s">
        <v>256</v>
      </c>
      <c r="D35" s="167" t="s">
        <v>101</v>
      </c>
      <c r="E35" s="168">
        <v>69</v>
      </c>
      <c r="F35" s="168">
        <v>69</v>
      </c>
      <c r="G35" s="168">
        <v>69</v>
      </c>
      <c r="H35" s="168">
        <v>69</v>
      </c>
      <c r="I35" s="168">
        <v>69</v>
      </c>
      <c r="J35" s="171">
        <f>K35+L35</f>
        <v>43939.594475060003</v>
      </c>
      <c r="K35" s="171">
        <f>32323.83+1965.79</f>
        <v>34289.620000000003</v>
      </c>
      <c r="L35" s="163">
        <f>4001.99*2.411294</f>
        <v>9649.9744750599984</v>
      </c>
      <c r="M35" s="202">
        <v>7790.73</v>
      </c>
      <c r="N35" s="201">
        <f>SUM(O35:R35)</f>
        <v>3569392.4087791401</v>
      </c>
      <c r="O35" s="201">
        <f>G35*K35</f>
        <v>2365983.7800000003</v>
      </c>
      <c r="P35" s="201">
        <f>G35*L35</f>
        <v>665848.23877913994</v>
      </c>
      <c r="Q35" s="123" t="s">
        <v>104</v>
      </c>
      <c r="R35" s="203">
        <f>M35*G35+0.02</f>
        <v>537560.39</v>
      </c>
      <c r="S35" s="123" t="s">
        <v>104</v>
      </c>
      <c r="T35" s="46">
        <f>N35</f>
        <v>3569392.4087791401</v>
      </c>
      <c r="U35" s="46">
        <f>T35</f>
        <v>3569392.4087791401</v>
      </c>
    </row>
    <row r="36" spans="1:24">
      <c r="A36" s="305"/>
      <c r="B36" s="192"/>
      <c r="C36" s="66" t="s">
        <v>106</v>
      </c>
      <c r="D36" s="64"/>
      <c r="E36" s="60">
        <f>E31+E35</f>
        <v>115</v>
      </c>
      <c r="F36" s="60">
        <f t="shared" ref="F36:I36" si="21">F31+F35</f>
        <v>115</v>
      </c>
      <c r="G36" s="60">
        <f t="shared" si="21"/>
        <v>115</v>
      </c>
      <c r="H36" s="60">
        <f t="shared" si="21"/>
        <v>115</v>
      </c>
      <c r="I36" s="60">
        <f t="shared" si="21"/>
        <v>115</v>
      </c>
      <c r="J36" s="73" t="s">
        <v>104</v>
      </c>
      <c r="K36" s="73" t="s">
        <v>104</v>
      </c>
      <c r="L36" s="73" t="s">
        <v>104</v>
      </c>
      <c r="M36" s="201" t="s">
        <v>104</v>
      </c>
      <c r="N36" s="207">
        <f>SUM(N31:N35)</f>
        <v>6352926.7446319005</v>
      </c>
      <c r="O36" s="207">
        <f>SUM(O31:O35)</f>
        <v>4347245.6400000006</v>
      </c>
      <c r="P36" s="207">
        <f>SUM(P31:P35)</f>
        <v>1109747.1546318999</v>
      </c>
      <c r="Q36" s="207"/>
      <c r="R36" s="207">
        <f>SUM(R31:R35)</f>
        <v>895933.95</v>
      </c>
      <c r="S36" s="207"/>
      <c r="T36" s="207">
        <f>SUM(T31:T35)</f>
        <v>6352926.7446319005</v>
      </c>
      <c r="U36" s="207">
        <f>SUM(U31:U35)</f>
        <v>6352926.7446319005</v>
      </c>
      <c r="W36" s="80">
        <f>R44/576</f>
        <v>8764.5712500000009</v>
      </c>
    </row>
    <row r="37" spans="1:24" ht="100.95" customHeight="1">
      <c r="A37" s="305"/>
      <c r="B37" s="137" t="s">
        <v>241</v>
      </c>
      <c r="C37" s="61" t="s">
        <v>187</v>
      </c>
      <c r="D37" s="64" t="s">
        <v>101</v>
      </c>
      <c r="E37" s="60">
        <v>693</v>
      </c>
      <c r="F37" s="60">
        <v>693</v>
      </c>
      <c r="G37" s="60">
        <v>693</v>
      </c>
      <c r="H37" s="60">
        <v>693</v>
      </c>
      <c r="I37" s="60">
        <v>693</v>
      </c>
      <c r="J37" s="75">
        <f>K37</f>
        <v>3268.55</v>
      </c>
      <c r="K37" s="75">
        <v>3268.55</v>
      </c>
      <c r="L37" s="73" t="s">
        <v>104</v>
      </c>
      <c r="M37" s="201" t="s">
        <v>104</v>
      </c>
      <c r="N37" s="201">
        <f>SUM(O37:R37)</f>
        <v>2265106</v>
      </c>
      <c r="O37" s="201">
        <f>J37*G37+0.85</f>
        <v>2265106</v>
      </c>
      <c r="P37" s="201" t="s">
        <v>104</v>
      </c>
      <c r="Q37" s="201"/>
      <c r="R37" s="201" t="s">
        <v>104</v>
      </c>
      <c r="S37" s="201"/>
      <c r="T37" s="46">
        <f>N37</f>
        <v>2265106</v>
      </c>
      <c r="U37" s="46">
        <f>T37</f>
        <v>2265106</v>
      </c>
    </row>
    <row r="38" spans="1:24">
      <c r="A38" s="305"/>
      <c r="B38" s="69"/>
      <c r="C38" s="66" t="s">
        <v>106</v>
      </c>
      <c r="D38" s="69"/>
      <c r="E38" s="60">
        <f>SUM(E37:E37)</f>
        <v>693</v>
      </c>
      <c r="F38" s="60">
        <f>SUM(F37:F37)</f>
        <v>693</v>
      </c>
      <c r="G38" s="59">
        <f>G37</f>
        <v>693</v>
      </c>
      <c r="H38" s="60">
        <f>SUM(H37:H37)</f>
        <v>693</v>
      </c>
      <c r="I38" s="60">
        <f>SUM(I37:I37)</f>
        <v>693</v>
      </c>
      <c r="J38" s="73" t="s">
        <v>104</v>
      </c>
      <c r="K38" s="73" t="s">
        <v>104</v>
      </c>
      <c r="L38" s="73" t="s">
        <v>104</v>
      </c>
      <c r="M38" s="207">
        <f t="shared" ref="M38:U38" si="22">SUM(M37:M37)</f>
        <v>0</v>
      </c>
      <c r="N38" s="207">
        <f t="shared" si="22"/>
        <v>2265106</v>
      </c>
      <c r="O38" s="207">
        <f t="shared" si="22"/>
        <v>2265106</v>
      </c>
      <c r="P38" s="207">
        <f t="shared" si="22"/>
        <v>0</v>
      </c>
      <c r="Q38" s="207"/>
      <c r="R38" s="207">
        <f t="shared" si="22"/>
        <v>0</v>
      </c>
      <c r="S38" s="207"/>
      <c r="T38" s="207">
        <f t="shared" si="22"/>
        <v>2265106</v>
      </c>
      <c r="U38" s="207">
        <f t="shared" si="22"/>
        <v>2265106</v>
      </c>
    </row>
    <row r="39" spans="1:24" ht="27" customHeight="1">
      <c r="A39" s="305"/>
      <c r="B39" s="257" t="s">
        <v>300</v>
      </c>
      <c r="C39" s="184" t="s">
        <v>226</v>
      </c>
      <c r="D39" s="69"/>
      <c r="E39" s="60"/>
      <c r="F39" s="60"/>
      <c r="G39" s="59"/>
      <c r="H39" s="60"/>
      <c r="I39" s="60"/>
      <c r="J39" s="73"/>
      <c r="K39" s="73"/>
      <c r="L39" s="73"/>
      <c r="M39" s="207"/>
      <c r="N39" s="207">
        <f>P39</f>
        <v>118131</v>
      </c>
      <c r="O39" s="207"/>
      <c r="P39" s="207">
        <v>118131</v>
      </c>
      <c r="Q39" s="207"/>
      <c r="R39" s="207"/>
      <c r="S39" s="207"/>
      <c r="T39" s="207">
        <f>P39</f>
        <v>118131</v>
      </c>
      <c r="U39" s="207">
        <f>T39</f>
        <v>118131</v>
      </c>
    </row>
    <row r="40" spans="1:24">
      <c r="A40" s="305"/>
      <c r="B40" s="89" t="s">
        <v>225</v>
      </c>
      <c r="C40" s="184" t="s">
        <v>219</v>
      </c>
      <c r="D40" s="64" t="s">
        <v>101</v>
      </c>
      <c r="E40" s="60">
        <v>17</v>
      </c>
      <c r="F40" s="60">
        <v>17</v>
      </c>
      <c r="G40" s="59">
        <v>17</v>
      </c>
      <c r="H40" s="60">
        <v>17</v>
      </c>
      <c r="I40" s="60">
        <v>17</v>
      </c>
      <c r="J40" s="73"/>
      <c r="K40" s="73"/>
      <c r="L40" s="73"/>
      <c r="M40" s="207"/>
      <c r="N40" s="207">
        <f>S40</f>
        <v>3308494</v>
      </c>
      <c r="O40" s="207"/>
      <c r="P40" s="207"/>
      <c r="Q40" s="207"/>
      <c r="R40" s="207"/>
      <c r="S40" s="207">
        <v>3308494</v>
      </c>
      <c r="T40" s="207">
        <f>S40</f>
        <v>3308494</v>
      </c>
      <c r="U40" s="207">
        <f>T40</f>
        <v>3308494</v>
      </c>
    </row>
    <row r="41" spans="1:24">
      <c r="A41" s="305"/>
      <c r="B41" s="89" t="s">
        <v>225</v>
      </c>
      <c r="C41" s="184" t="s">
        <v>226</v>
      </c>
      <c r="D41" s="64" t="s">
        <v>101</v>
      </c>
      <c r="E41" s="60"/>
      <c r="F41" s="60"/>
      <c r="G41" s="59"/>
      <c r="H41" s="60"/>
      <c r="I41" s="60"/>
      <c r="J41" s="73"/>
      <c r="K41" s="73"/>
      <c r="L41" s="73"/>
      <c r="M41" s="207"/>
      <c r="N41" s="207"/>
      <c r="O41" s="207"/>
      <c r="P41" s="207"/>
      <c r="Q41" s="207"/>
      <c r="R41" s="207"/>
      <c r="S41" s="207"/>
      <c r="T41" s="207">
        <f>Q41</f>
        <v>0</v>
      </c>
      <c r="U41" s="207">
        <f>T41</f>
        <v>0</v>
      </c>
    </row>
    <row r="42" spans="1:24">
      <c r="A42" s="305"/>
      <c r="B42" s="89" t="s">
        <v>299</v>
      </c>
      <c r="C42" s="184" t="s">
        <v>219</v>
      </c>
      <c r="D42" s="64" t="s">
        <v>101</v>
      </c>
      <c r="E42" s="60"/>
      <c r="F42" s="60"/>
      <c r="G42" s="59">
        <v>17</v>
      </c>
      <c r="H42" s="59">
        <v>17</v>
      </c>
      <c r="I42" s="59">
        <v>17</v>
      </c>
      <c r="J42" s="73"/>
      <c r="K42" s="73"/>
      <c r="L42" s="73"/>
      <c r="M42" s="207"/>
      <c r="N42" s="207">
        <f>S42</f>
        <v>275902</v>
      </c>
      <c r="O42" s="207"/>
      <c r="P42" s="207"/>
      <c r="Q42" s="207"/>
      <c r="R42" s="207"/>
      <c r="S42" s="207">
        <v>275902</v>
      </c>
      <c r="T42" s="207"/>
      <c r="U42" s="207"/>
    </row>
    <row r="43" spans="1:24">
      <c r="A43" s="305"/>
      <c r="B43" s="89" t="s">
        <v>265</v>
      </c>
      <c r="C43" s="184" t="s">
        <v>226</v>
      </c>
      <c r="D43" s="64"/>
      <c r="E43" s="60"/>
      <c r="F43" s="60"/>
      <c r="G43" s="59"/>
      <c r="H43" s="60"/>
      <c r="I43" s="60"/>
      <c r="J43" s="73"/>
      <c r="K43" s="73"/>
      <c r="L43" s="73"/>
      <c r="M43" s="207"/>
      <c r="N43" s="207">
        <f>O43</f>
        <v>272890</v>
      </c>
      <c r="O43" s="207">
        <v>272890</v>
      </c>
      <c r="P43" s="207"/>
      <c r="Q43" s="207"/>
      <c r="R43" s="207"/>
      <c r="S43" s="207"/>
      <c r="T43" s="207">
        <f>O43</f>
        <v>272890</v>
      </c>
      <c r="U43" s="207">
        <f>T43</f>
        <v>272890</v>
      </c>
    </row>
    <row r="44" spans="1:24">
      <c r="A44" s="305"/>
      <c r="B44" s="101" t="s">
        <v>112</v>
      </c>
      <c r="C44" s="101"/>
      <c r="D44" s="69"/>
      <c r="E44" s="102">
        <f t="shared" ref="E44:F44" si="23">E23+E30+E36</f>
        <v>648</v>
      </c>
      <c r="F44" s="102">
        <f t="shared" si="23"/>
        <v>648</v>
      </c>
      <c r="G44" s="102">
        <f>G23+G30+G36</f>
        <v>648</v>
      </c>
      <c r="H44" s="102">
        <f>H23+H30+H36</f>
        <v>648</v>
      </c>
      <c r="I44" s="102">
        <f>I23+I30+I36</f>
        <v>648</v>
      </c>
      <c r="J44" s="104"/>
      <c r="K44" s="104"/>
      <c r="L44" s="103"/>
      <c r="M44" s="138"/>
      <c r="N44" s="138">
        <f>SUM(O44:S44)</f>
        <v>40823279.03983888</v>
      </c>
      <c r="O44" s="138">
        <f>O23+O30+O36+O38+O43</f>
        <v>25819181</v>
      </c>
      <c r="P44" s="138">
        <f>P23+P30+P36+P38+P39+P40+P41</f>
        <v>6371308.9998388793</v>
      </c>
      <c r="Q44" s="138">
        <f t="shared" ref="Q44" si="24">Q23+Q30+Q36+Q38+Q39+Q40+Q41</f>
        <v>0</v>
      </c>
      <c r="R44" s="138">
        <f>R23+R30+R36+R38+R39+R40+R41+R42</f>
        <v>5048393.04</v>
      </c>
      <c r="S44" s="138">
        <f>S23+S30+S36+S38+S39+S40+S41+S42</f>
        <v>3584396</v>
      </c>
      <c r="T44" s="138">
        <f>T23+T30+T36+T38+T39+T40+T41+T42+T43</f>
        <v>40547377.03983888</v>
      </c>
      <c r="U44" s="138">
        <f>U23+U30+U36+U38+U39+U40+U41+U42+U43</f>
        <v>40547377.03983888</v>
      </c>
      <c r="V44" s="80">
        <f>6106434.79+15033</f>
        <v>6121467.79</v>
      </c>
      <c r="W44" s="85">
        <f>V44-R44</f>
        <v>1073074.75</v>
      </c>
      <c r="X44" s="80">
        <f>W44/I44</f>
        <v>1655.9795524691358</v>
      </c>
    </row>
    <row r="45" spans="1:24" ht="82.8">
      <c r="A45" s="305" t="s">
        <v>113</v>
      </c>
      <c r="B45" s="306" t="s">
        <v>238</v>
      </c>
      <c r="C45" s="61" t="s">
        <v>100</v>
      </c>
      <c r="D45" s="62" t="s">
        <v>101</v>
      </c>
      <c r="E45" s="59">
        <v>261</v>
      </c>
      <c r="F45" s="59">
        <v>261</v>
      </c>
      <c r="G45" s="59">
        <v>261</v>
      </c>
      <c r="H45" s="59">
        <v>261</v>
      </c>
      <c r="I45" s="59">
        <v>261</v>
      </c>
      <c r="J45" s="107">
        <f>SUM(K45:M45)</f>
        <v>38349.724475059993</v>
      </c>
      <c r="K45" s="107">
        <f>19579.7+1329.32</f>
        <v>20909.02</v>
      </c>
      <c r="L45" s="107">
        <f>4001.99*2.411294</f>
        <v>9649.9744750599984</v>
      </c>
      <c r="M45" s="202">
        <v>7790.73</v>
      </c>
      <c r="N45" s="203">
        <f>SUM(O45:R45)</f>
        <v>10009278.247990659</v>
      </c>
      <c r="O45" s="203">
        <f>G45*K45-0.13</f>
        <v>5457254.0899999999</v>
      </c>
      <c r="P45" s="203">
        <f>G45*L45+0.29</f>
        <v>2518643.6279906598</v>
      </c>
      <c r="Q45" s="203"/>
      <c r="R45" s="46">
        <f>G45*M45</f>
        <v>2033380.5299999998</v>
      </c>
      <c r="S45" s="46"/>
      <c r="T45" s="46">
        <f>N45</f>
        <v>10009278.247990659</v>
      </c>
      <c r="U45" s="46">
        <f>T45</f>
        <v>10009278.247990659</v>
      </c>
    </row>
    <row r="46" spans="1:24" ht="82.8">
      <c r="A46" s="305"/>
      <c r="B46" s="306"/>
      <c r="C46" s="63" t="s">
        <v>163</v>
      </c>
      <c r="D46" s="64" t="s">
        <v>101</v>
      </c>
      <c r="E46" s="59" t="s">
        <v>104</v>
      </c>
      <c r="F46" s="59" t="s">
        <v>104</v>
      </c>
      <c r="G46" s="59" t="s">
        <v>104</v>
      </c>
      <c r="H46" s="59" t="s">
        <v>104</v>
      </c>
      <c r="I46" s="59" t="s">
        <v>104</v>
      </c>
      <c r="J46" s="59" t="s">
        <v>104</v>
      </c>
      <c r="K46" s="59" t="s">
        <v>104</v>
      </c>
      <c r="L46" s="59" t="s">
        <v>104</v>
      </c>
      <c r="M46" s="123" t="s">
        <v>104</v>
      </c>
      <c r="N46" s="203"/>
      <c r="O46" s="203"/>
      <c r="P46" s="123" t="s">
        <v>104</v>
      </c>
      <c r="Q46" s="123"/>
      <c r="R46" s="123" t="s">
        <v>104</v>
      </c>
      <c r="S46" s="123"/>
      <c r="T46" s="46"/>
      <c r="U46" s="46"/>
    </row>
    <row r="47" spans="1:24">
      <c r="A47" s="305"/>
      <c r="B47" s="306"/>
      <c r="C47" s="63" t="s">
        <v>169</v>
      </c>
      <c r="D47" s="64" t="s">
        <v>101</v>
      </c>
      <c r="E47" s="59">
        <v>5</v>
      </c>
      <c r="F47" s="59">
        <v>5</v>
      </c>
      <c r="G47" s="59">
        <v>5</v>
      </c>
      <c r="H47" s="59">
        <v>5</v>
      </c>
      <c r="I47" s="59">
        <v>5</v>
      </c>
      <c r="J47" s="75">
        <f t="shared" ref="J47:J51" si="25">K47</f>
        <v>69362.66</v>
      </c>
      <c r="K47" s="71">
        <v>69362.66</v>
      </c>
      <c r="L47" s="59"/>
      <c r="M47" s="123"/>
      <c r="N47" s="203">
        <f t="shared" ref="N47:N51" si="26">O47</f>
        <v>346813.30000000005</v>
      </c>
      <c r="O47" s="203">
        <f t="shared" ref="O47:O52" si="27">G47*K47</f>
        <v>346813.30000000005</v>
      </c>
      <c r="P47" s="123" t="s">
        <v>104</v>
      </c>
      <c r="Q47" s="123"/>
      <c r="R47" s="123" t="s">
        <v>104</v>
      </c>
      <c r="S47" s="123"/>
      <c r="T47" s="46">
        <f t="shared" ref="T47:T51" si="28">H47*K47</f>
        <v>346813.30000000005</v>
      </c>
      <c r="U47" s="46">
        <f t="shared" ref="U47:U51" si="29">I47*K47</f>
        <v>346813.30000000005</v>
      </c>
    </row>
    <row r="48" spans="1:24">
      <c r="A48" s="305"/>
      <c r="B48" s="306"/>
      <c r="C48" s="63" t="s">
        <v>166</v>
      </c>
      <c r="D48" s="64" t="s">
        <v>101</v>
      </c>
      <c r="E48" s="59">
        <v>17</v>
      </c>
      <c r="F48" s="59">
        <v>17</v>
      </c>
      <c r="G48" s="59">
        <v>17</v>
      </c>
      <c r="H48" s="59">
        <v>17</v>
      </c>
      <c r="I48" s="59">
        <v>17</v>
      </c>
      <c r="J48" s="75">
        <f t="shared" si="25"/>
        <v>66361.320000000007</v>
      </c>
      <c r="K48" s="75">
        <v>66361.320000000007</v>
      </c>
      <c r="L48" s="59" t="s">
        <v>104</v>
      </c>
      <c r="M48" s="123" t="s">
        <v>104</v>
      </c>
      <c r="N48" s="203">
        <f>O48</f>
        <v>1128142.4400000002</v>
      </c>
      <c r="O48" s="203">
        <f t="shared" si="27"/>
        <v>1128142.4400000002</v>
      </c>
      <c r="P48" s="123" t="s">
        <v>104</v>
      </c>
      <c r="Q48" s="123"/>
      <c r="R48" s="123" t="s">
        <v>104</v>
      </c>
      <c r="S48" s="123"/>
      <c r="T48" s="46">
        <f t="shared" si="28"/>
        <v>1128142.4400000002</v>
      </c>
      <c r="U48" s="46">
        <f t="shared" si="29"/>
        <v>1128142.4400000002</v>
      </c>
    </row>
    <row r="49" spans="1:21">
      <c r="A49" s="305"/>
      <c r="B49" s="306"/>
      <c r="C49" s="63" t="s">
        <v>167</v>
      </c>
      <c r="D49" s="64" t="s">
        <v>101</v>
      </c>
      <c r="E49" s="59">
        <v>3</v>
      </c>
      <c r="F49" s="59">
        <v>3</v>
      </c>
      <c r="G49" s="59">
        <v>3</v>
      </c>
      <c r="H49" s="59">
        <v>3</v>
      </c>
      <c r="I49" s="59">
        <v>3</v>
      </c>
      <c r="J49" s="75">
        <f t="shared" si="25"/>
        <v>174890.83</v>
      </c>
      <c r="K49" s="75">
        <v>174890.83</v>
      </c>
      <c r="L49" s="59" t="s">
        <v>104</v>
      </c>
      <c r="M49" s="123" t="s">
        <v>104</v>
      </c>
      <c r="N49" s="203">
        <f t="shared" si="26"/>
        <v>524672.49</v>
      </c>
      <c r="O49" s="203">
        <f t="shared" si="27"/>
        <v>524672.49</v>
      </c>
      <c r="P49" s="123" t="s">
        <v>104</v>
      </c>
      <c r="Q49" s="123"/>
      <c r="R49" s="123" t="s">
        <v>104</v>
      </c>
      <c r="S49" s="123"/>
      <c r="T49" s="46">
        <f t="shared" si="28"/>
        <v>524672.49</v>
      </c>
      <c r="U49" s="46">
        <f t="shared" si="29"/>
        <v>524672.49</v>
      </c>
    </row>
    <row r="50" spans="1:21">
      <c r="A50" s="305"/>
      <c r="B50" s="306"/>
      <c r="C50" s="63" t="s">
        <v>170</v>
      </c>
      <c r="D50" s="64" t="s">
        <v>101</v>
      </c>
      <c r="E50" s="59">
        <v>5</v>
      </c>
      <c r="F50" s="59">
        <v>5</v>
      </c>
      <c r="G50" s="59">
        <v>5</v>
      </c>
      <c r="H50" s="59">
        <v>5</v>
      </c>
      <c r="I50" s="59">
        <v>5</v>
      </c>
      <c r="J50" s="75">
        <f t="shared" si="25"/>
        <v>99648.29</v>
      </c>
      <c r="K50" s="75">
        <v>99648.29</v>
      </c>
      <c r="L50" s="59"/>
      <c r="M50" s="123"/>
      <c r="N50" s="203">
        <f t="shared" si="26"/>
        <v>498241.44999999995</v>
      </c>
      <c r="O50" s="203">
        <f t="shared" si="27"/>
        <v>498241.44999999995</v>
      </c>
      <c r="P50" s="123" t="s">
        <v>104</v>
      </c>
      <c r="Q50" s="123"/>
      <c r="R50" s="123" t="s">
        <v>104</v>
      </c>
      <c r="S50" s="123"/>
      <c r="T50" s="46">
        <f t="shared" si="28"/>
        <v>498241.44999999995</v>
      </c>
      <c r="U50" s="46">
        <f t="shared" si="29"/>
        <v>498241.44999999995</v>
      </c>
    </row>
    <row r="51" spans="1:21">
      <c r="A51" s="305"/>
      <c r="B51" s="306"/>
      <c r="C51" s="63" t="s">
        <v>168</v>
      </c>
      <c r="D51" s="64" t="s">
        <v>101</v>
      </c>
      <c r="E51" s="59"/>
      <c r="F51" s="59"/>
      <c r="G51" s="59"/>
      <c r="H51" s="59"/>
      <c r="I51" s="59"/>
      <c r="J51" s="75">
        <f t="shared" si="25"/>
        <v>23553.439999999999</v>
      </c>
      <c r="K51" s="75">
        <v>23553.439999999999</v>
      </c>
      <c r="L51" s="59" t="s">
        <v>104</v>
      </c>
      <c r="M51" s="123" t="s">
        <v>104</v>
      </c>
      <c r="N51" s="203">
        <f t="shared" si="26"/>
        <v>0</v>
      </c>
      <c r="O51" s="203">
        <f t="shared" si="27"/>
        <v>0</v>
      </c>
      <c r="P51" s="123" t="s">
        <v>104</v>
      </c>
      <c r="Q51" s="123"/>
      <c r="R51" s="123" t="s">
        <v>104</v>
      </c>
      <c r="S51" s="123"/>
      <c r="T51" s="46">
        <f t="shared" si="28"/>
        <v>0</v>
      </c>
      <c r="U51" s="46">
        <f t="shared" si="29"/>
        <v>0</v>
      </c>
    </row>
    <row r="52" spans="1:21" ht="82.8">
      <c r="A52" s="305"/>
      <c r="B52" s="306"/>
      <c r="C52" s="61" t="s">
        <v>105</v>
      </c>
      <c r="D52" s="64" t="s">
        <v>101</v>
      </c>
      <c r="E52" s="59">
        <v>2</v>
      </c>
      <c r="F52" s="59">
        <v>2</v>
      </c>
      <c r="G52" s="59">
        <v>2</v>
      </c>
      <c r="H52" s="59">
        <v>2</v>
      </c>
      <c r="I52" s="59">
        <v>2</v>
      </c>
      <c r="J52" s="75">
        <f>SUM(K52:M52)</f>
        <v>140182.94447506001</v>
      </c>
      <c r="K52" s="75">
        <f>121412.92+1329.32</f>
        <v>122742.24</v>
      </c>
      <c r="L52" s="75">
        <f>4001.99*2.411294</f>
        <v>9649.9744750599984</v>
      </c>
      <c r="M52" s="202">
        <v>7790.73</v>
      </c>
      <c r="N52" s="203">
        <f>SUM(O52:R52)</f>
        <v>280365.88895012002</v>
      </c>
      <c r="O52" s="203">
        <f t="shared" si="27"/>
        <v>245484.48</v>
      </c>
      <c r="P52" s="203">
        <f>G52*L52</f>
        <v>19299.948950119997</v>
      </c>
      <c r="Q52" s="203"/>
      <c r="R52" s="46">
        <f>G52*M52</f>
        <v>15581.46</v>
      </c>
      <c r="S52" s="46"/>
      <c r="T52" s="46">
        <f t="shared" si="9"/>
        <v>280365.88895012002</v>
      </c>
      <c r="U52" s="46">
        <f t="shared" si="6"/>
        <v>280365.88895012002</v>
      </c>
    </row>
    <row r="53" spans="1:21">
      <c r="A53" s="305"/>
      <c r="B53" s="306"/>
      <c r="C53" s="66" t="s">
        <v>106</v>
      </c>
      <c r="D53" s="67"/>
      <c r="E53" s="59">
        <f>E45+E52</f>
        <v>263</v>
      </c>
      <c r="F53" s="59">
        <f>F45+F52</f>
        <v>263</v>
      </c>
      <c r="G53" s="59">
        <f>G45+G52</f>
        <v>263</v>
      </c>
      <c r="H53" s="59">
        <f>H45+H52</f>
        <v>263</v>
      </c>
      <c r="I53" s="59">
        <f>I45+I52</f>
        <v>263</v>
      </c>
      <c r="J53" s="71" t="s">
        <v>104</v>
      </c>
      <c r="K53" s="71" t="s">
        <v>104</v>
      </c>
      <c r="L53" s="71" t="s">
        <v>104</v>
      </c>
      <c r="M53" s="203" t="s">
        <v>104</v>
      </c>
      <c r="N53" s="203">
        <f t="shared" ref="N53:R53" si="30">SUM(N45:N52)</f>
        <v>12787513.816940779</v>
      </c>
      <c r="O53" s="203">
        <f t="shared" si="30"/>
        <v>8200608.2500000009</v>
      </c>
      <c r="P53" s="203">
        <f>SUM(P45:P52)</f>
        <v>2537943.5769407796</v>
      </c>
      <c r="Q53" s="203"/>
      <c r="R53" s="203">
        <f t="shared" si="30"/>
        <v>2048961.9899999998</v>
      </c>
      <c r="S53" s="203"/>
      <c r="T53" s="46">
        <f>SUM(T45:T52)</f>
        <v>12787513.816940779</v>
      </c>
      <c r="U53" s="46">
        <f>SUM(U45:U52)</f>
        <v>12787513.816940779</v>
      </c>
    </row>
    <row r="54" spans="1:21" ht="82.8">
      <c r="A54" s="305"/>
      <c r="B54" s="306" t="s">
        <v>239</v>
      </c>
      <c r="C54" s="61" t="s">
        <v>100</v>
      </c>
      <c r="D54" s="62" t="s">
        <v>101</v>
      </c>
      <c r="E54" s="59">
        <v>219</v>
      </c>
      <c r="F54" s="59">
        <v>219</v>
      </c>
      <c r="G54" s="59">
        <v>219</v>
      </c>
      <c r="H54" s="59">
        <v>219</v>
      </c>
      <c r="I54" s="59">
        <v>219</v>
      </c>
      <c r="J54" s="107">
        <f>SUM(K54:M54)</f>
        <v>53409.174475060005</v>
      </c>
      <c r="K54" s="107">
        <f>34346.05+1622.42</f>
        <v>35968.47</v>
      </c>
      <c r="L54" s="70">
        <f>4001.99*2.411294</f>
        <v>9649.9744750599984</v>
      </c>
      <c r="M54" s="202">
        <v>7790.73</v>
      </c>
      <c r="N54" s="203">
        <f>SUM(O54:R54)</f>
        <v>11696609.210038139</v>
      </c>
      <c r="O54" s="203">
        <f>G54*K54</f>
        <v>7877094.9300000006</v>
      </c>
      <c r="P54" s="203">
        <f>G54*L54</f>
        <v>2113344.4100381397</v>
      </c>
      <c r="Q54" s="203"/>
      <c r="R54" s="46">
        <f>G54*M54</f>
        <v>1706169.8699999999</v>
      </c>
      <c r="S54" s="46"/>
      <c r="T54" s="46">
        <f t="shared" si="9"/>
        <v>11696609.21003814</v>
      </c>
      <c r="U54" s="46">
        <f t="shared" si="6"/>
        <v>11696609.21003814</v>
      </c>
    </row>
    <row r="55" spans="1:21" ht="82.8">
      <c r="A55" s="305"/>
      <c r="B55" s="306"/>
      <c r="C55" s="63" t="s">
        <v>102</v>
      </c>
      <c r="D55" s="64" t="s">
        <v>101</v>
      </c>
      <c r="E55" s="59" t="s">
        <v>104</v>
      </c>
      <c r="F55" s="59" t="s">
        <v>104</v>
      </c>
      <c r="G55" s="59" t="s">
        <v>104</v>
      </c>
      <c r="H55" s="59" t="s">
        <v>104</v>
      </c>
      <c r="I55" s="59" t="s">
        <v>104</v>
      </c>
      <c r="J55" s="59" t="s">
        <v>104</v>
      </c>
      <c r="K55" s="59" t="s">
        <v>191</v>
      </c>
      <c r="L55" s="59" t="s">
        <v>104</v>
      </c>
      <c r="M55" s="123" t="s">
        <v>104</v>
      </c>
      <c r="N55" s="203"/>
      <c r="O55" s="203"/>
      <c r="P55" s="123" t="s">
        <v>104</v>
      </c>
      <c r="Q55" s="123"/>
      <c r="R55" s="123" t="s">
        <v>104</v>
      </c>
      <c r="S55" s="123"/>
      <c r="T55" s="46"/>
      <c r="U55" s="46"/>
    </row>
    <row r="56" spans="1:21">
      <c r="A56" s="305"/>
      <c r="B56" s="306"/>
      <c r="C56" s="63" t="s">
        <v>190</v>
      </c>
      <c r="D56" s="64" t="s">
        <v>101</v>
      </c>
      <c r="E56" s="60">
        <v>1</v>
      </c>
      <c r="F56" s="60">
        <v>1</v>
      </c>
      <c r="G56" s="60">
        <v>1</v>
      </c>
      <c r="H56" s="60">
        <v>1</v>
      </c>
      <c r="I56" s="60">
        <v>1</v>
      </c>
      <c r="J56" s="75">
        <f t="shared" ref="J56:J58" si="31">K56</f>
        <v>165500.54</v>
      </c>
      <c r="K56" s="46">
        <v>165500.54</v>
      </c>
      <c r="L56" s="59" t="s">
        <v>104</v>
      </c>
      <c r="M56" s="123" t="s">
        <v>104</v>
      </c>
      <c r="N56" s="203">
        <f t="shared" ref="N56:N58" si="32">O56</f>
        <v>165500.54</v>
      </c>
      <c r="O56" s="203">
        <f>G56*K56</f>
        <v>165500.54</v>
      </c>
      <c r="P56" s="123" t="s">
        <v>104</v>
      </c>
      <c r="Q56" s="123"/>
      <c r="R56" s="123" t="s">
        <v>104</v>
      </c>
      <c r="S56" s="123"/>
      <c r="T56" s="46">
        <f t="shared" ref="T56:T58" si="33">H56*K56</f>
        <v>165500.54</v>
      </c>
      <c r="U56" s="46">
        <f t="shared" ref="U56:U58" si="34">I56*K56</f>
        <v>165500.54</v>
      </c>
    </row>
    <row r="57" spans="1:21">
      <c r="A57" s="305"/>
      <c r="B57" s="306"/>
      <c r="C57" s="63" t="s">
        <v>170</v>
      </c>
      <c r="D57" s="64" t="s">
        <v>101</v>
      </c>
      <c r="E57" s="60">
        <v>2</v>
      </c>
      <c r="F57" s="60">
        <v>2</v>
      </c>
      <c r="G57" s="60">
        <v>2</v>
      </c>
      <c r="H57" s="60">
        <v>2</v>
      </c>
      <c r="I57" s="60">
        <v>2</v>
      </c>
      <c r="J57" s="75">
        <f t="shared" si="31"/>
        <v>32769.75</v>
      </c>
      <c r="K57" s="75">
        <v>32769.75</v>
      </c>
      <c r="L57" s="59" t="s">
        <v>104</v>
      </c>
      <c r="M57" s="123" t="s">
        <v>104</v>
      </c>
      <c r="N57" s="203">
        <f t="shared" si="32"/>
        <v>65539.5</v>
      </c>
      <c r="O57" s="203">
        <f t="shared" ref="O57:O58" si="35">G57*K57</f>
        <v>65539.5</v>
      </c>
      <c r="P57" s="123" t="s">
        <v>104</v>
      </c>
      <c r="Q57" s="123"/>
      <c r="R57" s="123" t="s">
        <v>104</v>
      </c>
      <c r="S57" s="123"/>
      <c r="T57" s="46">
        <f t="shared" si="33"/>
        <v>65539.5</v>
      </c>
      <c r="U57" s="46">
        <f t="shared" si="34"/>
        <v>65539.5</v>
      </c>
    </row>
    <row r="58" spans="1:21">
      <c r="A58" s="305"/>
      <c r="B58" s="306"/>
      <c r="C58" s="63" t="s">
        <v>168</v>
      </c>
      <c r="D58" s="64" t="s">
        <v>101</v>
      </c>
      <c r="E58" s="60">
        <v>4</v>
      </c>
      <c r="F58" s="60">
        <v>4</v>
      </c>
      <c r="G58" s="60">
        <v>4</v>
      </c>
      <c r="H58" s="60">
        <v>4</v>
      </c>
      <c r="I58" s="60">
        <v>4</v>
      </c>
      <c r="J58" s="75">
        <f t="shared" si="31"/>
        <v>23553.439999999999</v>
      </c>
      <c r="K58" s="75">
        <v>23553.439999999999</v>
      </c>
      <c r="L58" s="59" t="s">
        <v>104</v>
      </c>
      <c r="M58" s="123" t="s">
        <v>104</v>
      </c>
      <c r="N58" s="203">
        <f t="shared" si="32"/>
        <v>94213.759999999995</v>
      </c>
      <c r="O58" s="203">
        <f t="shared" si="35"/>
        <v>94213.759999999995</v>
      </c>
      <c r="P58" s="123" t="s">
        <v>104</v>
      </c>
      <c r="Q58" s="123"/>
      <c r="R58" s="123" t="s">
        <v>104</v>
      </c>
      <c r="S58" s="123"/>
      <c r="T58" s="46">
        <f t="shared" si="33"/>
        <v>94213.759999999995</v>
      </c>
      <c r="U58" s="46">
        <f t="shared" si="34"/>
        <v>94213.759999999995</v>
      </c>
    </row>
    <row r="59" spans="1:21" ht="82.8">
      <c r="A59" s="305"/>
      <c r="B59" s="306"/>
      <c r="C59" s="61" t="s">
        <v>105</v>
      </c>
      <c r="D59" s="64" t="s">
        <v>101</v>
      </c>
      <c r="E59" s="60">
        <v>2</v>
      </c>
      <c r="F59" s="60">
        <v>2</v>
      </c>
      <c r="G59" s="59">
        <f t="shared" ref="G59" si="36">((E59*8)+(F59*4))/12</f>
        <v>2</v>
      </c>
      <c r="H59" s="60">
        <v>2</v>
      </c>
      <c r="I59" s="60">
        <v>2</v>
      </c>
      <c r="J59" s="75">
        <f>SUM(K59:M59)</f>
        <v>170470.75447506004</v>
      </c>
      <c r="K59" s="75">
        <f>151407.63+1622.42</f>
        <v>153030.05000000002</v>
      </c>
      <c r="L59" s="72">
        <f>4001.99*2.411294</f>
        <v>9649.9744750599984</v>
      </c>
      <c r="M59" s="202">
        <v>7790.73</v>
      </c>
      <c r="N59" s="203">
        <f>SUM(O59:R59)</f>
        <v>340941.50895012007</v>
      </c>
      <c r="O59" s="203">
        <f>G59*K59</f>
        <v>306060.10000000003</v>
      </c>
      <c r="P59" s="201">
        <f>G59*L59</f>
        <v>19299.948950119997</v>
      </c>
      <c r="Q59" s="201"/>
      <c r="R59" s="46">
        <f>G59*M59</f>
        <v>15581.46</v>
      </c>
      <c r="S59" s="46"/>
      <c r="T59" s="46">
        <f t="shared" si="9"/>
        <v>340941.50895012007</v>
      </c>
      <c r="U59" s="46">
        <f t="shared" si="6"/>
        <v>340941.50895012007</v>
      </c>
    </row>
    <row r="60" spans="1:21">
      <c r="A60" s="305"/>
      <c r="B60" s="192"/>
      <c r="C60" s="66" t="s">
        <v>106</v>
      </c>
      <c r="D60" s="64"/>
      <c r="E60" s="60">
        <f>E54+E59</f>
        <v>221</v>
      </c>
      <c r="F60" s="60">
        <f>F54+F59</f>
        <v>221</v>
      </c>
      <c r="G60" s="60">
        <f>G54+G59</f>
        <v>221</v>
      </c>
      <c r="H60" s="60">
        <f>H54+H59</f>
        <v>221</v>
      </c>
      <c r="I60" s="60">
        <f>I54+I59</f>
        <v>221</v>
      </c>
      <c r="J60" s="73" t="s">
        <v>104</v>
      </c>
      <c r="K60" s="73" t="s">
        <v>104</v>
      </c>
      <c r="L60" s="74" t="s">
        <v>104</v>
      </c>
      <c r="M60" s="207" t="s">
        <v>104</v>
      </c>
      <c r="N60" s="207">
        <f t="shared" ref="N60:U60" si="37">SUM(N54:N59)</f>
        <v>12362804.518988257</v>
      </c>
      <c r="O60" s="207">
        <f t="shared" si="37"/>
        <v>8508408.8300000001</v>
      </c>
      <c r="P60" s="207">
        <f t="shared" si="37"/>
        <v>2132644.3589882595</v>
      </c>
      <c r="Q60" s="207"/>
      <c r="R60" s="207">
        <f t="shared" si="37"/>
        <v>1721751.3299999998</v>
      </c>
      <c r="S60" s="207"/>
      <c r="T60" s="46">
        <f t="shared" si="37"/>
        <v>12362804.518988259</v>
      </c>
      <c r="U60" s="46">
        <f t="shared" si="37"/>
        <v>12362804.518988259</v>
      </c>
    </row>
    <row r="61" spans="1:21" ht="82.8">
      <c r="A61" s="305"/>
      <c r="B61" s="306" t="s">
        <v>240</v>
      </c>
      <c r="C61" s="61" t="s">
        <v>100</v>
      </c>
      <c r="D61" s="62" t="s">
        <v>101</v>
      </c>
      <c r="E61" s="60">
        <v>44</v>
      </c>
      <c r="F61" s="60">
        <v>44</v>
      </c>
      <c r="G61" s="60">
        <v>44</v>
      </c>
      <c r="H61" s="60">
        <v>44</v>
      </c>
      <c r="I61" s="60">
        <v>44</v>
      </c>
      <c r="J61" s="107">
        <f>SUM(K61:M61)</f>
        <v>60511.614475060007</v>
      </c>
      <c r="K61" s="107">
        <f>41105.12+1965.79</f>
        <v>43070.91</v>
      </c>
      <c r="L61" s="70">
        <f>4001.99*2.411294</f>
        <v>9649.9744750599984</v>
      </c>
      <c r="M61" s="202">
        <v>7790.73</v>
      </c>
      <c r="N61" s="201">
        <f>SUM(O61:R61)</f>
        <v>2662511.22690264</v>
      </c>
      <c r="O61" s="201">
        <f>G61*K61</f>
        <v>1895120.04</v>
      </c>
      <c r="P61" s="201">
        <f>G61*L61+0.19</f>
        <v>424599.06690263993</v>
      </c>
      <c r="Q61" s="201"/>
      <c r="R61" s="46">
        <f>G61*M61</f>
        <v>342792.12</v>
      </c>
      <c r="S61" s="46"/>
      <c r="T61" s="46">
        <f>N61</f>
        <v>2662511.22690264</v>
      </c>
      <c r="U61" s="46">
        <f>T61</f>
        <v>2662511.22690264</v>
      </c>
    </row>
    <row r="62" spans="1:21" ht="82.8">
      <c r="A62" s="305"/>
      <c r="B62" s="306"/>
      <c r="C62" s="63" t="s">
        <v>102</v>
      </c>
      <c r="D62" s="64" t="s">
        <v>101</v>
      </c>
      <c r="E62" s="59" t="s">
        <v>104</v>
      </c>
      <c r="F62" s="59" t="s">
        <v>104</v>
      </c>
      <c r="G62" s="59" t="s">
        <v>104</v>
      </c>
      <c r="H62" s="59" t="s">
        <v>104</v>
      </c>
      <c r="I62" s="59" t="s">
        <v>104</v>
      </c>
      <c r="J62" s="59" t="s">
        <v>104</v>
      </c>
      <c r="K62" s="59" t="s">
        <v>104</v>
      </c>
      <c r="L62" s="59" t="s">
        <v>104</v>
      </c>
      <c r="M62" s="123" t="s">
        <v>104</v>
      </c>
      <c r="N62" s="203"/>
      <c r="O62" s="203"/>
      <c r="P62" s="123" t="s">
        <v>104</v>
      </c>
      <c r="Q62" s="123"/>
      <c r="R62" s="123" t="s">
        <v>104</v>
      </c>
      <c r="S62" s="123"/>
      <c r="T62" s="46"/>
      <c r="U62" s="46"/>
    </row>
    <row r="63" spans="1:21">
      <c r="A63" s="305"/>
      <c r="B63" s="306"/>
      <c r="C63" s="63" t="s">
        <v>168</v>
      </c>
      <c r="D63" s="64" t="s">
        <v>101</v>
      </c>
      <c r="E63" s="60">
        <v>2</v>
      </c>
      <c r="F63" s="60">
        <v>2</v>
      </c>
      <c r="G63" s="60">
        <v>2</v>
      </c>
      <c r="H63" s="60">
        <v>2</v>
      </c>
      <c r="I63" s="60">
        <v>2</v>
      </c>
      <c r="J63" s="75">
        <f>K63</f>
        <v>23553.439999999999</v>
      </c>
      <c r="K63" s="75">
        <v>23553.439999999999</v>
      </c>
      <c r="L63" s="59" t="s">
        <v>104</v>
      </c>
      <c r="M63" s="123" t="s">
        <v>104</v>
      </c>
      <c r="N63" s="203">
        <f>O63</f>
        <v>47106.879999999997</v>
      </c>
      <c r="O63" s="203">
        <f>G63*K63</f>
        <v>47106.879999999997</v>
      </c>
      <c r="P63" s="123" t="s">
        <v>104</v>
      </c>
      <c r="Q63" s="123"/>
      <c r="R63" s="123" t="s">
        <v>104</v>
      </c>
      <c r="S63" s="123"/>
      <c r="T63" s="46">
        <f>H63*K63</f>
        <v>47106.879999999997</v>
      </c>
      <c r="U63" s="46">
        <f>I63*K63</f>
        <v>47106.879999999997</v>
      </c>
    </row>
    <row r="64" spans="1:21" ht="82.8">
      <c r="A64" s="305"/>
      <c r="B64" s="306"/>
      <c r="C64" s="61" t="s">
        <v>105</v>
      </c>
      <c r="D64" s="64" t="s">
        <v>101</v>
      </c>
      <c r="E64" s="60">
        <v>0</v>
      </c>
      <c r="F64" s="60"/>
      <c r="G64" s="60"/>
      <c r="H64" s="60">
        <v>0</v>
      </c>
      <c r="I64" s="60">
        <v>0</v>
      </c>
      <c r="J64" s="73">
        <f>K64</f>
        <v>183368.14</v>
      </c>
      <c r="K64" s="73">
        <f>181402.35+1965.79</f>
        <v>183368.14</v>
      </c>
      <c r="L64" s="70">
        <f>4001.99*2.411294</f>
        <v>9649.9744750599984</v>
      </c>
      <c r="M64" s="202">
        <v>7790.73</v>
      </c>
      <c r="N64" s="203">
        <f>SUM(O64:R64)</f>
        <v>0</v>
      </c>
      <c r="O64" s="201">
        <f>G64*K64</f>
        <v>0</v>
      </c>
      <c r="P64" s="201">
        <f>E64*L64</f>
        <v>0</v>
      </c>
      <c r="Q64" s="201"/>
      <c r="R64" s="46">
        <f>G64*M64</f>
        <v>0</v>
      </c>
      <c r="S64" s="46"/>
      <c r="T64" s="46">
        <f>H64*K64</f>
        <v>0</v>
      </c>
      <c r="U64" s="46">
        <f>I64*K64</f>
        <v>0</v>
      </c>
    </row>
    <row r="65" spans="1:24">
      <c r="A65" s="305"/>
      <c r="B65" s="192"/>
      <c r="C65" s="66" t="s">
        <v>106</v>
      </c>
      <c r="D65" s="64"/>
      <c r="E65" s="60">
        <f>E61+E64</f>
        <v>44</v>
      </c>
      <c r="F65" s="60">
        <f>F61+F64</f>
        <v>44</v>
      </c>
      <c r="G65" s="60">
        <f>G61+G64</f>
        <v>44</v>
      </c>
      <c r="H65" s="60">
        <f>H61+H64</f>
        <v>44</v>
      </c>
      <c r="I65" s="60">
        <f>I61+I64</f>
        <v>44</v>
      </c>
      <c r="J65" s="73" t="s">
        <v>104</v>
      </c>
      <c r="K65" s="73" t="s">
        <v>104</v>
      </c>
      <c r="L65" s="74" t="s">
        <v>104</v>
      </c>
      <c r="M65" s="207" t="s">
        <v>104</v>
      </c>
      <c r="N65" s="207">
        <f t="shared" ref="N65:R65" si="38">SUM(N61:N64)</f>
        <v>2709618.1069026398</v>
      </c>
      <c r="O65" s="207">
        <f t="shared" si="38"/>
        <v>1942226.92</v>
      </c>
      <c r="P65" s="207">
        <f t="shared" si="38"/>
        <v>424599.06690263993</v>
      </c>
      <c r="Q65" s="207"/>
      <c r="R65" s="207">
        <f t="shared" si="38"/>
        <v>342792.12</v>
      </c>
      <c r="S65" s="207"/>
      <c r="T65" s="46">
        <f>SUM(T61:T64)</f>
        <v>2709618.1069026398</v>
      </c>
      <c r="U65" s="46">
        <f>SUM(U61:U64)</f>
        <v>2709618.1069026398</v>
      </c>
    </row>
    <row r="66" spans="1:24" ht="100.95" customHeight="1">
      <c r="A66" s="305"/>
      <c r="B66" s="137" t="s">
        <v>241</v>
      </c>
      <c r="C66" s="61" t="s">
        <v>187</v>
      </c>
      <c r="D66" s="64" t="s">
        <v>101</v>
      </c>
      <c r="E66" s="60">
        <v>777</v>
      </c>
      <c r="F66" s="60">
        <v>777</v>
      </c>
      <c r="G66" s="60">
        <v>777</v>
      </c>
      <c r="H66" s="60">
        <v>777</v>
      </c>
      <c r="I66" s="60">
        <v>777</v>
      </c>
      <c r="J66" s="75">
        <f>K66</f>
        <v>3268.55</v>
      </c>
      <c r="K66" s="75">
        <v>3268.55</v>
      </c>
      <c r="L66" s="72" t="s">
        <v>104</v>
      </c>
      <c r="M66" s="206" t="s">
        <v>104</v>
      </c>
      <c r="N66" s="201">
        <f>SUM(O66:R66)</f>
        <v>2539664</v>
      </c>
      <c r="O66" s="201">
        <f>K66*G66+0.65</f>
        <v>2539664</v>
      </c>
      <c r="P66" s="201" t="s">
        <v>104</v>
      </c>
      <c r="Q66" s="201"/>
      <c r="R66" s="201" t="s">
        <v>104</v>
      </c>
      <c r="S66" s="201"/>
      <c r="T66" s="46">
        <f>N66</f>
        <v>2539664</v>
      </c>
      <c r="U66" s="46">
        <f t="shared" ref="U66:U72" si="39">T66</f>
        <v>2539664</v>
      </c>
    </row>
    <row r="67" spans="1:24">
      <c r="A67" s="305"/>
      <c r="B67" s="69"/>
      <c r="C67" s="66" t="s">
        <v>106</v>
      </c>
      <c r="D67" s="69"/>
      <c r="E67" s="60">
        <f>SUM(E66:E66)</f>
        <v>777</v>
      </c>
      <c r="F67" s="60">
        <f>SUM(F66:F66)</f>
        <v>777</v>
      </c>
      <c r="G67" s="60">
        <f>SUM(G66:G66)</f>
        <v>777</v>
      </c>
      <c r="H67" s="60">
        <f>SUM(H66:H66)</f>
        <v>777</v>
      </c>
      <c r="I67" s="60">
        <f>SUM(I66:I66)</f>
        <v>777</v>
      </c>
      <c r="J67" s="73" t="s">
        <v>104</v>
      </c>
      <c r="K67" s="73" t="s">
        <v>104</v>
      </c>
      <c r="L67" s="74" t="s">
        <v>104</v>
      </c>
      <c r="M67" s="207">
        <f t="shared" ref="M67:R67" si="40">SUM(M66:M66)</f>
        <v>0</v>
      </c>
      <c r="N67" s="207">
        <f t="shared" si="40"/>
        <v>2539664</v>
      </c>
      <c r="O67" s="207">
        <f>SUM(O66:O66)</f>
        <v>2539664</v>
      </c>
      <c r="P67" s="207">
        <f t="shared" si="40"/>
        <v>0</v>
      </c>
      <c r="Q67" s="207"/>
      <c r="R67" s="207">
        <f t="shared" si="40"/>
        <v>0</v>
      </c>
      <c r="S67" s="207"/>
      <c r="T67" s="46">
        <f>N67</f>
        <v>2539664</v>
      </c>
      <c r="U67" s="46">
        <f t="shared" si="39"/>
        <v>2539664</v>
      </c>
    </row>
    <row r="68" spans="1:24">
      <c r="A68" s="305"/>
      <c r="B68" s="69" t="s">
        <v>300</v>
      </c>
      <c r="C68" s="184" t="s">
        <v>226</v>
      </c>
      <c r="D68" s="69"/>
      <c r="E68" s="60"/>
      <c r="F68" s="60"/>
      <c r="G68" s="60"/>
      <c r="H68" s="60"/>
      <c r="I68" s="60"/>
      <c r="J68" s="73"/>
      <c r="K68" s="73"/>
      <c r="L68" s="74"/>
      <c r="M68" s="207"/>
      <c r="N68" s="207">
        <f>P68</f>
        <v>96255</v>
      </c>
      <c r="O68" s="207"/>
      <c r="P68" s="207">
        <v>96255</v>
      </c>
      <c r="Q68" s="207"/>
      <c r="R68" s="207"/>
      <c r="S68" s="207"/>
      <c r="T68" s="46">
        <f>P68</f>
        <v>96255</v>
      </c>
      <c r="U68" s="46">
        <f t="shared" si="39"/>
        <v>96255</v>
      </c>
    </row>
    <row r="69" spans="1:24">
      <c r="A69" s="305"/>
      <c r="B69" s="89" t="s">
        <v>225</v>
      </c>
      <c r="C69" s="184" t="s">
        <v>219</v>
      </c>
      <c r="D69" s="64" t="s">
        <v>101</v>
      </c>
      <c r="E69" s="60">
        <v>19</v>
      </c>
      <c r="F69" s="60">
        <v>19</v>
      </c>
      <c r="G69" s="60">
        <v>19</v>
      </c>
      <c r="H69" s="60">
        <v>19</v>
      </c>
      <c r="I69" s="60">
        <v>19</v>
      </c>
      <c r="J69" s="73"/>
      <c r="K69" s="73"/>
      <c r="L69" s="74"/>
      <c r="M69" s="207"/>
      <c r="N69" s="207">
        <f>S69</f>
        <v>3813252</v>
      </c>
      <c r="O69" s="207"/>
      <c r="P69" s="207"/>
      <c r="Q69" s="207"/>
      <c r="R69" s="207"/>
      <c r="S69" s="207">
        <v>3813252</v>
      </c>
      <c r="T69" s="46">
        <f>S69</f>
        <v>3813252</v>
      </c>
      <c r="U69" s="46">
        <f t="shared" si="39"/>
        <v>3813252</v>
      </c>
    </row>
    <row r="70" spans="1:24">
      <c r="A70" s="305"/>
      <c r="B70" s="89" t="s">
        <v>225</v>
      </c>
      <c r="C70" s="184" t="s">
        <v>226</v>
      </c>
      <c r="D70" s="64" t="s">
        <v>101</v>
      </c>
      <c r="E70" s="60">
        <v>4</v>
      </c>
      <c r="F70" s="60">
        <v>4</v>
      </c>
      <c r="G70" s="60">
        <v>4</v>
      </c>
      <c r="H70" s="60">
        <v>4</v>
      </c>
      <c r="I70" s="60">
        <v>4</v>
      </c>
      <c r="J70" s="73"/>
      <c r="K70" s="73"/>
      <c r="L70" s="74"/>
      <c r="M70" s="207"/>
      <c r="N70" s="207">
        <f>Q70</f>
        <v>586350</v>
      </c>
      <c r="O70" s="207"/>
      <c r="P70" s="207"/>
      <c r="Q70" s="207">
        <v>586350</v>
      </c>
      <c r="R70" s="207"/>
      <c r="S70" s="207"/>
      <c r="T70" s="46">
        <f>Q70</f>
        <v>586350</v>
      </c>
      <c r="U70" s="46">
        <f t="shared" si="39"/>
        <v>586350</v>
      </c>
    </row>
    <row r="71" spans="1:24">
      <c r="A71" s="305"/>
      <c r="B71" s="89" t="s">
        <v>299</v>
      </c>
      <c r="C71" s="184" t="s">
        <v>219</v>
      </c>
      <c r="D71" s="64"/>
      <c r="E71" s="60"/>
      <c r="F71" s="60"/>
      <c r="G71" s="60"/>
      <c r="H71" s="60"/>
      <c r="I71" s="60"/>
      <c r="J71" s="73"/>
      <c r="K71" s="73"/>
      <c r="L71" s="74"/>
      <c r="M71" s="207"/>
      <c r="N71" s="207">
        <f>S71</f>
        <v>309345</v>
      </c>
      <c r="O71" s="207"/>
      <c r="P71" s="207"/>
      <c r="Q71" s="207"/>
      <c r="R71" s="207"/>
      <c r="S71" s="207">
        <v>309345</v>
      </c>
      <c r="T71" s="46"/>
      <c r="U71" s="46"/>
    </row>
    <row r="72" spans="1:24">
      <c r="A72" s="305"/>
      <c r="B72" s="89" t="s">
        <v>265</v>
      </c>
      <c r="C72" s="184" t="s">
        <v>226</v>
      </c>
      <c r="D72" s="64"/>
      <c r="E72" s="60"/>
      <c r="F72" s="60"/>
      <c r="G72" s="60"/>
      <c r="H72" s="60"/>
      <c r="I72" s="60"/>
      <c r="J72" s="73"/>
      <c r="K72" s="73"/>
      <c r="L72" s="74"/>
      <c r="M72" s="207"/>
      <c r="N72" s="207">
        <f>O72</f>
        <v>152733</v>
      </c>
      <c r="O72" s="207">
        <v>152733</v>
      </c>
      <c r="P72" s="207"/>
      <c r="Q72" s="207"/>
      <c r="R72" s="207"/>
      <c r="S72" s="207"/>
      <c r="T72" s="46">
        <f>O72</f>
        <v>152733</v>
      </c>
      <c r="U72" s="46">
        <f t="shared" si="39"/>
        <v>152733</v>
      </c>
    </row>
    <row r="73" spans="1:24">
      <c r="A73" s="305"/>
      <c r="B73" s="101" t="s">
        <v>112</v>
      </c>
      <c r="C73" s="101"/>
      <c r="D73" s="69"/>
      <c r="E73" s="102">
        <f t="shared" ref="E73:F73" si="41">E53+E60+E65</f>
        <v>528</v>
      </c>
      <c r="F73" s="102">
        <f t="shared" si="41"/>
        <v>528</v>
      </c>
      <c r="G73" s="102">
        <f>G53+G60+G65</f>
        <v>528</v>
      </c>
      <c r="H73" s="102">
        <f t="shared" ref="H73:I73" si="42">H53+H60+H65</f>
        <v>528</v>
      </c>
      <c r="I73" s="102">
        <f t="shared" si="42"/>
        <v>528</v>
      </c>
      <c r="J73" s="104"/>
      <c r="K73" s="104"/>
      <c r="L73" s="103"/>
      <c r="M73" s="138"/>
      <c r="N73" s="138">
        <f>SUM(O73:S73)</f>
        <v>35357535.44283168</v>
      </c>
      <c r="O73" s="138">
        <f>O53+O60+O65+O67+O72</f>
        <v>21343641</v>
      </c>
      <c r="P73" s="138">
        <f>P53+P60+P65+P67+P68+P69+P70</f>
        <v>5191442.0028316798</v>
      </c>
      <c r="Q73" s="138">
        <f t="shared" ref="Q73" si="43">Q53+Q60+Q65+Q67+Q68+Q69+Q70</f>
        <v>586350</v>
      </c>
      <c r="R73" s="138">
        <f>R53+R60+R65+R67+R68+R69+R70+R71</f>
        <v>4113505.4399999995</v>
      </c>
      <c r="S73" s="138">
        <f>S53+S60+S65+S67+S68+S69+S70+S71</f>
        <v>4122597</v>
      </c>
      <c r="T73" s="138">
        <f>T53+T60+T65+T67+T68+T69+T70+T71+T72</f>
        <v>35048190.44283168</v>
      </c>
      <c r="U73" s="138">
        <f>U53+U60+U65+U67+U68+U69+U70+U71+U72</f>
        <v>35048190.44283168</v>
      </c>
      <c r="V73" s="85">
        <f>T72+T71+T70+T69+T68+T67+T60+T65+T53</f>
        <v>35048190.44283168</v>
      </c>
      <c r="W73" s="85">
        <f>V73-R73</f>
        <v>30934685.002831683</v>
      </c>
      <c r="X73" s="80">
        <f>W73/I73</f>
        <v>58588.418565969099</v>
      </c>
    </row>
    <row r="74" spans="1:24" ht="82.8">
      <c r="A74" s="305" t="s">
        <v>114</v>
      </c>
      <c r="B74" s="306" t="s">
        <v>238</v>
      </c>
      <c r="C74" s="61" t="s">
        <v>100</v>
      </c>
      <c r="D74" s="62" t="s">
        <v>101</v>
      </c>
      <c r="E74" s="59">
        <v>242</v>
      </c>
      <c r="F74" s="59">
        <v>242</v>
      </c>
      <c r="G74" s="59">
        <v>242</v>
      </c>
      <c r="H74" s="59">
        <v>242</v>
      </c>
      <c r="I74" s="59">
        <v>242</v>
      </c>
      <c r="J74" s="107">
        <f>SUM(K74:M74)</f>
        <v>38349.724475059993</v>
      </c>
      <c r="K74" s="107">
        <f>19579.7+1329.32</f>
        <v>20909.02</v>
      </c>
      <c r="L74" s="70">
        <f>4001.99*2.411294</f>
        <v>9649.9744750599984</v>
      </c>
      <c r="M74" s="202">
        <v>7790.73</v>
      </c>
      <c r="N74" s="203">
        <f>SUM(O74:R74)</f>
        <v>9280634.0329645202</v>
      </c>
      <c r="O74" s="203">
        <f>G74*K74+0.66</f>
        <v>5059983.5</v>
      </c>
      <c r="P74" s="203">
        <f>G74*L74+0.05</f>
        <v>2335293.8729645195</v>
      </c>
      <c r="Q74" s="203"/>
      <c r="R74" s="46">
        <f>G74*M74</f>
        <v>1885356.66</v>
      </c>
      <c r="S74" s="46"/>
      <c r="T74" s="46">
        <f>N74</f>
        <v>9280634.0329645202</v>
      </c>
      <c r="U74" s="46">
        <f>T74</f>
        <v>9280634.0329645202</v>
      </c>
    </row>
    <row r="75" spans="1:24" ht="82.8">
      <c r="A75" s="305"/>
      <c r="B75" s="306"/>
      <c r="C75" s="63" t="s">
        <v>163</v>
      </c>
      <c r="D75" s="64" t="s">
        <v>101</v>
      </c>
      <c r="E75" s="59" t="s">
        <v>104</v>
      </c>
      <c r="F75" s="59" t="s">
        <v>104</v>
      </c>
      <c r="G75" s="59" t="s">
        <v>104</v>
      </c>
      <c r="H75" s="59" t="s">
        <v>104</v>
      </c>
      <c r="I75" s="59" t="s">
        <v>104</v>
      </c>
      <c r="J75" s="59" t="s">
        <v>104</v>
      </c>
      <c r="K75" s="59" t="s">
        <v>104</v>
      </c>
      <c r="L75" s="59" t="s">
        <v>104</v>
      </c>
      <c r="M75" s="123" t="s">
        <v>104</v>
      </c>
      <c r="N75" s="123"/>
      <c r="O75" s="123"/>
      <c r="P75" s="123" t="s">
        <v>104</v>
      </c>
      <c r="Q75" s="123"/>
      <c r="R75" s="123" t="s">
        <v>104</v>
      </c>
      <c r="S75" s="123"/>
      <c r="T75" s="46"/>
      <c r="U75" s="46"/>
    </row>
    <row r="76" spans="1:24">
      <c r="A76" s="305"/>
      <c r="B76" s="306"/>
      <c r="C76" s="63" t="s">
        <v>171</v>
      </c>
      <c r="D76" s="64" t="s">
        <v>101</v>
      </c>
      <c r="E76" s="59">
        <v>1</v>
      </c>
      <c r="F76" s="59">
        <v>1</v>
      </c>
      <c r="G76" s="59">
        <v>1</v>
      </c>
      <c r="H76" s="59">
        <v>1</v>
      </c>
      <c r="I76" s="59">
        <v>1</v>
      </c>
      <c r="J76" s="75">
        <f t="shared" ref="J76:J80" si="44">K76</f>
        <v>69362.66</v>
      </c>
      <c r="K76" s="75">
        <v>69362.66</v>
      </c>
      <c r="L76" s="59" t="s">
        <v>104</v>
      </c>
      <c r="M76" s="123" t="s">
        <v>104</v>
      </c>
      <c r="N76" s="203">
        <f>O76</f>
        <v>69362.66</v>
      </c>
      <c r="O76" s="203">
        <f>G76*K76</f>
        <v>69362.66</v>
      </c>
      <c r="P76" s="123" t="s">
        <v>104</v>
      </c>
      <c r="Q76" s="123"/>
      <c r="R76" s="123" t="s">
        <v>104</v>
      </c>
      <c r="S76" s="123"/>
      <c r="T76" s="46">
        <f>H76*K76</f>
        <v>69362.66</v>
      </c>
      <c r="U76" s="46">
        <f>I76*K76</f>
        <v>69362.66</v>
      </c>
    </row>
    <row r="77" spans="1:24">
      <c r="A77" s="305"/>
      <c r="B77" s="306"/>
      <c r="C77" s="63" t="s">
        <v>164</v>
      </c>
      <c r="D77" s="64" t="s">
        <v>101</v>
      </c>
      <c r="E77" s="59">
        <v>3</v>
      </c>
      <c r="F77" s="59">
        <v>3</v>
      </c>
      <c r="G77" s="59">
        <v>3</v>
      </c>
      <c r="H77" s="59">
        <v>3</v>
      </c>
      <c r="I77" s="59">
        <v>3</v>
      </c>
      <c r="J77" s="75">
        <f t="shared" si="44"/>
        <v>25589.72</v>
      </c>
      <c r="K77" s="75">
        <v>25589.72</v>
      </c>
      <c r="L77" s="59" t="s">
        <v>104</v>
      </c>
      <c r="M77" s="123" t="s">
        <v>104</v>
      </c>
      <c r="N77" s="203">
        <f>O77</f>
        <v>76769.16</v>
      </c>
      <c r="O77" s="203">
        <f t="shared" ref="O77:O81" si="45">G77*K77</f>
        <v>76769.16</v>
      </c>
      <c r="P77" s="123" t="s">
        <v>104</v>
      </c>
      <c r="Q77" s="123"/>
      <c r="R77" s="123" t="s">
        <v>104</v>
      </c>
      <c r="S77" s="123"/>
      <c r="T77" s="46">
        <f>H77*K77</f>
        <v>76769.16</v>
      </c>
      <c r="U77" s="46">
        <f>I77*K77</f>
        <v>76769.16</v>
      </c>
    </row>
    <row r="78" spans="1:24">
      <c r="A78" s="305"/>
      <c r="B78" s="306"/>
      <c r="C78" s="63" t="s">
        <v>169</v>
      </c>
      <c r="D78" s="64" t="s">
        <v>101</v>
      </c>
      <c r="E78" s="59">
        <v>18</v>
      </c>
      <c r="F78" s="59">
        <v>18</v>
      </c>
      <c r="G78" s="59">
        <v>18</v>
      </c>
      <c r="H78" s="59">
        <v>18</v>
      </c>
      <c r="I78" s="59">
        <v>18</v>
      </c>
      <c r="J78" s="75">
        <f t="shared" si="44"/>
        <v>69362.66</v>
      </c>
      <c r="K78" s="75">
        <v>69362.66</v>
      </c>
      <c r="L78" s="59" t="s">
        <v>104</v>
      </c>
      <c r="M78" s="123" t="s">
        <v>104</v>
      </c>
      <c r="N78" s="203">
        <f t="shared" ref="N78:N80" si="46">O78</f>
        <v>1248527.8800000001</v>
      </c>
      <c r="O78" s="203">
        <f t="shared" si="45"/>
        <v>1248527.8800000001</v>
      </c>
      <c r="P78" s="123" t="s">
        <v>104</v>
      </c>
      <c r="Q78" s="123"/>
      <c r="R78" s="123" t="s">
        <v>104</v>
      </c>
      <c r="S78" s="123"/>
      <c r="T78" s="46">
        <f t="shared" ref="T78:T80" si="47">H78*K78</f>
        <v>1248527.8800000001</v>
      </c>
      <c r="U78" s="46">
        <f t="shared" ref="U78:U80" si="48">I78*K78</f>
        <v>1248527.8800000001</v>
      </c>
    </row>
    <row r="79" spans="1:24">
      <c r="A79" s="305"/>
      <c r="B79" s="306"/>
      <c r="C79" s="63" t="s">
        <v>166</v>
      </c>
      <c r="D79" s="64" t="s">
        <v>101</v>
      </c>
      <c r="E79" s="59">
        <v>5</v>
      </c>
      <c r="F79" s="59">
        <v>5</v>
      </c>
      <c r="G79" s="59">
        <v>5</v>
      </c>
      <c r="H79" s="59">
        <v>5</v>
      </c>
      <c r="I79" s="59">
        <v>5</v>
      </c>
      <c r="J79" s="75">
        <f t="shared" si="44"/>
        <v>66361.320000000007</v>
      </c>
      <c r="K79" s="75">
        <v>66361.320000000007</v>
      </c>
      <c r="L79" s="59" t="s">
        <v>104</v>
      </c>
      <c r="M79" s="123" t="s">
        <v>104</v>
      </c>
      <c r="N79" s="203">
        <f t="shared" si="46"/>
        <v>331806.60000000003</v>
      </c>
      <c r="O79" s="203">
        <f t="shared" si="45"/>
        <v>331806.60000000003</v>
      </c>
      <c r="P79" s="123" t="s">
        <v>104</v>
      </c>
      <c r="Q79" s="123"/>
      <c r="R79" s="123" t="s">
        <v>104</v>
      </c>
      <c r="S79" s="123"/>
      <c r="T79" s="46">
        <f t="shared" si="47"/>
        <v>331806.60000000003</v>
      </c>
      <c r="U79" s="46">
        <f t="shared" si="48"/>
        <v>331806.60000000003</v>
      </c>
    </row>
    <row r="80" spans="1:24">
      <c r="A80" s="305"/>
      <c r="B80" s="306"/>
      <c r="C80" s="63" t="s">
        <v>168</v>
      </c>
      <c r="D80" s="64" t="s">
        <v>101</v>
      </c>
      <c r="E80" s="59">
        <v>1</v>
      </c>
      <c r="F80" s="59">
        <v>1</v>
      </c>
      <c r="G80" s="59">
        <v>1</v>
      </c>
      <c r="H80" s="59">
        <v>1</v>
      </c>
      <c r="I80" s="59">
        <v>1</v>
      </c>
      <c r="J80" s="75">
        <f t="shared" si="44"/>
        <v>23553.439999999999</v>
      </c>
      <c r="K80" s="75">
        <v>23553.439999999999</v>
      </c>
      <c r="L80" s="59" t="s">
        <v>104</v>
      </c>
      <c r="M80" s="123" t="s">
        <v>104</v>
      </c>
      <c r="N80" s="203">
        <f t="shared" si="46"/>
        <v>23553.439999999999</v>
      </c>
      <c r="O80" s="203">
        <f t="shared" si="45"/>
        <v>23553.439999999999</v>
      </c>
      <c r="P80" s="123" t="s">
        <v>104</v>
      </c>
      <c r="Q80" s="123"/>
      <c r="R80" s="123" t="s">
        <v>104</v>
      </c>
      <c r="S80" s="123"/>
      <c r="T80" s="46">
        <f t="shared" si="47"/>
        <v>23553.439999999999</v>
      </c>
      <c r="U80" s="46">
        <f t="shared" si="48"/>
        <v>23553.439999999999</v>
      </c>
    </row>
    <row r="81" spans="1:21" ht="82.8">
      <c r="A81" s="305"/>
      <c r="B81" s="306"/>
      <c r="C81" s="61" t="s">
        <v>105</v>
      </c>
      <c r="D81" s="64" t="s">
        <v>101</v>
      </c>
      <c r="E81" s="59">
        <v>1</v>
      </c>
      <c r="F81" s="59">
        <v>1</v>
      </c>
      <c r="G81" s="59">
        <v>1</v>
      </c>
      <c r="H81" s="59">
        <v>1</v>
      </c>
      <c r="I81" s="59">
        <v>1</v>
      </c>
      <c r="J81" s="75">
        <f>SUM(K81:M81)</f>
        <v>140182.94447506001</v>
      </c>
      <c r="K81" s="75">
        <f>121412.92+1329.32</f>
        <v>122742.24</v>
      </c>
      <c r="L81" s="72">
        <f>4001.99*2.411294</f>
        <v>9649.9744750599984</v>
      </c>
      <c r="M81" s="202">
        <v>7790.73</v>
      </c>
      <c r="N81" s="203">
        <f>SUM(O81:R81)</f>
        <v>140182.94447506001</v>
      </c>
      <c r="O81" s="203">
        <f t="shared" si="45"/>
        <v>122742.24</v>
      </c>
      <c r="P81" s="203">
        <f>G81*L81</f>
        <v>9649.9744750599984</v>
      </c>
      <c r="Q81" s="203"/>
      <c r="R81" s="46">
        <f>G81*M81</f>
        <v>7790.73</v>
      </c>
      <c r="S81" s="46"/>
      <c r="T81" s="46">
        <f t="shared" si="9"/>
        <v>140182.94447506001</v>
      </c>
      <c r="U81" s="46">
        <f t="shared" si="6"/>
        <v>140182.94447506001</v>
      </c>
    </row>
    <row r="82" spans="1:21">
      <c r="A82" s="305"/>
      <c r="B82" s="306"/>
      <c r="C82" s="66" t="s">
        <v>106</v>
      </c>
      <c r="D82" s="67"/>
      <c r="E82" s="59">
        <f>E74+E81</f>
        <v>243</v>
      </c>
      <c r="F82" s="59">
        <f t="shared" ref="F82:I82" si="49">F74+F81</f>
        <v>243</v>
      </c>
      <c r="G82" s="59">
        <f>G74+G81</f>
        <v>243</v>
      </c>
      <c r="H82" s="59">
        <f t="shared" si="49"/>
        <v>243</v>
      </c>
      <c r="I82" s="59">
        <f t="shared" si="49"/>
        <v>243</v>
      </c>
      <c r="J82" s="71" t="s">
        <v>104</v>
      </c>
      <c r="K82" s="71" t="s">
        <v>104</v>
      </c>
      <c r="L82" s="71" t="s">
        <v>104</v>
      </c>
      <c r="M82" s="203" t="s">
        <v>104</v>
      </c>
      <c r="N82" s="203">
        <f t="shared" ref="N82:R82" si="50">SUM(N74:N81)</f>
        <v>11170836.717439581</v>
      </c>
      <c r="O82" s="203">
        <f t="shared" si="50"/>
        <v>6932745.4800000004</v>
      </c>
      <c r="P82" s="203">
        <f t="shared" si="50"/>
        <v>2344943.8474395797</v>
      </c>
      <c r="Q82" s="203"/>
      <c r="R82" s="203">
        <f t="shared" si="50"/>
        <v>1893147.39</v>
      </c>
      <c r="S82" s="203"/>
      <c r="T82" s="203">
        <f>N82</f>
        <v>11170836.717439581</v>
      </c>
      <c r="U82" s="203">
        <f>T82</f>
        <v>11170836.717439581</v>
      </c>
    </row>
    <row r="83" spans="1:21" ht="82.8">
      <c r="A83" s="305"/>
      <c r="B83" s="306" t="s">
        <v>239</v>
      </c>
      <c r="C83" s="61" t="s">
        <v>100</v>
      </c>
      <c r="D83" s="62" t="s">
        <v>101</v>
      </c>
      <c r="E83" s="59">
        <v>224</v>
      </c>
      <c r="F83" s="59">
        <v>224</v>
      </c>
      <c r="G83" s="59">
        <v>224</v>
      </c>
      <c r="H83" s="59">
        <v>224</v>
      </c>
      <c r="I83" s="59">
        <v>224</v>
      </c>
      <c r="J83" s="107">
        <f>SUM(K83:M83)</f>
        <v>53409.174475060005</v>
      </c>
      <c r="K83" s="107">
        <f>34346.05+1622.42</f>
        <v>35968.47</v>
      </c>
      <c r="L83" s="70">
        <f>4001.99*2.411294</f>
        <v>9649.9744750599984</v>
      </c>
      <c r="M83" s="202">
        <v>7790.73</v>
      </c>
      <c r="N83" s="203">
        <f>SUM(O83:R83)</f>
        <v>11963655.082413439</v>
      </c>
      <c r="O83" s="203">
        <f>G83*K83</f>
        <v>8056937.2800000003</v>
      </c>
      <c r="P83" s="203">
        <f>G83*L83</f>
        <v>2161594.2824134398</v>
      </c>
      <c r="Q83" s="203"/>
      <c r="R83" s="46">
        <f>G83*M83</f>
        <v>1745123.52</v>
      </c>
      <c r="S83" s="46"/>
      <c r="T83" s="46">
        <f t="shared" si="9"/>
        <v>11963655.082413441</v>
      </c>
      <c r="U83" s="46">
        <f t="shared" si="6"/>
        <v>11963655.082413441</v>
      </c>
    </row>
    <row r="84" spans="1:21" ht="82.8">
      <c r="A84" s="305"/>
      <c r="B84" s="306"/>
      <c r="C84" s="63" t="s">
        <v>163</v>
      </c>
      <c r="D84" s="64" t="s">
        <v>101</v>
      </c>
      <c r="E84" s="59" t="s">
        <v>104</v>
      </c>
      <c r="F84" s="59" t="s">
        <v>104</v>
      </c>
      <c r="G84" s="59" t="s">
        <v>104</v>
      </c>
      <c r="H84" s="59" t="s">
        <v>104</v>
      </c>
      <c r="I84" s="59" t="s">
        <v>104</v>
      </c>
      <c r="J84" s="59" t="s">
        <v>104</v>
      </c>
      <c r="K84" s="59" t="s">
        <v>104</v>
      </c>
      <c r="L84" s="59" t="s">
        <v>104</v>
      </c>
      <c r="M84" s="123" t="s">
        <v>104</v>
      </c>
      <c r="N84" s="203"/>
      <c r="O84" s="203"/>
      <c r="P84" s="123" t="s">
        <v>104</v>
      </c>
      <c r="Q84" s="123"/>
      <c r="R84" s="123" t="s">
        <v>104</v>
      </c>
      <c r="S84" s="123"/>
      <c r="T84" s="46"/>
      <c r="U84" s="46"/>
    </row>
    <row r="85" spans="1:21">
      <c r="A85" s="305"/>
      <c r="B85" s="306"/>
      <c r="C85" s="63" t="s">
        <v>171</v>
      </c>
      <c r="D85" s="64" t="s">
        <v>101</v>
      </c>
      <c r="E85" s="60">
        <v>1</v>
      </c>
      <c r="F85" s="60">
        <v>1</v>
      </c>
      <c r="G85" s="60">
        <v>1</v>
      </c>
      <c r="H85" s="60">
        <v>1</v>
      </c>
      <c r="I85" s="60">
        <v>1</v>
      </c>
      <c r="J85" s="75">
        <f t="shared" ref="J85:J86" si="51">K85</f>
        <v>69362.66</v>
      </c>
      <c r="K85" s="75">
        <v>69362.66</v>
      </c>
      <c r="L85" s="59" t="s">
        <v>104</v>
      </c>
      <c r="M85" s="123" t="s">
        <v>104</v>
      </c>
      <c r="N85" s="203">
        <f t="shared" ref="N85:N86" si="52">O85</f>
        <v>69362.66</v>
      </c>
      <c r="O85" s="203">
        <f>G85*K85</f>
        <v>69362.66</v>
      </c>
      <c r="P85" s="123" t="s">
        <v>104</v>
      </c>
      <c r="Q85" s="123"/>
      <c r="R85" s="123" t="s">
        <v>104</v>
      </c>
      <c r="S85" s="123"/>
      <c r="T85" s="46">
        <f>H85*K85</f>
        <v>69362.66</v>
      </c>
      <c r="U85" s="46">
        <f>I85*K85</f>
        <v>69362.66</v>
      </c>
    </row>
    <row r="86" spans="1:21">
      <c r="A86" s="305"/>
      <c r="B86" s="306"/>
      <c r="C86" s="63" t="s">
        <v>165</v>
      </c>
      <c r="D86" s="64" t="s">
        <v>101</v>
      </c>
      <c r="E86" s="60"/>
      <c r="F86" s="60"/>
      <c r="G86" s="59"/>
      <c r="H86" s="60"/>
      <c r="I86" s="60"/>
      <c r="J86" s="75">
        <f t="shared" si="51"/>
        <v>92468.25</v>
      </c>
      <c r="K86" s="75">
        <v>92468.25</v>
      </c>
      <c r="L86" s="59" t="s">
        <v>104</v>
      </c>
      <c r="M86" s="123" t="s">
        <v>104</v>
      </c>
      <c r="N86" s="203">
        <f t="shared" si="52"/>
        <v>0</v>
      </c>
      <c r="O86" s="203">
        <f t="shared" ref="O86:O88" si="53">G86*K86</f>
        <v>0</v>
      </c>
      <c r="P86" s="123" t="s">
        <v>104</v>
      </c>
      <c r="Q86" s="123"/>
      <c r="R86" s="123" t="s">
        <v>104</v>
      </c>
      <c r="S86" s="123"/>
      <c r="T86" s="46">
        <f t="shared" ref="T86:T87" si="54">H86*K86</f>
        <v>0</v>
      </c>
      <c r="U86" s="46">
        <f t="shared" ref="U86:U87" si="55">I86*K86</f>
        <v>0</v>
      </c>
    </row>
    <row r="87" spans="1:21">
      <c r="A87" s="305"/>
      <c r="B87" s="306"/>
      <c r="C87" s="63" t="s">
        <v>168</v>
      </c>
      <c r="D87" s="64" t="s">
        <v>101</v>
      </c>
      <c r="E87" s="60">
        <v>6</v>
      </c>
      <c r="F87" s="60">
        <v>6</v>
      </c>
      <c r="G87" s="60">
        <v>6</v>
      </c>
      <c r="H87" s="60">
        <v>6</v>
      </c>
      <c r="I87" s="60">
        <v>6</v>
      </c>
      <c r="J87" s="75">
        <f>K87</f>
        <v>23553.439999999999</v>
      </c>
      <c r="K87" s="75">
        <v>23553.439999999999</v>
      </c>
      <c r="L87" s="59" t="s">
        <v>104</v>
      </c>
      <c r="M87" s="123" t="s">
        <v>104</v>
      </c>
      <c r="N87" s="203">
        <f>O87</f>
        <v>141320.63999999998</v>
      </c>
      <c r="O87" s="203">
        <f t="shared" si="53"/>
        <v>141320.63999999998</v>
      </c>
      <c r="P87" s="123" t="s">
        <v>104</v>
      </c>
      <c r="Q87" s="123"/>
      <c r="R87" s="123" t="s">
        <v>104</v>
      </c>
      <c r="S87" s="123"/>
      <c r="T87" s="46">
        <f t="shared" si="54"/>
        <v>141320.63999999998</v>
      </c>
      <c r="U87" s="46">
        <f t="shared" si="55"/>
        <v>141320.63999999998</v>
      </c>
    </row>
    <row r="88" spans="1:21" ht="82.8">
      <c r="A88" s="305"/>
      <c r="B88" s="306"/>
      <c r="C88" s="61" t="s">
        <v>105</v>
      </c>
      <c r="D88" s="64" t="s">
        <v>101</v>
      </c>
      <c r="E88" s="60">
        <v>3</v>
      </c>
      <c r="F88" s="60">
        <v>3</v>
      </c>
      <c r="G88" s="60">
        <v>3</v>
      </c>
      <c r="H88" s="60">
        <v>3</v>
      </c>
      <c r="I88" s="60">
        <v>3</v>
      </c>
      <c r="J88" s="75">
        <f>SUM(K88:M88)</f>
        <v>170470.75447506004</v>
      </c>
      <c r="K88" s="75">
        <f>151407.63+1622.42</f>
        <v>153030.05000000002</v>
      </c>
      <c r="L88" s="72">
        <f>4001.99*2.411294</f>
        <v>9649.9744750599984</v>
      </c>
      <c r="M88" s="202">
        <v>7790.73</v>
      </c>
      <c r="N88" s="201">
        <f>SUM(O88:R88)</f>
        <v>511412.26342518005</v>
      </c>
      <c r="O88" s="203">
        <f t="shared" si="53"/>
        <v>459090.15</v>
      </c>
      <c r="P88" s="201">
        <f>G88*L88</f>
        <v>28949.923425179994</v>
      </c>
      <c r="Q88" s="201"/>
      <c r="R88" s="46">
        <f>G88*M88</f>
        <v>23372.19</v>
      </c>
      <c r="S88" s="46"/>
      <c r="T88" s="46">
        <f t="shared" si="9"/>
        <v>511412.26342518011</v>
      </c>
      <c r="U88" s="46">
        <f t="shared" si="6"/>
        <v>511412.26342518011</v>
      </c>
    </row>
    <row r="89" spans="1:21">
      <c r="A89" s="305"/>
      <c r="B89" s="192"/>
      <c r="C89" s="66" t="s">
        <v>106</v>
      </c>
      <c r="D89" s="64"/>
      <c r="E89" s="60">
        <f>E83+E88</f>
        <v>227</v>
      </c>
      <c r="F89" s="60">
        <f t="shared" ref="F89:I89" si="56">F83+F88</f>
        <v>227</v>
      </c>
      <c r="G89" s="60">
        <f t="shared" si="56"/>
        <v>227</v>
      </c>
      <c r="H89" s="60">
        <f t="shared" si="56"/>
        <v>227</v>
      </c>
      <c r="I89" s="60">
        <f t="shared" si="56"/>
        <v>227</v>
      </c>
      <c r="J89" s="73" t="s">
        <v>104</v>
      </c>
      <c r="K89" s="73" t="s">
        <v>104</v>
      </c>
      <c r="L89" s="74" t="s">
        <v>104</v>
      </c>
      <c r="M89" s="207" t="s">
        <v>104</v>
      </c>
      <c r="N89" s="207">
        <f t="shared" ref="N89:U89" si="57">SUM(N83:N88)</f>
        <v>12685750.64583862</v>
      </c>
      <c r="O89" s="207">
        <f t="shared" si="57"/>
        <v>8726710.7300000004</v>
      </c>
      <c r="P89" s="207">
        <f t="shared" si="57"/>
        <v>2190544.2058386197</v>
      </c>
      <c r="Q89" s="207"/>
      <c r="R89" s="207">
        <f t="shared" si="57"/>
        <v>1768495.71</v>
      </c>
      <c r="S89" s="207"/>
      <c r="T89" s="207">
        <f t="shared" si="57"/>
        <v>12685750.645838622</v>
      </c>
      <c r="U89" s="207">
        <f t="shared" si="57"/>
        <v>12685750.645838622</v>
      </c>
    </row>
    <row r="90" spans="1:21" ht="82.8">
      <c r="A90" s="305"/>
      <c r="B90" s="306" t="s">
        <v>240</v>
      </c>
      <c r="C90" s="61" t="s">
        <v>100</v>
      </c>
      <c r="D90" s="62" t="s">
        <v>101</v>
      </c>
      <c r="E90" s="60">
        <v>69</v>
      </c>
      <c r="F90" s="60">
        <v>69</v>
      </c>
      <c r="G90" s="60">
        <v>69</v>
      </c>
      <c r="H90" s="60">
        <v>69</v>
      </c>
      <c r="I90" s="60">
        <v>69</v>
      </c>
      <c r="J90" s="107">
        <f>SUM(K90:M90)</f>
        <v>60511.614475060007</v>
      </c>
      <c r="K90" s="107">
        <f>41105.12+1965.79</f>
        <v>43070.91</v>
      </c>
      <c r="L90" s="70">
        <f>4001.99*2.411294</f>
        <v>9649.9744750599984</v>
      </c>
      <c r="M90" s="202">
        <v>7790.73</v>
      </c>
      <c r="N90" s="201">
        <f>SUM(O90:R90)</f>
        <v>4175301.10977914</v>
      </c>
      <c r="O90" s="201">
        <f>G90*K90</f>
        <v>2971892.79</v>
      </c>
      <c r="P90" s="201">
        <f>G90*L90-0.289</f>
        <v>665847.94977913995</v>
      </c>
      <c r="Q90" s="201"/>
      <c r="R90" s="46">
        <f>G90*M90</f>
        <v>537560.37</v>
      </c>
      <c r="S90" s="46"/>
      <c r="T90" s="46">
        <f>N90</f>
        <v>4175301.10977914</v>
      </c>
      <c r="U90" s="46">
        <f>T90</f>
        <v>4175301.10977914</v>
      </c>
    </row>
    <row r="91" spans="1:21" ht="82.8">
      <c r="A91" s="305"/>
      <c r="B91" s="306"/>
      <c r="C91" s="63" t="s">
        <v>163</v>
      </c>
      <c r="D91" s="64" t="s">
        <v>101</v>
      </c>
      <c r="E91" s="59" t="s">
        <v>104</v>
      </c>
      <c r="F91" s="59" t="s">
        <v>104</v>
      </c>
      <c r="G91" s="59" t="s">
        <v>104</v>
      </c>
      <c r="H91" s="59" t="s">
        <v>104</v>
      </c>
      <c r="I91" s="59" t="s">
        <v>104</v>
      </c>
      <c r="J91" s="59" t="s">
        <v>104</v>
      </c>
      <c r="K91" s="59" t="s">
        <v>104</v>
      </c>
      <c r="L91" s="59" t="s">
        <v>104</v>
      </c>
      <c r="M91" s="123" t="s">
        <v>104</v>
      </c>
      <c r="N91" s="203"/>
      <c r="O91" s="203"/>
      <c r="P91" s="123" t="s">
        <v>104</v>
      </c>
      <c r="Q91" s="123"/>
      <c r="R91" s="123" t="s">
        <v>104</v>
      </c>
      <c r="S91" s="123"/>
      <c r="T91" s="46"/>
      <c r="U91" s="46"/>
    </row>
    <row r="92" spans="1:21">
      <c r="A92" s="305"/>
      <c r="B92" s="306"/>
      <c r="C92" s="63" t="s">
        <v>165</v>
      </c>
      <c r="D92" s="64" t="s">
        <v>101</v>
      </c>
      <c r="E92" s="60"/>
      <c r="F92" s="60"/>
      <c r="G92" s="59">
        <f t="shared" ref="G92:G94" si="58">((E92*8)+(F92*4))/12</f>
        <v>0</v>
      </c>
      <c r="H92" s="60"/>
      <c r="I92" s="60"/>
      <c r="J92" s="75">
        <f>K92</f>
        <v>92468.25</v>
      </c>
      <c r="K92" s="75">
        <v>92468.25</v>
      </c>
      <c r="L92" s="59" t="s">
        <v>104</v>
      </c>
      <c r="M92" s="123" t="s">
        <v>104</v>
      </c>
      <c r="N92" s="203">
        <f>O92</f>
        <v>0</v>
      </c>
      <c r="O92" s="203">
        <f>G92*K92</f>
        <v>0</v>
      </c>
      <c r="P92" s="123" t="s">
        <v>104</v>
      </c>
      <c r="Q92" s="123"/>
      <c r="R92" s="123" t="s">
        <v>104</v>
      </c>
      <c r="S92" s="123"/>
      <c r="T92" s="46">
        <f>H92*K92</f>
        <v>0</v>
      </c>
      <c r="U92" s="46">
        <f>I92*K92</f>
        <v>0</v>
      </c>
    </row>
    <row r="93" spans="1:21">
      <c r="A93" s="305"/>
      <c r="B93" s="306"/>
      <c r="C93" s="63" t="s">
        <v>168</v>
      </c>
      <c r="D93" s="64" t="s">
        <v>101</v>
      </c>
      <c r="E93" s="60"/>
      <c r="F93" s="60"/>
      <c r="G93" s="59">
        <f t="shared" si="58"/>
        <v>0</v>
      </c>
      <c r="H93" s="60"/>
      <c r="I93" s="60"/>
      <c r="J93" s="75">
        <f>K93</f>
        <v>23553.439999999999</v>
      </c>
      <c r="K93" s="75">
        <v>23553.439999999999</v>
      </c>
      <c r="L93" s="59" t="s">
        <v>104</v>
      </c>
      <c r="M93" s="123" t="s">
        <v>104</v>
      </c>
      <c r="N93" s="203">
        <f>O93</f>
        <v>0</v>
      </c>
      <c r="O93" s="203">
        <f>G93*K93</f>
        <v>0</v>
      </c>
      <c r="P93" s="123" t="s">
        <v>104</v>
      </c>
      <c r="Q93" s="123"/>
      <c r="R93" s="123" t="s">
        <v>104</v>
      </c>
      <c r="S93" s="123"/>
      <c r="T93" s="46">
        <f>H93*K93</f>
        <v>0</v>
      </c>
      <c r="U93" s="46">
        <f>I93*K93</f>
        <v>0</v>
      </c>
    </row>
    <row r="94" spans="1:21" ht="82.8">
      <c r="A94" s="305"/>
      <c r="B94" s="306"/>
      <c r="C94" s="61" t="s">
        <v>105</v>
      </c>
      <c r="D94" s="64" t="s">
        <v>101</v>
      </c>
      <c r="E94" s="60"/>
      <c r="F94" s="60"/>
      <c r="G94" s="59">
        <f t="shared" si="58"/>
        <v>0</v>
      </c>
      <c r="H94" s="60"/>
      <c r="I94" s="60"/>
      <c r="J94" s="75">
        <f>SUM(K94:M94)</f>
        <v>200808.84447506003</v>
      </c>
      <c r="K94" s="75">
        <f>181402.35+1965.79</f>
        <v>183368.14</v>
      </c>
      <c r="L94" s="72">
        <f>4001.99*2.411294</f>
        <v>9649.9744750599984</v>
      </c>
      <c r="M94" s="202">
        <v>7790.73</v>
      </c>
      <c r="N94" s="201"/>
      <c r="O94" s="203">
        <f>G94*K94</f>
        <v>0</v>
      </c>
      <c r="P94" s="201"/>
      <c r="Q94" s="201"/>
      <c r="R94" s="201"/>
      <c r="S94" s="201"/>
      <c r="T94" s="46">
        <f t="shared" si="9"/>
        <v>0</v>
      </c>
      <c r="U94" s="46">
        <f t="shared" si="6"/>
        <v>0</v>
      </c>
    </row>
    <row r="95" spans="1:21">
      <c r="A95" s="305"/>
      <c r="B95" s="192"/>
      <c r="C95" s="66" t="s">
        <v>106</v>
      </c>
      <c r="D95" s="64"/>
      <c r="E95" s="60">
        <f>E90+E94</f>
        <v>69</v>
      </c>
      <c r="F95" s="60">
        <f t="shared" ref="F95:I95" si="59">F90+F94</f>
        <v>69</v>
      </c>
      <c r="G95" s="60">
        <f t="shared" si="59"/>
        <v>69</v>
      </c>
      <c r="H95" s="60">
        <f t="shared" si="59"/>
        <v>69</v>
      </c>
      <c r="I95" s="60">
        <f t="shared" si="59"/>
        <v>69</v>
      </c>
      <c r="J95" s="73" t="s">
        <v>104</v>
      </c>
      <c r="K95" s="73" t="s">
        <v>104</v>
      </c>
      <c r="L95" s="74" t="s">
        <v>104</v>
      </c>
      <c r="M95" s="207" t="s">
        <v>104</v>
      </c>
      <c r="N95" s="207">
        <f t="shared" ref="N95:U95" si="60">SUM(N90:N94)</f>
        <v>4175301.10977914</v>
      </c>
      <c r="O95" s="207">
        <f t="shared" si="60"/>
        <v>2971892.79</v>
      </c>
      <c r="P95" s="207">
        <f t="shared" si="60"/>
        <v>665847.94977913995</v>
      </c>
      <c r="Q95" s="207"/>
      <c r="R95" s="207">
        <f t="shared" si="60"/>
        <v>537560.37</v>
      </c>
      <c r="S95" s="207"/>
      <c r="T95" s="207">
        <f t="shared" si="60"/>
        <v>4175301.10977914</v>
      </c>
      <c r="U95" s="207">
        <f t="shared" si="60"/>
        <v>4175301.10977914</v>
      </c>
    </row>
    <row r="96" spans="1:21" ht="100.2" customHeight="1">
      <c r="A96" s="305"/>
      <c r="B96" s="137" t="s">
        <v>241</v>
      </c>
      <c r="C96" s="61" t="s">
        <v>187</v>
      </c>
      <c r="D96" s="64" t="s">
        <v>101</v>
      </c>
      <c r="E96" s="60">
        <v>921</v>
      </c>
      <c r="F96" s="60">
        <v>921</v>
      </c>
      <c r="G96" s="60">
        <v>921</v>
      </c>
      <c r="H96" s="60">
        <v>921</v>
      </c>
      <c r="I96" s="60">
        <v>921</v>
      </c>
      <c r="J96" s="75">
        <f>K96</f>
        <v>3268.55</v>
      </c>
      <c r="K96" s="75">
        <v>3268.55</v>
      </c>
      <c r="L96" s="72" t="s">
        <v>104</v>
      </c>
      <c r="M96" s="206" t="s">
        <v>104</v>
      </c>
      <c r="N96" s="201">
        <f>SUM(O96:R96)</f>
        <v>3010334.0000000005</v>
      </c>
      <c r="O96" s="201">
        <f>K96*G96-0.55</f>
        <v>3010334.0000000005</v>
      </c>
      <c r="P96" s="201" t="s">
        <v>104</v>
      </c>
      <c r="Q96" s="201"/>
      <c r="R96" s="201" t="s">
        <v>104</v>
      </c>
      <c r="S96" s="201"/>
      <c r="T96" s="46">
        <f>N96</f>
        <v>3010334.0000000005</v>
      </c>
      <c r="U96" s="46">
        <f t="shared" ref="U96:U102" si="61">T96</f>
        <v>3010334.0000000005</v>
      </c>
    </row>
    <row r="97" spans="1:24">
      <c r="A97" s="305"/>
      <c r="B97" s="69"/>
      <c r="C97" s="66" t="s">
        <v>106</v>
      </c>
      <c r="D97" s="69"/>
      <c r="E97" s="60">
        <f>SUM(E96:E96)</f>
        <v>921</v>
      </c>
      <c r="F97" s="60">
        <f>SUM(F96:F96)</f>
        <v>921</v>
      </c>
      <c r="G97" s="60">
        <f>SUM(G96:G96)</f>
        <v>921</v>
      </c>
      <c r="H97" s="60">
        <f>SUM(H96:H96)</f>
        <v>921</v>
      </c>
      <c r="I97" s="60">
        <f>SUM(I96:I96)</f>
        <v>921</v>
      </c>
      <c r="J97" s="73" t="s">
        <v>104</v>
      </c>
      <c r="K97" s="73" t="s">
        <v>104</v>
      </c>
      <c r="L97" s="74" t="s">
        <v>104</v>
      </c>
      <c r="M97" s="207">
        <f t="shared" ref="M97:R97" si="62">SUM(M96:M96)</f>
        <v>0</v>
      </c>
      <c r="N97" s="207">
        <f t="shared" si="62"/>
        <v>3010334.0000000005</v>
      </c>
      <c r="O97" s="207">
        <f>SUM(O96:O96)</f>
        <v>3010334.0000000005</v>
      </c>
      <c r="P97" s="207">
        <f t="shared" si="62"/>
        <v>0</v>
      </c>
      <c r="Q97" s="207"/>
      <c r="R97" s="207">
        <f t="shared" si="62"/>
        <v>0</v>
      </c>
      <c r="S97" s="207"/>
      <c r="T97" s="46">
        <f>N97</f>
        <v>3010334.0000000005</v>
      </c>
      <c r="U97" s="46">
        <f t="shared" si="61"/>
        <v>3010334.0000000005</v>
      </c>
    </row>
    <row r="98" spans="1:24">
      <c r="A98" s="305"/>
      <c r="B98" s="69" t="s">
        <v>300</v>
      </c>
      <c r="C98" s="184" t="s">
        <v>226</v>
      </c>
      <c r="D98" s="69"/>
      <c r="E98" s="60"/>
      <c r="F98" s="60"/>
      <c r="G98" s="60"/>
      <c r="H98" s="60"/>
      <c r="I98" s="60"/>
      <c r="J98" s="73"/>
      <c r="K98" s="73"/>
      <c r="L98" s="74"/>
      <c r="M98" s="207"/>
      <c r="N98" s="207">
        <f>P98</f>
        <v>98261</v>
      </c>
      <c r="O98" s="207"/>
      <c r="P98" s="207">
        <v>98261</v>
      </c>
      <c r="Q98" s="207"/>
      <c r="R98" s="207"/>
      <c r="S98" s="207"/>
      <c r="T98" s="46">
        <f>P98</f>
        <v>98261</v>
      </c>
      <c r="U98" s="46">
        <f t="shared" si="61"/>
        <v>98261</v>
      </c>
    </row>
    <row r="99" spans="1:24">
      <c r="A99" s="305"/>
      <c r="B99" s="89" t="s">
        <v>225</v>
      </c>
      <c r="C99" s="184" t="s">
        <v>219</v>
      </c>
      <c r="D99" s="64" t="s">
        <v>101</v>
      </c>
      <c r="E99" s="60">
        <v>12</v>
      </c>
      <c r="F99" s="60">
        <v>12</v>
      </c>
      <c r="G99" s="60">
        <v>12</v>
      </c>
      <c r="H99" s="60">
        <v>12</v>
      </c>
      <c r="I99" s="60">
        <v>12</v>
      </c>
      <c r="J99" s="73"/>
      <c r="K99" s="73"/>
      <c r="L99" s="74"/>
      <c r="M99" s="207"/>
      <c r="N99" s="207">
        <f>S99</f>
        <v>1362189</v>
      </c>
      <c r="O99" s="207"/>
      <c r="P99" s="207"/>
      <c r="Q99" s="207"/>
      <c r="R99" s="207"/>
      <c r="S99" s="207">
        <v>1362189</v>
      </c>
      <c r="T99" s="46">
        <f>S99</f>
        <v>1362189</v>
      </c>
      <c r="U99" s="46">
        <f t="shared" si="61"/>
        <v>1362189</v>
      </c>
    </row>
    <row r="100" spans="1:24">
      <c r="A100" s="305"/>
      <c r="B100" s="89" t="s">
        <v>225</v>
      </c>
      <c r="C100" s="184" t="s">
        <v>226</v>
      </c>
      <c r="D100" s="64" t="s">
        <v>101</v>
      </c>
      <c r="E100" s="60">
        <v>1</v>
      </c>
      <c r="F100" s="60">
        <v>1</v>
      </c>
      <c r="G100" s="60">
        <v>1</v>
      </c>
      <c r="H100" s="60">
        <v>1</v>
      </c>
      <c r="I100" s="60">
        <v>1</v>
      </c>
      <c r="J100" s="73"/>
      <c r="K100" s="73"/>
      <c r="L100" s="74"/>
      <c r="M100" s="207"/>
      <c r="N100" s="207">
        <f>Q100</f>
        <v>159348</v>
      </c>
      <c r="O100" s="207"/>
      <c r="P100" s="207"/>
      <c r="Q100" s="207">
        <v>159348</v>
      </c>
      <c r="R100" s="207"/>
      <c r="S100" s="207"/>
      <c r="T100" s="46">
        <f>Q100</f>
        <v>159348</v>
      </c>
      <c r="U100" s="46">
        <f t="shared" si="61"/>
        <v>159348</v>
      </c>
    </row>
    <row r="101" spans="1:24">
      <c r="A101" s="305"/>
      <c r="B101" s="89" t="s">
        <v>299</v>
      </c>
      <c r="C101" s="184" t="s">
        <v>219</v>
      </c>
      <c r="D101" s="64"/>
      <c r="E101" s="60"/>
      <c r="F101" s="60"/>
      <c r="G101" s="60"/>
      <c r="H101" s="60"/>
      <c r="I101" s="60"/>
      <c r="J101" s="73"/>
      <c r="K101" s="73"/>
      <c r="L101" s="74"/>
      <c r="M101" s="207"/>
      <c r="N101" s="207">
        <f>O101+P101+Q101+R101+S101</f>
        <v>117049</v>
      </c>
      <c r="O101" s="207"/>
      <c r="P101" s="207"/>
      <c r="Q101" s="207"/>
      <c r="R101" s="207"/>
      <c r="S101" s="207">
        <v>117049</v>
      </c>
      <c r="T101" s="46"/>
      <c r="U101" s="46"/>
    </row>
    <row r="102" spans="1:24">
      <c r="A102" s="305"/>
      <c r="B102" s="89" t="s">
        <v>265</v>
      </c>
      <c r="C102" s="184" t="s">
        <v>226</v>
      </c>
      <c r="D102" s="64"/>
      <c r="E102" s="60"/>
      <c r="F102" s="60"/>
      <c r="G102" s="60"/>
      <c r="H102" s="60"/>
      <c r="I102" s="60"/>
      <c r="J102" s="73"/>
      <c r="K102" s="73"/>
      <c r="L102" s="74"/>
      <c r="M102" s="207"/>
      <c r="N102" s="207">
        <f>O102+P102+Q102+R102+S102</f>
        <v>0</v>
      </c>
      <c r="O102" s="207"/>
      <c r="P102" s="207"/>
      <c r="Q102" s="207"/>
      <c r="R102" s="207"/>
      <c r="S102" s="207"/>
      <c r="T102" s="46">
        <f>O102</f>
        <v>0</v>
      </c>
      <c r="U102" s="46">
        <f t="shared" si="61"/>
        <v>0</v>
      </c>
    </row>
    <row r="103" spans="1:24">
      <c r="A103" s="305"/>
      <c r="B103" s="101" t="s">
        <v>112</v>
      </c>
      <c r="C103" s="101"/>
      <c r="D103" s="69"/>
      <c r="E103" s="102">
        <f t="shared" ref="E103:F103" si="63">E82+E89+E95</f>
        <v>539</v>
      </c>
      <c r="F103" s="102">
        <f t="shared" si="63"/>
        <v>539</v>
      </c>
      <c r="G103" s="102">
        <f>G82+G89+G95</f>
        <v>539</v>
      </c>
      <c r="H103" s="102">
        <f t="shared" ref="H103:I103" si="64">H82+H89+H95</f>
        <v>539</v>
      </c>
      <c r="I103" s="102">
        <f t="shared" si="64"/>
        <v>539</v>
      </c>
      <c r="J103" s="104"/>
      <c r="K103" s="104"/>
      <c r="L103" s="103"/>
      <c r="M103" s="138"/>
      <c r="N103" s="138">
        <f>SUM(O103:S103)</f>
        <v>32779069.473057337</v>
      </c>
      <c r="O103" s="138">
        <f>O82+O89+O95+O97+O102</f>
        <v>21641683</v>
      </c>
      <c r="P103" s="138">
        <f>P82+P89+P95+P97+P98+P99+P100</f>
        <v>5299597.0030573392</v>
      </c>
      <c r="Q103" s="138">
        <f t="shared" ref="Q103" si="65">Q82+Q89+Q95+Q97+Q98+Q99+Q100</f>
        <v>159348</v>
      </c>
      <c r="R103" s="138">
        <f>R82+R89+R95+R97+R98+R99+R100+R101</f>
        <v>4199203.47</v>
      </c>
      <c r="S103" s="138">
        <f>S82+S89+S95+S97+S98+S99+S100+S101</f>
        <v>1479238</v>
      </c>
      <c r="T103" s="138">
        <f>T82+T89+T95+T97+T98+T99+T100+T101+T102</f>
        <v>32662020.473057345</v>
      </c>
      <c r="U103" s="138">
        <f>U82+U89+U95+U97+U98+U99+U100+U101+U102</f>
        <v>32662020.473057345</v>
      </c>
      <c r="V103" s="80">
        <v>4157205.33</v>
      </c>
      <c r="W103" s="85">
        <f>V103-R103</f>
        <v>-41998.139999999665</v>
      </c>
      <c r="X103" s="80">
        <f>W103/I103</f>
        <v>-77.918627087197891</v>
      </c>
    </row>
    <row r="104" spans="1:24" ht="82.8">
      <c r="A104" s="305" t="s">
        <v>115</v>
      </c>
      <c r="B104" s="306" t="s">
        <v>238</v>
      </c>
      <c r="C104" s="61" t="s">
        <v>100</v>
      </c>
      <c r="D104" s="62" t="s">
        <v>101</v>
      </c>
      <c r="E104" s="59">
        <v>206</v>
      </c>
      <c r="F104" s="59">
        <v>206</v>
      </c>
      <c r="G104" s="59">
        <v>206</v>
      </c>
      <c r="H104" s="59">
        <v>206</v>
      </c>
      <c r="I104" s="59">
        <v>206</v>
      </c>
      <c r="J104" s="107">
        <f>SUM(K104:M104)</f>
        <v>38349.724475059993</v>
      </c>
      <c r="K104" s="107">
        <f>19579.7+1329.32</f>
        <v>20909.02</v>
      </c>
      <c r="L104" s="70">
        <f>4001.99*2.411294</f>
        <v>9649.9744750599984</v>
      </c>
      <c r="M104" s="202">
        <v>7790.73</v>
      </c>
      <c r="N104" s="203">
        <f>SUM(O104:R104)</f>
        <v>7900043.9618623601</v>
      </c>
      <c r="O104" s="203">
        <f>G104*K104+0.63</f>
        <v>4307258.75</v>
      </c>
      <c r="P104" s="203">
        <f>G104*L104+0.09</f>
        <v>1987894.8318623598</v>
      </c>
      <c r="Q104" s="203"/>
      <c r="R104" s="46">
        <f>G104*M104</f>
        <v>1604890.38</v>
      </c>
      <c r="S104" s="46"/>
      <c r="T104" s="46">
        <f>N104</f>
        <v>7900043.9618623601</v>
      </c>
      <c r="U104" s="46">
        <f>T104</f>
        <v>7900043.9618623601</v>
      </c>
    </row>
    <row r="105" spans="1:24" ht="82.8">
      <c r="A105" s="305"/>
      <c r="B105" s="306"/>
      <c r="C105" s="63" t="s">
        <v>163</v>
      </c>
      <c r="D105" s="64" t="s">
        <v>101</v>
      </c>
      <c r="E105" s="59" t="s">
        <v>104</v>
      </c>
      <c r="F105" s="59" t="s">
        <v>104</v>
      </c>
      <c r="G105" s="59" t="s">
        <v>104</v>
      </c>
      <c r="H105" s="59" t="s">
        <v>104</v>
      </c>
      <c r="I105" s="59" t="s">
        <v>104</v>
      </c>
      <c r="J105" s="59" t="s">
        <v>104</v>
      </c>
      <c r="K105" s="59" t="s">
        <v>104</v>
      </c>
      <c r="L105" s="59" t="s">
        <v>104</v>
      </c>
      <c r="M105" s="123" t="s">
        <v>104</v>
      </c>
      <c r="N105" s="203"/>
      <c r="O105" s="203"/>
      <c r="P105" s="123" t="s">
        <v>104</v>
      </c>
      <c r="Q105" s="123"/>
      <c r="R105" s="123" t="s">
        <v>104</v>
      </c>
      <c r="S105" s="123"/>
      <c r="T105" s="46"/>
      <c r="U105" s="46"/>
    </row>
    <row r="106" spans="1:24">
      <c r="A106" s="305"/>
      <c r="B106" s="306"/>
      <c r="C106" s="63" t="s">
        <v>164</v>
      </c>
      <c r="D106" s="64" t="s">
        <v>101</v>
      </c>
      <c r="E106" s="59"/>
      <c r="F106" s="59"/>
      <c r="G106" s="59"/>
      <c r="H106" s="59"/>
      <c r="I106" s="59"/>
      <c r="J106" s="75">
        <f>K106</f>
        <v>25589.72</v>
      </c>
      <c r="K106" s="71">
        <v>25589.72</v>
      </c>
      <c r="L106" s="59" t="s">
        <v>104</v>
      </c>
      <c r="M106" s="123" t="s">
        <v>104</v>
      </c>
      <c r="N106" s="203">
        <f t="shared" ref="N106:N108" si="66">O106</f>
        <v>0</v>
      </c>
      <c r="O106" s="203">
        <f>G106*K106</f>
        <v>0</v>
      </c>
      <c r="P106" s="123" t="s">
        <v>104</v>
      </c>
      <c r="Q106" s="123"/>
      <c r="R106" s="123" t="s">
        <v>104</v>
      </c>
      <c r="S106" s="123"/>
      <c r="T106" s="46">
        <f t="shared" ref="T106:T108" si="67">H106*K106</f>
        <v>0</v>
      </c>
      <c r="U106" s="46">
        <f t="shared" ref="U106:U108" si="68">I106*K106</f>
        <v>0</v>
      </c>
    </row>
    <row r="107" spans="1:24">
      <c r="A107" s="305"/>
      <c r="B107" s="306"/>
      <c r="C107" s="63" t="s">
        <v>169</v>
      </c>
      <c r="D107" s="64" t="s">
        <v>101</v>
      </c>
      <c r="E107" s="59">
        <v>9</v>
      </c>
      <c r="F107" s="59">
        <v>9</v>
      </c>
      <c r="G107" s="59">
        <v>9</v>
      </c>
      <c r="H107" s="59">
        <v>9</v>
      </c>
      <c r="I107" s="59">
        <v>9</v>
      </c>
      <c r="J107" s="75">
        <f>K107</f>
        <v>69362.66</v>
      </c>
      <c r="K107" s="71">
        <v>69362.66</v>
      </c>
      <c r="L107" s="59" t="s">
        <v>104</v>
      </c>
      <c r="M107" s="123" t="s">
        <v>104</v>
      </c>
      <c r="N107" s="203">
        <f t="shared" si="66"/>
        <v>624263.94000000006</v>
      </c>
      <c r="O107" s="203">
        <f t="shared" ref="O107:O112" si="69">G107*K107</f>
        <v>624263.94000000006</v>
      </c>
      <c r="P107" s="123" t="s">
        <v>104</v>
      </c>
      <c r="Q107" s="123"/>
      <c r="R107" s="123" t="s">
        <v>104</v>
      </c>
      <c r="S107" s="123"/>
      <c r="T107" s="46">
        <f t="shared" si="67"/>
        <v>624263.94000000006</v>
      </c>
      <c r="U107" s="46">
        <f t="shared" si="68"/>
        <v>624263.94000000006</v>
      </c>
    </row>
    <row r="108" spans="1:24">
      <c r="A108" s="305"/>
      <c r="B108" s="306"/>
      <c r="C108" s="63" t="s">
        <v>165</v>
      </c>
      <c r="D108" s="64" t="s">
        <v>101</v>
      </c>
      <c r="E108" s="59">
        <v>2</v>
      </c>
      <c r="F108" s="59">
        <v>2</v>
      </c>
      <c r="G108" s="59">
        <v>2</v>
      </c>
      <c r="H108" s="59">
        <v>2</v>
      </c>
      <c r="I108" s="59">
        <v>2</v>
      </c>
      <c r="J108" s="75">
        <f>K108</f>
        <v>92468.25</v>
      </c>
      <c r="K108" s="71">
        <v>92468.25</v>
      </c>
      <c r="L108" s="59" t="s">
        <v>104</v>
      </c>
      <c r="M108" s="123" t="s">
        <v>104</v>
      </c>
      <c r="N108" s="203">
        <f t="shared" si="66"/>
        <v>184936.5</v>
      </c>
      <c r="O108" s="203">
        <f t="shared" si="69"/>
        <v>184936.5</v>
      </c>
      <c r="P108" s="123" t="s">
        <v>104</v>
      </c>
      <c r="Q108" s="123"/>
      <c r="R108" s="123" t="s">
        <v>104</v>
      </c>
      <c r="S108" s="123"/>
      <c r="T108" s="46">
        <f t="shared" si="67"/>
        <v>184936.5</v>
      </c>
      <c r="U108" s="46">
        <f t="shared" si="68"/>
        <v>184936.5</v>
      </c>
    </row>
    <row r="109" spans="1:24">
      <c r="A109" s="305"/>
      <c r="B109" s="306"/>
      <c r="C109" s="63" t="s">
        <v>166</v>
      </c>
      <c r="D109" s="64" t="s">
        <v>101</v>
      </c>
      <c r="E109" s="59">
        <v>24</v>
      </c>
      <c r="F109" s="59">
        <v>24</v>
      </c>
      <c r="G109" s="59">
        <v>24</v>
      </c>
      <c r="H109" s="59">
        <v>24</v>
      </c>
      <c r="I109" s="59">
        <v>24</v>
      </c>
      <c r="J109" s="75">
        <f>K109</f>
        <v>66361.320000000007</v>
      </c>
      <c r="K109" s="75">
        <v>66361.320000000007</v>
      </c>
      <c r="L109" s="59" t="s">
        <v>104</v>
      </c>
      <c r="M109" s="123" t="s">
        <v>104</v>
      </c>
      <c r="N109" s="203">
        <f>O109</f>
        <v>1592671.6800000002</v>
      </c>
      <c r="O109" s="203">
        <f t="shared" si="69"/>
        <v>1592671.6800000002</v>
      </c>
      <c r="P109" s="123" t="s">
        <v>104</v>
      </c>
      <c r="Q109" s="123"/>
      <c r="R109" s="123" t="s">
        <v>104</v>
      </c>
      <c r="S109" s="123"/>
      <c r="T109" s="46">
        <f>H109*K109</f>
        <v>1592671.6800000002</v>
      </c>
      <c r="U109" s="46">
        <f>I109*K109</f>
        <v>1592671.6800000002</v>
      </c>
    </row>
    <row r="110" spans="1:24">
      <c r="A110" s="305"/>
      <c r="B110" s="306"/>
      <c r="C110" s="63" t="s">
        <v>167</v>
      </c>
      <c r="D110" s="64" t="s">
        <v>101</v>
      </c>
      <c r="E110" s="59">
        <v>1</v>
      </c>
      <c r="F110" s="59">
        <v>1</v>
      </c>
      <c r="G110" s="59">
        <v>1</v>
      </c>
      <c r="H110" s="59">
        <v>1</v>
      </c>
      <c r="I110" s="59">
        <v>1</v>
      </c>
      <c r="J110" s="75">
        <f>K110</f>
        <v>174890.83</v>
      </c>
      <c r="K110" s="75">
        <v>174890.83</v>
      </c>
      <c r="L110" s="59" t="s">
        <v>104</v>
      </c>
      <c r="M110" s="123" t="s">
        <v>104</v>
      </c>
      <c r="N110" s="203">
        <f>O110</f>
        <v>174890.83</v>
      </c>
      <c r="O110" s="203">
        <f t="shared" si="69"/>
        <v>174890.83</v>
      </c>
      <c r="P110" s="123" t="s">
        <v>104</v>
      </c>
      <c r="Q110" s="123"/>
      <c r="R110" s="123" t="s">
        <v>104</v>
      </c>
      <c r="S110" s="123"/>
      <c r="T110" s="46">
        <f>H110*K110</f>
        <v>174890.83</v>
      </c>
      <c r="U110" s="46">
        <f>I110*K110</f>
        <v>174890.83</v>
      </c>
    </row>
    <row r="111" spans="1:24">
      <c r="A111" s="305"/>
      <c r="B111" s="306"/>
      <c r="C111" s="63" t="s">
        <v>170</v>
      </c>
      <c r="D111" s="64" t="s">
        <v>101</v>
      </c>
      <c r="E111" s="59">
        <v>1</v>
      </c>
      <c r="F111" s="59">
        <v>1</v>
      </c>
      <c r="G111" s="59">
        <v>1</v>
      </c>
      <c r="H111" s="59">
        <v>1</v>
      </c>
      <c r="I111" s="59">
        <v>1</v>
      </c>
      <c r="J111" s="75">
        <f t="shared" ref="J111:J112" si="70">K111</f>
        <v>99648.29</v>
      </c>
      <c r="K111" s="75">
        <v>99648.29</v>
      </c>
      <c r="L111" s="59" t="s">
        <v>104</v>
      </c>
      <c r="M111" s="123" t="s">
        <v>104</v>
      </c>
      <c r="N111" s="203">
        <f t="shared" ref="N111:N112" si="71">O111</f>
        <v>99648.29</v>
      </c>
      <c r="O111" s="203">
        <f t="shared" si="69"/>
        <v>99648.29</v>
      </c>
      <c r="P111" s="123" t="s">
        <v>104</v>
      </c>
      <c r="Q111" s="123"/>
      <c r="R111" s="123" t="s">
        <v>104</v>
      </c>
      <c r="S111" s="123"/>
      <c r="T111" s="46">
        <f t="shared" ref="T111:T112" si="72">H111*K111</f>
        <v>99648.29</v>
      </c>
      <c r="U111" s="46">
        <f t="shared" ref="U111:U112" si="73">I111*K111</f>
        <v>99648.29</v>
      </c>
    </row>
    <row r="112" spans="1:24">
      <c r="A112" s="305"/>
      <c r="B112" s="306"/>
      <c r="C112" s="63" t="s">
        <v>168</v>
      </c>
      <c r="D112" s="64" t="s">
        <v>101</v>
      </c>
      <c r="E112" s="59">
        <v>1</v>
      </c>
      <c r="F112" s="59">
        <v>1</v>
      </c>
      <c r="G112" s="59">
        <v>1</v>
      </c>
      <c r="H112" s="59">
        <v>1</v>
      </c>
      <c r="I112" s="59">
        <v>1</v>
      </c>
      <c r="J112" s="75">
        <f t="shared" si="70"/>
        <v>23553.439999999999</v>
      </c>
      <c r="K112" s="75">
        <v>23553.439999999999</v>
      </c>
      <c r="L112" s="59" t="s">
        <v>104</v>
      </c>
      <c r="M112" s="123" t="s">
        <v>104</v>
      </c>
      <c r="N112" s="203">
        <f t="shared" si="71"/>
        <v>23553.439999999999</v>
      </c>
      <c r="O112" s="203">
        <f t="shared" si="69"/>
        <v>23553.439999999999</v>
      </c>
      <c r="P112" s="123" t="s">
        <v>104</v>
      </c>
      <c r="Q112" s="123"/>
      <c r="R112" s="123" t="s">
        <v>104</v>
      </c>
      <c r="S112" s="123"/>
      <c r="T112" s="46">
        <f t="shared" si="72"/>
        <v>23553.439999999999</v>
      </c>
      <c r="U112" s="46">
        <f t="shared" si="73"/>
        <v>23553.439999999999</v>
      </c>
    </row>
    <row r="113" spans="1:21" ht="82.8">
      <c r="A113" s="305"/>
      <c r="B113" s="306"/>
      <c r="C113" s="61" t="s">
        <v>105</v>
      </c>
      <c r="D113" s="64" t="s">
        <v>101</v>
      </c>
      <c r="E113" s="59">
        <v>5</v>
      </c>
      <c r="F113" s="59">
        <v>5</v>
      </c>
      <c r="G113" s="59">
        <v>5</v>
      </c>
      <c r="H113" s="59">
        <v>5</v>
      </c>
      <c r="I113" s="59">
        <v>5</v>
      </c>
      <c r="J113" s="75">
        <f>SUM(K113:M113)</f>
        <v>140182.94447506001</v>
      </c>
      <c r="K113" s="75">
        <f>121412.92+1329.32</f>
        <v>122742.24</v>
      </c>
      <c r="L113" s="72">
        <f>4001.99*2.411294</f>
        <v>9649.9744750599984</v>
      </c>
      <c r="M113" s="202">
        <v>7790.73</v>
      </c>
      <c r="N113" s="203">
        <f>SUM(O113:R113)</f>
        <v>700914.72237530013</v>
      </c>
      <c r="O113" s="203">
        <f>G113*K113</f>
        <v>613711.20000000007</v>
      </c>
      <c r="P113" s="203">
        <f>G113*L113</f>
        <v>48249.872375299994</v>
      </c>
      <c r="Q113" s="203"/>
      <c r="R113" s="46">
        <f>G113*M113</f>
        <v>38953.649999999994</v>
      </c>
      <c r="S113" s="46"/>
      <c r="T113" s="46">
        <f t="shared" si="9"/>
        <v>700914.72237530001</v>
      </c>
      <c r="U113" s="46">
        <f t="shared" si="6"/>
        <v>700914.72237530001</v>
      </c>
    </row>
    <row r="114" spans="1:21">
      <c r="A114" s="305"/>
      <c r="B114" s="306"/>
      <c r="C114" s="66" t="s">
        <v>106</v>
      </c>
      <c r="D114" s="67"/>
      <c r="E114" s="59">
        <f>E104+E113</f>
        <v>211</v>
      </c>
      <c r="F114" s="59">
        <f t="shared" ref="F114:I114" si="74">F104+F113</f>
        <v>211</v>
      </c>
      <c r="G114" s="59">
        <f t="shared" si="74"/>
        <v>211</v>
      </c>
      <c r="H114" s="59">
        <f t="shared" si="74"/>
        <v>211</v>
      </c>
      <c r="I114" s="59">
        <f t="shared" si="74"/>
        <v>211</v>
      </c>
      <c r="J114" s="71" t="s">
        <v>104</v>
      </c>
      <c r="K114" s="71" t="s">
        <v>104</v>
      </c>
      <c r="L114" s="71" t="s">
        <v>104</v>
      </c>
      <c r="M114" s="203" t="s">
        <v>104</v>
      </c>
      <c r="N114" s="203">
        <f>SUM(N104:N113)</f>
        <v>11300923.364237659</v>
      </c>
      <c r="O114" s="203">
        <f>SUM(O104:O113)</f>
        <v>7620934.6300000018</v>
      </c>
      <c r="P114" s="203">
        <f>SUM(P104:P113)</f>
        <v>2036144.7042376597</v>
      </c>
      <c r="Q114" s="203"/>
      <c r="R114" s="203">
        <f t="shared" ref="R114" si="75">SUM(R104:R113)</f>
        <v>1643844.0299999998</v>
      </c>
      <c r="S114" s="203"/>
      <c r="T114" s="203">
        <f>N114</f>
        <v>11300923.364237659</v>
      </c>
      <c r="U114" s="203">
        <f>T114</f>
        <v>11300923.364237659</v>
      </c>
    </row>
    <row r="115" spans="1:21" ht="82.8">
      <c r="A115" s="305"/>
      <c r="B115" s="306" t="s">
        <v>239</v>
      </c>
      <c r="C115" s="61" t="s">
        <v>100</v>
      </c>
      <c r="D115" s="62" t="s">
        <v>101</v>
      </c>
      <c r="E115" s="59">
        <v>238</v>
      </c>
      <c r="F115" s="59">
        <v>238</v>
      </c>
      <c r="G115" s="59">
        <v>238</v>
      </c>
      <c r="H115" s="59">
        <v>238</v>
      </c>
      <c r="I115" s="59">
        <v>238</v>
      </c>
      <c r="J115" s="107">
        <f>SUM(K115:M115)</f>
        <v>53409.174475060005</v>
      </c>
      <c r="K115" s="107">
        <f>34346.05+1622.42</f>
        <v>35968.47</v>
      </c>
      <c r="L115" s="70">
        <f>4001.99*2.411294</f>
        <v>9649.9744750599984</v>
      </c>
      <c r="M115" s="202">
        <v>7790.73</v>
      </c>
      <c r="N115" s="203">
        <f>SUM(O115:R115)</f>
        <v>12711383.52506428</v>
      </c>
      <c r="O115" s="203">
        <f>G115*K115</f>
        <v>8560495.8599999994</v>
      </c>
      <c r="P115" s="203">
        <f>G115*L115</f>
        <v>2296693.9250642797</v>
      </c>
      <c r="Q115" s="203"/>
      <c r="R115" s="46">
        <f>G115*M115</f>
        <v>1854193.74</v>
      </c>
      <c r="S115" s="46"/>
      <c r="T115" s="46">
        <f t="shared" si="9"/>
        <v>12711383.52506428</v>
      </c>
      <c r="U115" s="46">
        <f t="shared" si="6"/>
        <v>12711383.52506428</v>
      </c>
    </row>
    <row r="116" spans="1:21" ht="82.8">
      <c r="A116" s="305"/>
      <c r="B116" s="306"/>
      <c r="C116" s="63" t="s">
        <v>163</v>
      </c>
      <c r="D116" s="64" t="s">
        <v>101</v>
      </c>
      <c r="E116" s="59" t="s">
        <v>104</v>
      </c>
      <c r="F116" s="59" t="s">
        <v>104</v>
      </c>
      <c r="G116" s="59" t="s">
        <v>104</v>
      </c>
      <c r="H116" s="59" t="s">
        <v>104</v>
      </c>
      <c r="I116" s="59" t="s">
        <v>104</v>
      </c>
      <c r="J116" s="59" t="s">
        <v>104</v>
      </c>
      <c r="K116" s="59" t="s">
        <v>104</v>
      </c>
      <c r="L116" s="59" t="s">
        <v>104</v>
      </c>
      <c r="M116" s="123" t="s">
        <v>104</v>
      </c>
      <c r="N116" s="203"/>
      <c r="O116" s="203"/>
      <c r="P116" s="123" t="s">
        <v>104</v>
      </c>
      <c r="Q116" s="123"/>
      <c r="R116" s="123" t="s">
        <v>104</v>
      </c>
      <c r="S116" s="123"/>
      <c r="T116" s="46"/>
      <c r="U116" s="46"/>
    </row>
    <row r="117" spans="1:21">
      <c r="A117" s="305"/>
      <c r="B117" s="306"/>
      <c r="C117" s="63" t="s">
        <v>164</v>
      </c>
      <c r="D117" s="64" t="s">
        <v>101</v>
      </c>
      <c r="E117" s="60">
        <v>2</v>
      </c>
      <c r="F117" s="60">
        <v>2</v>
      </c>
      <c r="G117" s="60">
        <v>2</v>
      </c>
      <c r="H117" s="60">
        <v>2</v>
      </c>
      <c r="I117" s="60">
        <v>2</v>
      </c>
      <c r="J117" s="75">
        <f>K117</f>
        <v>25589.72</v>
      </c>
      <c r="K117" s="75">
        <v>25589.72</v>
      </c>
      <c r="L117" s="59" t="s">
        <v>104</v>
      </c>
      <c r="M117" s="123" t="s">
        <v>104</v>
      </c>
      <c r="N117" s="203">
        <f>O117</f>
        <v>51179.44</v>
      </c>
      <c r="O117" s="203">
        <f>G117*K117</f>
        <v>51179.44</v>
      </c>
      <c r="P117" s="123" t="s">
        <v>104</v>
      </c>
      <c r="Q117" s="123"/>
      <c r="R117" s="123" t="s">
        <v>104</v>
      </c>
      <c r="S117" s="123"/>
      <c r="T117" s="46">
        <f>H117*K117</f>
        <v>51179.44</v>
      </c>
      <c r="U117" s="46">
        <f t="shared" ref="U117:U121" si="76">I117*K117</f>
        <v>51179.44</v>
      </c>
    </row>
    <row r="118" spans="1:21">
      <c r="A118" s="305"/>
      <c r="B118" s="306"/>
      <c r="C118" s="63" t="s">
        <v>165</v>
      </c>
      <c r="D118" s="64" t="s">
        <v>101</v>
      </c>
      <c r="E118" s="60">
        <v>2</v>
      </c>
      <c r="F118" s="60">
        <v>2</v>
      </c>
      <c r="G118" s="60">
        <v>2</v>
      </c>
      <c r="H118" s="60">
        <v>2</v>
      </c>
      <c r="I118" s="60">
        <v>2</v>
      </c>
      <c r="J118" s="75">
        <f t="shared" ref="J118:J121" si="77">K118</f>
        <v>92468.25</v>
      </c>
      <c r="K118" s="75">
        <v>92468.25</v>
      </c>
      <c r="L118" s="59" t="s">
        <v>104</v>
      </c>
      <c r="M118" s="123" t="s">
        <v>104</v>
      </c>
      <c r="N118" s="203">
        <f t="shared" ref="N118:N121" si="78">O118</f>
        <v>184936.5</v>
      </c>
      <c r="O118" s="203">
        <f t="shared" ref="O118:O121" si="79">G118*K118</f>
        <v>184936.5</v>
      </c>
      <c r="P118" s="123" t="s">
        <v>104</v>
      </c>
      <c r="Q118" s="123"/>
      <c r="R118" s="123" t="s">
        <v>104</v>
      </c>
      <c r="S118" s="123"/>
      <c r="T118" s="46">
        <f t="shared" ref="T118:T121" si="80">H118*K118</f>
        <v>184936.5</v>
      </c>
      <c r="U118" s="46">
        <f t="shared" si="76"/>
        <v>184936.5</v>
      </c>
    </row>
    <row r="119" spans="1:21">
      <c r="A119" s="305"/>
      <c r="B119" s="306"/>
      <c r="C119" s="63" t="s">
        <v>167</v>
      </c>
      <c r="D119" s="64" t="s">
        <v>101</v>
      </c>
      <c r="E119" s="60">
        <v>2</v>
      </c>
      <c r="F119" s="60">
        <v>2</v>
      </c>
      <c r="G119" s="60">
        <v>2</v>
      </c>
      <c r="H119" s="60">
        <v>2</v>
      </c>
      <c r="I119" s="60">
        <v>2</v>
      </c>
      <c r="J119" s="75">
        <f t="shared" si="77"/>
        <v>266106.15000000002</v>
      </c>
      <c r="K119" s="75">
        <v>266106.15000000002</v>
      </c>
      <c r="L119" s="59"/>
      <c r="M119" s="123"/>
      <c r="N119" s="203">
        <f t="shared" si="78"/>
        <v>532212.30000000005</v>
      </c>
      <c r="O119" s="203">
        <f t="shared" si="79"/>
        <v>532212.30000000005</v>
      </c>
      <c r="P119" s="123" t="s">
        <v>104</v>
      </c>
      <c r="Q119" s="123"/>
      <c r="R119" s="123"/>
      <c r="S119" s="123"/>
      <c r="T119" s="46">
        <f t="shared" si="80"/>
        <v>532212.30000000005</v>
      </c>
      <c r="U119" s="46">
        <f t="shared" si="76"/>
        <v>532212.30000000005</v>
      </c>
    </row>
    <row r="120" spans="1:21">
      <c r="A120" s="305"/>
      <c r="B120" s="306"/>
      <c r="C120" s="63" t="s">
        <v>170</v>
      </c>
      <c r="D120" s="64" t="s">
        <v>101</v>
      </c>
      <c r="E120" s="60">
        <v>1</v>
      </c>
      <c r="F120" s="60">
        <v>1</v>
      </c>
      <c r="G120" s="60">
        <v>1</v>
      </c>
      <c r="H120" s="60">
        <v>1</v>
      </c>
      <c r="I120" s="60">
        <v>1</v>
      </c>
      <c r="J120" s="75">
        <f t="shared" si="77"/>
        <v>32769.75</v>
      </c>
      <c r="K120" s="75">
        <v>32769.75</v>
      </c>
      <c r="L120" s="59"/>
      <c r="M120" s="123"/>
      <c r="N120" s="203">
        <f t="shared" si="78"/>
        <v>32769.75</v>
      </c>
      <c r="O120" s="203">
        <f t="shared" si="79"/>
        <v>32769.75</v>
      </c>
      <c r="P120" s="123" t="s">
        <v>104</v>
      </c>
      <c r="Q120" s="123"/>
      <c r="R120" s="123"/>
      <c r="S120" s="123"/>
      <c r="T120" s="46">
        <f t="shared" si="80"/>
        <v>32769.75</v>
      </c>
      <c r="U120" s="46">
        <f t="shared" si="76"/>
        <v>32769.75</v>
      </c>
    </row>
    <row r="121" spans="1:21">
      <c r="A121" s="305"/>
      <c r="B121" s="306"/>
      <c r="C121" s="63" t="s">
        <v>168</v>
      </c>
      <c r="D121" s="64" t="s">
        <v>101</v>
      </c>
      <c r="E121" s="60">
        <v>1</v>
      </c>
      <c r="F121" s="60">
        <v>1</v>
      </c>
      <c r="G121" s="60">
        <v>1</v>
      </c>
      <c r="H121" s="60">
        <v>1</v>
      </c>
      <c r="I121" s="60">
        <v>1</v>
      </c>
      <c r="J121" s="75">
        <f t="shared" si="77"/>
        <v>23553.439999999999</v>
      </c>
      <c r="K121" s="75">
        <v>23553.439999999999</v>
      </c>
      <c r="L121" s="59" t="s">
        <v>104</v>
      </c>
      <c r="M121" s="123" t="s">
        <v>104</v>
      </c>
      <c r="N121" s="203">
        <f t="shared" si="78"/>
        <v>23553.439999999999</v>
      </c>
      <c r="O121" s="203">
        <f t="shared" si="79"/>
        <v>23553.439999999999</v>
      </c>
      <c r="P121" s="123" t="s">
        <v>104</v>
      </c>
      <c r="Q121" s="123"/>
      <c r="R121" s="123" t="s">
        <v>104</v>
      </c>
      <c r="S121" s="123"/>
      <c r="T121" s="46">
        <f t="shared" si="80"/>
        <v>23553.439999999999</v>
      </c>
      <c r="U121" s="46">
        <f t="shared" si="76"/>
        <v>23553.439999999999</v>
      </c>
    </row>
    <row r="122" spans="1:21" ht="82.8">
      <c r="A122" s="305"/>
      <c r="B122" s="306"/>
      <c r="C122" s="61" t="s">
        <v>105</v>
      </c>
      <c r="D122" s="64" t="s">
        <v>101</v>
      </c>
      <c r="E122" s="60">
        <v>1</v>
      </c>
      <c r="F122" s="60">
        <v>1</v>
      </c>
      <c r="G122" s="60">
        <v>1</v>
      </c>
      <c r="H122" s="60">
        <v>1</v>
      </c>
      <c r="I122" s="60">
        <v>1</v>
      </c>
      <c r="J122" s="75">
        <f>SUM(K122:M122)</f>
        <v>170470.75447506004</v>
      </c>
      <c r="K122" s="75">
        <f>151407.63+1622.42</f>
        <v>153030.05000000002</v>
      </c>
      <c r="L122" s="72">
        <f>4001.99*2.411294</f>
        <v>9649.9744750599984</v>
      </c>
      <c r="M122" s="202">
        <v>7790.73</v>
      </c>
      <c r="N122" s="201">
        <f>SUM(O122:R122)</f>
        <v>170470.75447506004</v>
      </c>
      <c r="O122" s="201">
        <f>G122*K122</f>
        <v>153030.05000000002</v>
      </c>
      <c r="P122" s="201">
        <f>G122*L122</f>
        <v>9649.9744750599984</v>
      </c>
      <c r="Q122" s="201"/>
      <c r="R122" s="46">
        <f>G122*M122</f>
        <v>7790.73</v>
      </c>
      <c r="S122" s="46"/>
      <c r="T122" s="46">
        <f t="shared" si="9"/>
        <v>170470.75447506004</v>
      </c>
      <c r="U122" s="46">
        <f t="shared" si="6"/>
        <v>170470.75447506004</v>
      </c>
    </row>
    <row r="123" spans="1:21">
      <c r="A123" s="305"/>
      <c r="B123" s="192"/>
      <c r="C123" s="66" t="s">
        <v>106</v>
      </c>
      <c r="D123" s="64"/>
      <c r="E123" s="60">
        <f>E115+E122</f>
        <v>239</v>
      </c>
      <c r="F123" s="60">
        <f t="shared" ref="F123:I123" si="81">F115+F122</f>
        <v>239</v>
      </c>
      <c r="G123" s="60">
        <f t="shared" si="81"/>
        <v>239</v>
      </c>
      <c r="H123" s="60">
        <f t="shared" si="81"/>
        <v>239</v>
      </c>
      <c r="I123" s="60">
        <f t="shared" si="81"/>
        <v>239</v>
      </c>
      <c r="J123" s="73" t="s">
        <v>104</v>
      </c>
      <c r="K123" s="73" t="s">
        <v>104</v>
      </c>
      <c r="L123" s="73" t="s">
        <v>104</v>
      </c>
      <c r="M123" s="201" t="s">
        <v>104</v>
      </c>
      <c r="N123" s="207">
        <f>SUM(N115:N122)</f>
        <v>13706505.709539341</v>
      </c>
      <c r="O123" s="207">
        <f>SUM(O115:O122)</f>
        <v>9538177.3399999999</v>
      </c>
      <c r="P123" s="207">
        <f>SUM(P115:P122)</f>
        <v>2306343.8995393398</v>
      </c>
      <c r="Q123" s="207"/>
      <c r="R123" s="207">
        <f t="shared" ref="R123:U123" si="82">SUM(R115:R122)</f>
        <v>1861984.47</v>
      </c>
      <c r="S123" s="207"/>
      <c r="T123" s="207">
        <f t="shared" si="82"/>
        <v>13706505.709539341</v>
      </c>
      <c r="U123" s="207">
        <f t="shared" si="82"/>
        <v>13706505.709539341</v>
      </c>
    </row>
    <row r="124" spans="1:21" ht="82.8">
      <c r="A124" s="305"/>
      <c r="B124" s="306" t="s">
        <v>240</v>
      </c>
      <c r="C124" s="61" t="s">
        <v>100</v>
      </c>
      <c r="D124" s="62" t="s">
        <v>101</v>
      </c>
      <c r="E124" s="60">
        <v>33</v>
      </c>
      <c r="F124" s="60">
        <v>33</v>
      </c>
      <c r="G124" s="60">
        <v>33</v>
      </c>
      <c r="H124" s="60">
        <v>33</v>
      </c>
      <c r="I124" s="60">
        <v>33</v>
      </c>
      <c r="J124" s="107">
        <f>SUM(K124:M124)</f>
        <v>60511.614475060007</v>
      </c>
      <c r="K124" s="107">
        <f>41105.12+1965.79</f>
        <v>43070.91</v>
      </c>
      <c r="L124" s="70">
        <f>4001.99*2.411294</f>
        <v>9649.9744750599984</v>
      </c>
      <c r="M124" s="202">
        <v>7790.73</v>
      </c>
      <c r="N124" s="201">
        <f>SUM(O124:R124)</f>
        <v>1996883.51767698</v>
      </c>
      <c r="O124" s="201">
        <f>G124*K124</f>
        <v>1421340.03</v>
      </c>
      <c r="P124" s="201">
        <f>G124*L124+0.24</f>
        <v>318449.39767697995</v>
      </c>
      <c r="Q124" s="201"/>
      <c r="R124" s="46">
        <f>G124*M124</f>
        <v>257094.09</v>
      </c>
      <c r="S124" s="46"/>
      <c r="T124" s="46">
        <f>N124</f>
        <v>1996883.51767698</v>
      </c>
      <c r="U124" s="46">
        <f>T124</f>
        <v>1996883.51767698</v>
      </c>
    </row>
    <row r="125" spans="1:21" ht="82.8">
      <c r="A125" s="305"/>
      <c r="B125" s="306"/>
      <c r="C125" s="63" t="s">
        <v>163</v>
      </c>
      <c r="D125" s="64" t="s">
        <v>101</v>
      </c>
      <c r="E125" s="59" t="s">
        <v>104</v>
      </c>
      <c r="F125" s="59" t="s">
        <v>104</v>
      </c>
      <c r="G125" s="59" t="s">
        <v>104</v>
      </c>
      <c r="H125" s="59" t="s">
        <v>104</v>
      </c>
      <c r="I125" s="59" t="s">
        <v>104</v>
      </c>
      <c r="J125" s="59" t="s">
        <v>104</v>
      </c>
      <c r="K125" s="59" t="s">
        <v>104</v>
      </c>
      <c r="L125" s="59" t="s">
        <v>104</v>
      </c>
      <c r="M125" s="123" t="s">
        <v>104</v>
      </c>
      <c r="N125" s="203"/>
      <c r="O125" s="203"/>
      <c r="P125" s="123" t="s">
        <v>104</v>
      </c>
      <c r="Q125" s="123"/>
      <c r="R125" s="123" t="s">
        <v>104</v>
      </c>
      <c r="S125" s="123"/>
      <c r="T125" s="46"/>
      <c r="U125" s="46"/>
    </row>
    <row r="126" spans="1:21">
      <c r="A126" s="305"/>
      <c r="B126" s="306"/>
      <c r="C126" s="63" t="s">
        <v>165</v>
      </c>
      <c r="D126" s="64" t="s">
        <v>101</v>
      </c>
      <c r="E126" s="60">
        <v>0</v>
      </c>
      <c r="F126" s="60"/>
      <c r="G126" s="59">
        <f t="shared" ref="G126:G127" si="83">((E126*8)+(F126*4))/12</f>
        <v>0</v>
      </c>
      <c r="H126" s="60">
        <v>0</v>
      </c>
      <c r="I126" s="60">
        <v>0</v>
      </c>
      <c r="J126" s="75">
        <f>K126</f>
        <v>92468.25</v>
      </c>
      <c r="K126" s="75">
        <v>92468.25</v>
      </c>
      <c r="L126" s="59" t="s">
        <v>104</v>
      </c>
      <c r="M126" s="123" t="s">
        <v>104</v>
      </c>
      <c r="N126" s="203">
        <f>O126</f>
        <v>0</v>
      </c>
      <c r="O126" s="203">
        <f>G126*K126</f>
        <v>0</v>
      </c>
      <c r="P126" s="123" t="s">
        <v>104</v>
      </c>
      <c r="Q126" s="123"/>
      <c r="R126" s="123" t="s">
        <v>104</v>
      </c>
      <c r="S126" s="123"/>
      <c r="T126" s="46">
        <f>H126*K126</f>
        <v>0</v>
      </c>
      <c r="U126" s="46">
        <f>I126*K126</f>
        <v>0</v>
      </c>
    </row>
    <row r="127" spans="1:21" ht="82.8">
      <c r="A127" s="305"/>
      <c r="B127" s="306"/>
      <c r="C127" s="61" t="s">
        <v>105</v>
      </c>
      <c r="D127" s="64" t="s">
        <v>101</v>
      </c>
      <c r="E127" s="60"/>
      <c r="F127" s="60">
        <v>0</v>
      </c>
      <c r="G127" s="157">
        <f t="shared" si="83"/>
        <v>0</v>
      </c>
      <c r="H127" s="60">
        <v>0</v>
      </c>
      <c r="I127" s="60">
        <v>0</v>
      </c>
      <c r="J127" s="75">
        <f>SUM(K127:M127)</f>
        <v>200808.84447506003</v>
      </c>
      <c r="K127" s="75">
        <f>181402.35+1965.79</f>
        <v>183368.14</v>
      </c>
      <c r="L127" s="72">
        <f>4001.99*2.411294</f>
        <v>9649.9744750599984</v>
      </c>
      <c r="M127" s="202">
        <v>7790.73</v>
      </c>
      <c r="N127" s="201"/>
      <c r="O127" s="201">
        <f>K127*G127</f>
        <v>0</v>
      </c>
      <c r="P127" s="201">
        <f>L127*G127</f>
        <v>0</v>
      </c>
      <c r="Q127" s="201"/>
      <c r="R127" s="201"/>
      <c r="S127" s="201"/>
      <c r="T127" s="46">
        <f t="shared" si="9"/>
        <v>0</v>
      </c>
      <c r="U127" s="46">
        <f t="shared" si="6"/>
        <v>0</v>
      </c>
    </row>
    <row r="128" spans="1:21">
      <c r="A128" s="305"/>
      <c r="B128" s="192"/>
      <c r="C128" s="66" t="s">
        <v>106</v>
      </c>
      <c r="D128" s="64"/>
      <c r="E128" s="60">
        <f>E124+E127</f>
        <v>33</v>
      </c>
      <c r="F128" s="60">
        <f t="shared" ref="F128:I128" si="84">F124+F127</f>
        <v>33</v>
      </c>
      <c r="G128" s="60">
        <f t="shared" si="84"/>
        <v>33</v>
      </c>
      <c r="H128" s="60">
        <f t="shared" si="84"/>
        <v>33</v>
      </c>
      <c r="I128" s="60">
        <f t="shared" si="84"/>
        <v>33</v>
      </c>
      <c r="J128" s="73" t="s">
        <v>104</v>
      </c>
      <c r="K128" s="73" t="s">
        <v>104</v>
      </c>
      <c r="L128" s="73" t="s">
        <v>104</v>
      </c>
      <c r="M128" s="201" t="s">
        <v>104</v>
      </c>
      <c r="N128" s="207">
        <f>SUM(N124:N127)</f>
        <v>1996883.51767698</v>
      </c>
      <c r="O128" s="207">
        <f>SUM(O124:O127)</f>
        <v>1421340.03</v>
      </c>
      <c r="P128" s="207">
        <f>SUM(P124:P127)</f>
        <v>318449.39767697995</v>
      </c>
      <c r="Q128" s="207"/>
      <c r="R128" s="207">
        <f t="shared" ref="R128:U128" si="85">SUM(R124:R127)</f>
        <v>257094.09</v>
      </c>
      <c r="S128" s="207"/>
      <c r="T128" s="207">
        <f t="shared" si="85"/>
        <v>1996883.51767698</v>
      </c>
      <c r="U128" s="207">
        <f t="shared" si="85"/>
        <v>1996883.51767698</v>
      </c>
    </row>
    <row r="129" spans="1:24" ht="102" customHeight="1">
      <c r="A129" s="305"/>
      <c r="B129" s="137" t="s">
        <v>241</v>
      </c>
      <c r="C129" s="61" t="s">
        <v>187</v>
      </c>
      <c r="D129" s="64" t="s">
        <v>101</v>
      </c>
      <c r="E129" s="60">
        <v>450</v>
      </c>
      <c r="F129" s="60">
        <v>450</v>
      </c>
      <c r="G129" s="60">
        <v>450</v>
      </c>
      <c r="H129" s="60">
        <v>450</v>
      </c>
      <c r="I129" s="60">
        <v>450</v>
      </c>
      <c r="J129" s="75">
        <f>K129</f>
        <v>3268.55</v>
      </c>
      <c r="K129" s="75">
        <v>3268.55</v>
      </c>
      <c r="L129" s="73" t="s">
        <v>104</v>
      </c>
      <c r="M129" s="201" t="s">
        <v>104</v>
      </c>
      <c r="N129" s="201">
        <f>SUM(O129:R129)</f>
        <v>1470847</v>
      </c>
      <c r="O129" s="201">
        <f>G129*K129-0.5</f>
        <v>1470847</v>
      </c>
      <c r="P129" s="201" t="s">
        <v>104</v>
      </c>
      <c r="Q129" s="201"/>
      <c r="R129" s="201" t="s">
        <v>104</v>
      </c>
      <c r="S129" s="201"/>
      <c r="T129" s="46">
        <f>N129</f>
        <v>1470847</v>
      </c>
      <c r="U129" s="46">
        <f t="shared" ref="U129:U135" si="86">T129</f>
        <v>1470847</v>
      </c>
    </row>
    <row r="130" spans="1:24">
      <c r="A130" s="305"/>
      <c r="B130" s="69"/>
      <c r="C130" s="66" t="s">
        <v>106</v>
      </c>
      <c r="D130" s="69"/>
      <c r="E130" s="60">
        <f>SUM(E129:E129)</f>
        <v>450</v>
      </c>
      <c r="F130" s="60">
        <f>SUM(F129:F129)</f>
        <v>450</v>
      </c>
      <c r="G130" s="60">
        <f>SUM(G129:G129)</f>
        <v>450</v>
      </c>
      <c r="H130" s="60">
        <f>SUM(H129:H129)</f>
        <v>450</v>
      </c>
      <c r="I130" s="60">
        <f>SUM(I129:I129)</f>
        <v>450</v>
      </c>
      <c r="J130" s="73" t="s">
        <v>104</v>
      </c>
      <c r="K130" s="73" t="s">
        <v>104</v>
      </c>
      <c r="L130" s="73" t="s">
        <v>104</v>
      </c>
      <c r="M130" s="207">
        <f t="shared" ref="M130:R130" si="87">SUM(M129:M129)</f>
        <v>0</v>
      </c>
      <c r="N130" s="207">
        <f>SUM(N129:N129)</f>
        <v>1470847</v>
      </c>
      <c r="O130" s="207">
        <f t="shared" si="87"/>
        <v>1470847</v>
      </c>
      <c r="P130" s="207">
        <f t="shared" si="87"/>
        <v>0</v>
      </c>
      <c r="Q130" s="207"/>
      <c r="R130" s="207">
        <f t="shared" si="87"/>
        <v>0</v>
      </c>
      <c r="S130" s="207"/>
      <c r="T130" s="46">
        <f>N130</f>
        <v>1470847</v>
      </c>
      <c r="U130" s="46">
        <f t="shared" si="86"/>
        <v>1470847</v>
      </c>
      <c r="V130" s="85">
        <f>T114+T123+T128+T130+T131+T132</f>
        <v>30589544.591453977</v>
      </c>
    </row>
    <row r="131" spans="1:24">
      <c r="A131" s="305"/>
      <c r="B131" s="69" t="s">
        <v>300</v>
      </c>
      <c r="C131" s="184" t="s">
        <v>226</v>
      </c>
      <c r="D131" s="69"/>
      <c r="E131" s="60"/>
      <c r="F131" s="60"/>
      <c r="G131" s="60"/>
      <c r="H131" s="60"/>
      <c r="I131" s="60"/>
      <c r="J131" s="73"/>
      <c r="K131" s="73"/>
      <c r="L131" s="73"/>
      <c r="M131" s="207"/>
      <c r="N131" s="207">
        <f>P131</f>
        <v>88052</v>
      </c>
      <c r="O131" s="207"/>
      <c r="P131" s="207">
        <v>88052</v>
      </c>
      <c r="Q131" s="207"/>
      <c r="R131" s="207"/>
      <c r="S131" s="207"/>
      <c r="T131" s="46">
        <f>P131</f>
        <v>88052</v>
      </c>
      <c r="U131" s="46">
        <f t="shared" si="86"/>
        <v>88052</v>
      </c>
      <c r="V131" s="85">
        <f>N114+N123+N128+N130+N131</f>
        <v>28563211.591453977</v>
      </c>
    </row>
    <row r="132" spans="1:24">
      <c r="A132" s="305"/>
      <c r="B132" s="89" t="s">
        <v>225</v>
      </c>
      <c r="C132" s="184" t="s">
        <v>219</v>
      </c>
      <c r="D132" s="64" t="s">
        <v>101</v>
      </c>
      <c r="E132" s="60"/>
      <c r="F132" s="60"/>
      <c r="G132" s="60">
        <v>14</v>
      </c>
      <c r="H132" s="60">
        <v>14</v>
      </c>
      <c r="I132" s="60">
        <v>14</v>
      </c>
      <c r="J132" s="73"/>
      <c r="K132" s="73"/>
      <c r="L132" s="73"/>
      <c r="M132" s="207"/>
      <c r="N132" s="207">
        <f>S132</f>
        <v>2026333</v>
      </c>
      <c r="O132" s="207"/>
      <c r="P132" s="207"/>
      <c r="Q132" s="207"/>
      <c r="R132" s="207"/>
      <c r="S132" s="207">
        <v>2026333</v>
      </c>
      <c r="T132" s="46">
        <f>S132</f>
        <v>2026333</v>
      </c>
      <c r="U132" s="46">
        <f t="shared" si="86"/>
        <v>2026333</v>
      </c>
    </row>
    <row r="133" spans="1:24">
      <c r="A133" s="305"/>
      <c r="B133" s="89" t="s">
        <v>225</v>
      </c>
      <c r="C133" s="184" t="s">
        <v>226</v>
      </c>
      <c r="D133" s="64" t="s">
        <v>101</v>
      </c>
      <c r="E133" s="60"/>
      <c r="F133" s="60"/>
      <c r="G133" s="60"/>
      <c r="H133" s="60"/>
      <c r="I133" s="60"/>
      <c r="J133" s="73"/>
      <c r="K133" s="73"/>
      <c r="L133" s="73"/>
      <c r="M133" s="207"/>
      <c r="N133" s="207">
        <f t="shared" ref="N133:N134" si="88">S133</f>
        <v>0</v>
      </c>
      <c r="O133" s="207"/>
      <c r="P133" s="207"/>
      <c r="Q133" s="207"/>
      <c r="R133" s="207"/>
      <c r="S133" s="207"/>
      <c r="T133" s="46">
        <f>Q133</f>
        <v>0</v>
      </c>
      <c r="U133" s="46">
        <f t="shared" si="86"/>
        <v>0</v>
      </c>
    </row>
    <row r="134" spans="1:24">
      <c r="A134" s="305"/>
      <c r="B134" s="89" t="s">
        <v>299</v>
      </c>
      <c r="C134" s="184" t="s">
        <v>219</v>
      </c>
      <c r="D134" s="64" t="s">
        <v>101</v>
      </c>
      <c r="E134" s="60"/>
      <c r="F134" s="60"/>
      <c r="G134" s="60">
        <v>14</v>
      </c>
      <c r="H134" s="60">
        <v>14</v>
      </c>
      <c r="I134" s="60">
        <v>14</v>
      </c>
      <c r="J134" s="73"/>
      <c r="K134" s="73"/>
      <c r="L134" s="73"/>
      <c r="M134" s="207"/>
      <c r="N134" s="207">
        <f t="shared" si="88"/>
        <v>200669</v>
      </c>
      <c r="O134" s="207"/>
      <c r="P134" s="207"/>
      <c r="Q134" s="207"/>
      <c r="R134" s="207"/>
      <c r="S134" s="207">
        <v>200669</v>
      </c>
      <c r="T134" s="46"/>
      <c r="U134" s="46"/>
    </row>
    <row r="135" spans="1:24">
      <c r="A135" s="305"/>
      <c r="B135" s="89" t="s">
        <v>265</v>
      </c>
      <c r="C135" s="184" t="s">
        <v>226</v>
      </c>
      <c r="D135" s="64"/>
      <c r="E135" s="60"/>
      <c r="F135" s="60"/>
      <c r="G135" s="60"/>
      <c r="H135" s="60"/>
      <c r="I135" s="60"/>
      <c r="J135" s="73"/>
      <c r="K135" s="73"/>
      <c r="L135" s="73"/>
      <c r="M135" s="207"/>
      <c r="N135" s="207">
        <f>O135</f>
        <v>351966</v>
      </c>
      <c r="O135" s="207">
        <v>351966</v>
      </c>
      <c r="P135" s="207"/>
      <c r="Q135" s="207"/>
      <c r="R135" s="207"/>
      <c r="S135" s="207"/>
      <c r="T135" s="46">
        <f>O135</f>
        <v>351966</v>
      </c>
      <c r="U135" s="46">
        <f t="shared" si="86"/>
        <v>351966</v>
      </c>
    </row>
    <row r="136" spans="1:24">
      <c r="A136" s="305"/>
      <c r="B136" s="101" t="s">
        <v>112</v>
      </c>
      <c r="C136" s="101"/>
      <c r="D136" s="69"/>
      <c r="E136" s="102">
        <f t="shared" ref="E136:F136" si="89">E114+E123+E128</f>
        <v>483</v>
      </c>
      <c r="F136" s="102">
        <f t="shared" si="89"/>
        <v>483</v>
      </c>
      <c r="G136" s="102">
        <f>G114+G123+G128</f>
        <v>483</v>
      </c>
      <c r="H136" s="102">
        <f t="shared" ref="H136:I136" si="90">H114+H123+H128</f>
        <v>483</v>
      </c>
      <c r="I136" s="102">
        <f t="shared" si="90"/>
        <v>483</v>
      </c>
      <c r="J136" s="104"/>
      <c r="K136" s="104"/>
      <c r="L136" s="103"/>
      <c r="M136" s="138"/>
      <c r="N136" s="138">
        <f>SUM(O136:S136)</f>
        <v>31142179.591453984</v>
      </c>
      <c r="O136" s="266">
        <f>O114+O123+O128+O130+O135</f>
        <v>20403265.000000004</v>
      </c>
      <c r="P136" s="138">
        <f>P114+P123+P128+P130+P131+P132+P133</f>
        <v>4748990.0014539799</v>
      </c>
      <c r="Q136" s="138">
        <f t="shared" ref="Q136" si="91">Q114+Q123+Q128+Q130+Q131+Q132+Q133</f>
        <v>0</v>
      </c>
      <c r="R136" s="138">
        <f>R114+R123+R128+R130+R131+R132+R133+R134</f>
        <v>3762922.59</v>
      </c>
      <c r="S136" s="138">
        <f>S114+S123+S128+S130+S131+S132+S133+S134</f>
        <v>2227002</v>
      </c>
      <c r="T136" s="138">
        <f>T114+T123+T128+T130+T131+T132+T133+T134+T135</f>
        <v>30941510.591453977</v>
      </c>
      <c r="U136" s="138">
        <f>U114+U123+U128+U130+U131+U132+U133+U134+U135</f>
        <v>30941510.591453977</v>
      </c>
      <c r="V136" s="80">
        <v>3763225.23</v>
      </c>
      <c r="W136" s="85">
        <f>V136-R136</f>
        <v>302.64000000013039</v>
      </c>
      <c r="X136" s="80">
        <f>W136/I136</f>
        <v>0.62658385093194702</v>
      </c>
    </row>
    <row r="137" spans="1:24" ht="82.8">
      <c r="A137" s="305" t="s">
        <v>116</v>
      </c>
      <c r="B137" s="307" t="s">
        <v>238</v>
      </c>
      <c r="C137" s="61" t="s">
        <v>100</v>
      </c>
      <c r="D137" s="62" t="s">
        <v>101</v>
      </c>
      <c r="E137" s="59">
        <v>316</v>
      </c>
      <c r="F137" s="59">
        <v>316</v>
      </c>
      <c r="G137" s="59">
        <v>316</v>
      </c>
      <c r="H137" s="59">
        <v>316</v>
      </c>
      <c r="I137" s="59">
        <v>316</v>
      </c>
      <c r="J137" s="107">
        <f>SUM(K137:M137)</f>
        <v>38349.724475059993</v>
      </c>
      <c r="K137" s="107">
        <f>19579.7+1329.32</f>
        <v>20909.02</v>
      </c>
      <c r="L137" s="70">
        <f>4001.99*2.411294</f>
        <v>9649.9744750599984</v>
      </c>
      <c r="M137" s="202">
        <v>7790.73</v>
      </c>
      <c r="N137" s="203">
        <f>SUM(O137:R137)</f>
        <v>12118519.61411896</v>
      </c>
      <c r="O137" s="203">
        <f>G137*K137+6.62</f>
        <v>6607256.9400000004</v>
      </c>
      <c r="P137" s="203">
        <f>G137*L137+0.06</f>
        <v>3049391.9941189596</v>
      </c>
      <c r="Q137" s="203"/>
      <c r="R137" s="46">
        <f>G137*M137</f>
        <v>2461870.6799999997</v>
      </c>
      <c r="S137" s="46"/>
      <c r="T137" s="46">
        <f>N137</f>
        <v>12118519.61411896</v>
      </c>
      <c r="U137" s="46">
        <f>T137</f>
        <v>12118519.61411896</v>
      </c>
    </row>
    <row r="138" spans="1:24" ht="82.8">
      <c r="A138" s="305"/>
      <c r="B138" s="308"/>
      <c r="C138" s="63" t="s">
        <v>163</v>
      </c>
      <c r="D138" s="64" t="s">
        <v>101</v>
      </c>
      <c r="E138" s="59" t="s">
        <v>104</v>
      </c>
      <c r="F138" s="59" t="s">
        <v>104</v>
      </c>
      <c r="G138" s="59" t="s">
        <v>104</v>
      </c>
      <c r="H138" s="59" t="s">
        <v>104</v>
      </c>
      <c r="I138" s="59" t="s">
        <v>104</v>
      </c>
      <c r="J138" s="59" t="s">
        <v>104</v>
      </c>
      <c r="K138" s="59" t="s">
        <v>104</v>
      </c>
      <c r="L138" s="59" t="s">
        <v>104</v>
      </c>
      <c r="M138" s="123" t="s">
        <v>104</v>
      </c>
      <c r="N138" s="203"/>
      <c r="O138" s="203"/>
      <c r="P138" s="123" t="s">
        <v>104</v>
      </c>
      <c r="Q138" s="123"/>
      <c r="R138" s="123" t="s">
        <v>104</v>
      </c>
      <c r="S138" s="123"/>
      <c r="T138" s="46"/>
      <c r="U138" s="46"/>
    </row>
    <row r="139" spans="1:24">
      <c r="A139" s="305"/>
      <c r="B139" s="308"/>
      <c r="C139" s="63" t="s">
        <v>171</v>
      </c>
      <c r="D139" s="64" t="s">
        <v>101</v>
      </c>
      <c r="E139" s="59">
        <v>1</v>
      </c>
      <c r="F139" s="59">
        <v>1</v>
      </c>
      <c r="G139" s="59">
        <v>1</v>
      </c>
      <c r="H139" s="59">
        <v>1</v>
      </c>
      <c r="I139" s="59">
        <v>1</v>
      </c>
      <c r="J139" s="75">
        <f t="shared" ref="J139:J144" si="92">K139</f>
        <v>69362.66</v>
      </c>
      <c r="K139" s="71">
        <v>69362.66</v>
      </c>
      <c r="L139" s="59"/>
      <c r="M139" s="123"/>
      <c r="N139" s="203">
        <f t="shared" ref="N139:N140" si="93">O139</f>
        <v>69362.66</v>
      </c>
      <c r="O139" s="203">
        <f>G139*K139</f>
        <v>69362.66</v>
      </c>
      <c r="P139" s="123" t="s">
        <v>104</v>
      </c>
      <c r="Q139" s="123"/>
      <c r="R139" s="123"/>
      <c r="S139" s="123"/>
      <c r="T139" s="46">
        <f t="shared" ref="T139:T144" si="94">H139*K139</f>
        <v>69362.66</v>
      </c>
      <c r="U139" s="46">
        <f t="shared" ref="U139:U140" si="95">I139*K139</f>
        <v>69362.66</v>
      </c>
    </row>
    <row r="140" spans="1:24">
      <c r="A140" s="305"/>
      <c r="B140" s="308"/>
      <c r="C140" s="63" t="s">
        <v>169</v>
      </c>
      <c r="D140" s="64" t="s">
        <v>101</v>
      </c>
      <c r="E140" s="59">
        <v>3</v>
      </c>
      <c r="F140" s="59">
        <v>3</v>
      </c>
      <c r="G140" s="59">
        <v>3</v>
      </c>
      <c r="H140" s="59">
        <v>3</v>
      </c>
      <c r="I140" s="59">
        <v>3</v>
      </c>
      <c r="J140" s="75">
        <f t="shared" si="92"/>
        <v>69362.66</v>
      </c>
      <c r="K140" s="71">
        <v>69362.66</v>
      </c>
      <c r="L140" s="59" t="s">
        <v>104</v>
      </c>
      <c r="M140" s="123" t="s">
        <v>104</v>
      </c>
      <c r="N140" s="203">
        <f t="shared" si="93"/>
        <v>208087.98</v>
      </c>
      <c r="O140" s="203">
        <f t="shared" ref="O140:O144" si="96">G140*K140</f>
        <v>208087.98</v>
      </c>
      <c r="P140" s="123" t="s">
        <v>104</v>
      </c>
      <c r="Q140" s="123"/>
      <c r="R140" s="123" t="s">
        <v>104</v>
      </c>
      <c r="S140" s="123"/>
      <c r="T140" s="46">
        <f t="shared" si="94"/>
        <v>208087.98</v>
      </c>
      <c r="U140" s="46">
        <f t="shared" si="95"/>
        <v>208087.98</v>
      </c>
    </row>
    <row r="141" spans="1:24">
      <c r="A141" s="305"/>
      <c r="B141" s="308"/>
      <c r="C141" s="63" t="s">
        <v>166</v>
      </c>
      <c r="D141" s="64" t="s">
        <v>101</v>
      </c>
      <c r="E141" s="59">
        <v>2</v>
      </c>
      <c r="F141" s="59">
        <v>2</v>
      </c>
      <c r="G141" s="59">
        <v>2</v>
      </c>
      <c r="H141" s="59">
        <v>2</v>
      </c>
      <c r="I141" s="59">
        <v>2</v>
      </c>
      <c r="J141" s="75">
        <f t="shared" si="92"/>
        <v>66361.320000000007</v>
      </c>
      <c r="K141" s="75">
        <v>66361.320000000007</v>
      </c>
      <c r="L141" s="59" t="s">
        <v>104</v>
      </c>
      <c r="M141" s="123" t="s">
        <v>104</v>
      </c>
      <c r="N141" s="203">
        <f>O141</f>
        <v>132722.64000000001</v>
      </c>
      <c r="O141" s="203">
        <f t="shared" si="96"/>
        <v>132722.64000000001</v>
      </c>
      <c r="P141" s="123" t="s">
        <v>104</v>
      </c>
      <c r="Q141" s="123"/>
      <c r="R141" s="123" t="s">
        <v>104</v>
      </c>
      <c r="S141" s="123"/>
      <c r="T141" s="46">
        <f t="shared" si="94"/>
        <v>132722.64000000001</v>
      </c>
      <c r="U141" s="46">
        <f>I141*K141</f>
        <v>132722.64000000001</v>
      </c>
    </row>
    <row r="142" spans="1:24">
      <c r="A142" s="305"/>
      <c r="B142" s="308"/>
      <c r="C142" s="63" t="s">
        <v>190</v>
      </c>
      <c r="D142" s="64" t="s">
        <v>101</v>
      </c>
      <c r="E142" s="59">
        <v>1</v>
      </c>
      <c r="F142" s="59">
        <v>1</v>
      </c>
      <c r="G142" s="59">
        <v>1</v>
      </c>
      <c r="H142" s="59">
        <v>1</v>
      </c>
      <c r="I142" s="59">
        <v>1</v>
      </c>
      <c r="J142" s="75">
        <f t="shared" si="92"/>
        <v>178794.98</v>
      </c>
      <c r="K142" s="75">
        <v>178794.98</v>
      </c>
      <c r="L142" s="59" t="s">
        <v>104</v>
      </c>
      <c r="M142" s="123" t="s">
        <v>104</v>
      </c>
      <c r="N142" s="203">
        <f>O142</f>
        <v>178794.98</v>
      </c>
      <c r="O142" s="203">
        <f t="shared" si="96"/>
        <v>178794.98</v>
      </c>
      <c r="P142" s="123" t="s">
        <v>104</v>
      </c>
      <c r="Q142" s="123"/>
      <c r="R142" s="123" t="s">
        <v>104</v>
      </c>
      <c r="S142" s="123"/>
      <c r="T142" s="46">
        <f t="shared" si="94"/>
        <v>178794.98</v>
      </c>
      <c r="U142" s="46">
        <f>I142*K142</f>
        <v>178794.98</v>
      </c>
    </row>
    <row r="143" spans="1:24">
      <c r="A143" s="305"/>
      <c r="B143" s="308"/>
      <c r="C143" s="63" t="s">
        <v>170</v>
      </c>
      <c r="D143" s="64" t="s">
        <v>101</v>
      </c>
      <c r="E143" s="59"/>
      <c r="F143" s="59"/>
      <c r="G143" s="59"/>
      <c r="H143" s="59"/>
      <c r="I143" s="59"/>
      <c r="J143" s="75">
        <f t="shared" si="92"/>
        <v>99648.29</v>
      </c>
      <c r="K143" s="75">
        <v>99648.29</v>
      </c>
      <c r="L143" s="59" t="s">
        <v>104</v>
      </c>
      <c r="M143" s="123" t="s">
        <v>104</v>
      </c>
      <c r="N143" s="203">
        <f>O143</f>
        <v>0</v>
      </c>
      <c r="O143" s="203">
        <f t="shared" si="96"/>
        <v>0</v>
      </c>
      <c r="P143" s="123" t="s">
        <v>104</v>
      </c>
      <c r="Q143" s="123"/>
      <c r="R143" s="123" t="s">
        <v>104</v>
      </c>
      <c r="S143" s="123"/>
      <c r="T143" s="46">
        <f t="shared" si="94"/>
        <v>0</v>
      </c>
      <c r="U143" s="46">
        <f>I143*K143</f>
        <v>0</v>
      </c>
    </row>
    <row r="144" spans="1:24">
      <c r="A144" s="305"/>
      <c r="B144" s="308"/>
      <c r="C144" s="63" t="s">
        <v>168</v>
      </c>
      <c r="D144" s="64" t="s">
        <v>101</v>
      </c>
      <c r="E144" s="59"/>
      <c r="F144" s="59"/>
      <c r="G144" s="59"/>
      <c r="H144" s="59"/>
      <c r="I144" s="59"/>
      <c r="J144" s="75">
        <f t="shared" si="92"/>
        <v>23553.439999999999</v>
      </c>
      <c r="K144" s="75">
        <v>23553.439999999999</v>
      </c>
      <c r="L144" s="59" t="s">
        <v>104</v>
      </c>
      <c r="M144" s="123" t="s">
        <v>104</v>
      </c>
      <c r="N144" s="203">
        <f>O144</f>
        <v>0</v>
      </c>
      <c r="O144" s="203">
        <f t="shared" si="96"/>
        <v>0</v>
      </c>
      <c r="P144" s="123" t="s">
        <v>104</v>
      </c>
      <c r="Q144" s="123"/>
      <c r="R144" s="123" t="s">
        <v>104</v>
      </c>
      <c r="S144" s="123"/>
      <c r="T144" s="46">
        <f t="shared" si="94"/>
        <v>0</v>
      </c>
      <c r="U144" s="46">
        <f>I144*K144</f>
        <v>0</v>
      </c>
    </row>
    <row r="145" spans="1:21" ht="82.8">
      <c r="A145" s="305"/>
      <c r="B145" s="308"/>
      <c r="C145" s="61" t="s">
        <v>105</v>
      </c>
      <c r="D145" s="64" t="s">
        <v>101</v>
      </c>
      <c r="E145" s="59">
        <v>2</v>
      </c>
      <c r="F145" s="59">
        <v>2</v>
      </c>
      <c r="G145" s="59">
        <v>2</v>
      </c>
      <c r="H145" s="59">
        <v>2</v>
      </c>
      <c r="I145" s="59">
        <v>2</v>
      </c>
      <c r="J145" s="75">
        <f>SUM(K145:M145)</f>
        <v>140182.94447506001</v>
      </c>
      <c r="K145" s="75">
        <f>121412.92+1329.32</f>
        <v>122742.24</v>
      </c>
      <c r="L145" s="72">
        <f>4001.99*2.411294</f>
        <v>9649.9744750599984</v>
      </c>
      <c r="M145" s="202">
        <v>7790.73</v>
      </c>
      <c r="N145" s="203">
        <f>SUM(O145:R145)</f>
        <v>280365.88895012002</v>
      </c>
      <c r="O145" s="203">
        <f>G145*K145</f>
        <v>245484.48</v>
      </c>
      <c r="P145" s="203">
        <f>G145*L145</f>
        <v>19299.948950119997</v>
      </c>
      <c r="Q145" s="203"/>
      <c r="R145" s="46">
        <f>G145*M145</f>
        <v>15581.46</v>
      </c>
      <c r="S145" s="46"/>
      <c r="T145" s="46">
        <f t="shared" ref="T145:T161" si="97">H145*J145</f>
        <v>280365.88895012002</v>
      </c>
      <c r="U145" s="46">
        <f t="shared" ref="U145:U161" si="98">I145*J145</f>
        <v>280365.88895012002</v>
      </c>
    </row>
    <row r="146" spans="1:21" ht="82.8">
      <c r="A146" s="305"/>
      <c r="B146" s="308"/>
      <c r="C146" s="61" t="s">
        <v>117</v>
      </c>
      <c r="D146" s="64" t="s">
        <v>101</v>
      </c>
      <c r="E146" s="59">
        <v>0</v>
      </c>
      <c r="F146" s="59">
        <v>0</v>
      </c>
      <c r="G146" s="157">
        <f t="shared" ref="G146:G161" si="99">((E146*8)+(F146*4))/12</f>
        <v>0</v>
      </c>
      <c r="H146" s="59">
        <v>0</v>
      </c>
      <c r="I146" s="59">
        <v>0</v>
      </c>
      <c r="J146" s="75">
        <f>K146</f>
        <v>21480.1</v>
      </c>
      <c r="K146" s="75">
        <v>21480.1</v>
      </c>
      <c r="L146" s="72" t="s">
        <v>104</v>
      </c>
      <c r="M146" s="206" t="s">
        <v>104</v>
      </c>
      <c r="N146" s="203">
        <f>SUM(O146:R146)</f>
        <v>0</v>
      </c>
      <c r="O146" s="203">
        <f>G146*K146</f>
        <v>0</v>
      </c>
      <c r="P146" s="203"/>
      <c r="Q146" s="203"/>
      <c r="R146" s="203"/>
      <c r="S146" s="203"/>
      <c r="T146" s="46">
        <f t="shared" si="97"/>
        <v>0</v>
      </c>
      <c r="U146" s="46">
        <f t="shared" si="98"/>
        <v>0</v>
      </c>
    </row>
    <row r="147" spans="1:21">
      <c r="A147" s="305"/>
      <c r="B147" s="309"/>
      <c r="C147" s="66" t="s">
        <v>106</v>
      </c>
      <c r="D147" s="67"/>
      <c r="E147" s="59">
        <f>E137+E145</f>
        <v>318</v>
      </c>
      <c r="F147" s="59">
        <f>F137+F145</f>
        <v>318</v>
      </c>
      <c r="G147" s="59">
        <f>G137+G145</f>
        <v>318</v>
      </c>
      <c r="H147" s="59">
        <f>H137+H145</f>
        <v>318</v>
      </c>
      <c r="I147" s="59">
        <f>I137+I145</f>
        <v>318</v>
      </c>
      <c r="J147" s="71" t="s">
        <v>104</v>
      </c>
      <c r="K147" s="71" t="s">
        <v>104</v>
      </c>
      <c r="L147" s="71" t="s">
        <v>104</v>
      </c>
      <c r="M147" s="203" t="s">
        <v>104</v>
      </c>
      <c r="N147" s="203">
        <f>SUM(N137:N146)</f>
        <v>12987853.763069082</v>
      </c>
      <c r="O147" s="203">
        <f>SUM(O137:O146)</f>
        <v>7441709.6800000016</v>
      </c>
      <c r="P147" s="203">
        <f>SUM(P137:P146)</f>
        <v>3068691.9430690794</v>
      </c>
      <c r="Q147" s="203"/>
      <c r="R147" s="203">
        <f>SUM(R137:R146)</f>
        <v>2477452.1399999997</v>
      </c>
      <c r="S147" s="203"/>
      <c r="T147" s="203">
        <f>SUM(T137:T146)</f>
        <v>12987853.763069082</v>
      </c>
      <c r="U147" s="203">
        <f>SUM(U137:U146)</f>
        <v>12987853.763069082</v>
      </c>
    </row>
    <row r="148" spans="1:21" ht="82.8">
      <c r="A148" s="305"/>
      <c r="B148" s="307" t="s">
        <v>239</v>
      </c>
      <c r="C148" s="61" t="s">
        <v>100</v>
      </c>
      <c r="D148" s="62" t="s">
        <v>101</v>
      </c>
      <c r="E148" s="59">
        <v>196</v>
      </c>
      <c r="F148" s="59">
        <v>196</v>
      </c>
      <c r="G148" s="59">
        <v>196</v>
      </c>
      <c r="H148" s="59">
        <v>196</v>
      </c>
      <c r="I148" s="59">
        <v>196</v>
      </c>
      <c r="J148" s="107">
        <f>SUM(K148:M148)</f>
        <v>53409.174475060005</v>
      </c>
      <c r="K148" s="107">
        <f>34346.05+1622.42</f>
        <v>35968.47</v>
      </c>
      <c r="L148" s="70">
        <f>4001.99*2.411294</f>
        <v>9649.9744750599984</v>
      </c>
      <c r="M148" s="202">
        <v>7790.73</v>
      </c>
      <c r="N148" s="203">
        <f>SUM(O148:R148)</f>
        <v>10468198.197111759</v>
      </c>
      <c r="O148" s="203">
        <f>G148*K148</f>
        <v>7049820.1200000001</v>
      </c>
      <c r="P148" s="203">
        <f>G148*L148</f>
        <v>1891394.9971117596</v>
      </c>
      <c r="Q148" s="203"/>
      <c r="R148" s="46">
        <f>G148*M148</f>
        <v>1526983.0799999998</v>
      </c>
      <c r="S148" s="46"/>
      <c r="T148" s="46">
        <f t="shared" si="97"/>
        <v>10468198.197111761</v>
      </c>
      <c r="U148" s="46">
        <f t="shared" si="98"/>
        <v>10468198.197111761</v>
      </c>
    </row>
    <row r="149" spans="1:21" ht="96.6">
      <c r="A149" s="305"/>
      <c r="B149" s="308"/>
      <c r="C149" s="61" t="s">
        <v>118</v>
      </c>
      <c r="D149" s="62" t="s">
        <v>101</v>
      </c>
      <c r="E149" s="59">
        <v>206</v>
      </c>
      <c r="F149" s="59">
        <v>206</v>
      </c>
      <c r="G149" s="59">
        <v>206</v>
      </c>
      <c r="H149" s="59">
        <v>206</v>
      </c>
      <c r="I149" s="59">
        <v>206</v>
      </c>
      <c r="J149" s="107">
        <f>SUM(K149:M149)</f>
        <v>56845.984475060002</v>
      </c>
      <c r="K149" s="107">
        <f>37782.86+1622.42</f>
        <v>39405.279999999999</v>
      </c>
      <c r="L149" s="70">
        <f>4001.99*2.411294</f>
        <v>9649.9744750599984</v>
      </c>
      <c r="M149" s="202">
        <v>7790.73</v>
      </c>
      <c r="N149" s="203">
        <f>SUM(O149:R149)</f>
        <v>11710272.801862359</v>
      </c>
      <c r="O149" s="203">
        <f>G149*K149</f>
        <v>8117487.6799999997</v>
      </c>
      <c r="P149" s="203">
        <f>G149*L149</f>
        <v>1987894.7418623597</v>
      </c>
      <c r="Q149" s="203"/>
      <c r="R149" s="46">
        <f>G149*M149</f>
        <v>1604890.38</v>
      </c>
      <c r="S149" s="46"/>
      <c r="T149" s="46">
        <f t="shared" si="97"/>
        <v>11710272.801862361</v>
      </c>
      <c r="U149" s="46">
        <f t="shared" si="98"/>
        <v>11710272.801862361</v>
      </c>
    </row>
    <row r="150" spans="1:21" ht="82.8">
      <c r="A150" s="305"/>
      <c r="B150" s="308"/>
      <c r="C150" s="63" t="s">
        <v>102</v>
      </c>
      <c r="D150" s="64" t="s">
        <v>101</v>
      </c>
      <c r="E150" s="59" t="s">
        <v>104</v>
      </c>
      <c r="F150" s="59" t="s">
        <v>104</v>
      </c>
      <c r="G150" s="59" t="s">
        <v>104</v>
      </c>
      <c r="H150" s="59" t="s">
        <v>104</v>
      </c>
      <c r="I150" s="59" t="s">
        <v>104</v>
      </c>
      <c r="J150" s="59" t="s">
        <v>104</v>
      </c>
      <c r="K150" s="59" t="s">
        <v>104</v>
      </c>
      <c r="L150" s="59" t="s">
        <v>104</v>
      </c>
      <c r="M150" s="123" t="s">
        <v>104</v>
      </c>
      <c r="N150" s="203"/>
      <c r="O150" s="203"/>
      <c r="P150" s="123" t="s">
        <v>104</v>
      </c>
      <c r="Q150" s="123"/>
      <c r="R150" s="123" t="s">
        <v>104</v>
      </c>
      <c r="S150" s="123"/>
      <c r="T150" s="46"/>
      <c r="U150" s="46"/>
    </row>
    <row r="151" spans="1:21">
      <c r="A151" s="305"/>
      <c r="B151" s="308"/>
      <c r="C151" s="63" t="s">
        <v>171</v>
      </c>
      <c r="D151" s="64" t="s">
        <v>101</v>
      </c>
      <c r="E151" s="60">
        <v>1</v>
      </c>
      <c r="F151" s="60">
        <v>1</v>
      </c>
      <c r="G151" s="60">
        <v>1</v>
      </c>
      <c r="H151" s="60">
        <v>1</v>
      </c>
      <c r="I151" s="60">
        <v>1</v>
      </c>
      <c r="J151" s="75">
        <f>K151</f>
        <v>69362.66</v>
      </c>
      <c r="K151" s="75">
        <v>69362.66</v>
      </c>
      <c r="L151" s="59" t="s">
        <v>104</v>
      </c>
      <c r="M151" s="123" t="s">
        <v>104</v>
      </c>
      <c r="N151" s="203">
        <f>O151</f>
        <v>69362.66</v>
      </c>
      <c r="O151" s="203">
        <f>G151*K151</f>
        <v>69362.66</v>
      </c>
      <c r="P151" s="123" t="s">
        <v>104</v>
      </c>
      <c r="Q151" s="123"/>
      <c r="R151" s="123" t="s">
        <v>104</v>
      </c>
      <c r="S151" s="123"/>
      <c r="T151" s="46">
        <f>H151*K151</f>
        <v>69362.66</v>
      </c>
      <c r="U151" s="46">
        <f>I151*K151</f>
        <v>69362.66</v>
      </c>
    </row>
    <row r="152" spans="1:21">
      <c r="A152" s="305"/>
      <c r="B152" s="308"/>
      <c r="C152" s="63" t="s">
        <v>164</v>
      </c>
      <c r="D152" s="64" t="s">
        <v>101</v>
      </c>
      <c r="E152" s="60"/>
      <c r="F152" s="60"/>
      <c r="G152" s="59"/>
      <c r="H152" s="60"/>
      <c r="I152" s="60"/>
      <c r="J152" s="75">
        <f>K152</f>
        <v>25589.72</v>
      </c>
      <c r="K152" s="75">
        <v>25589.72</v>
      </c>
      <c r="L152" s="59" t="s">
        <v>104</v>
      </c>
      <c r="M152" s="123" t="s">
        <v>104</v>
      </c>
      <c r="N152" s="203">
        <f>O152</f>
        <v>0</v>
      </c>
      <c r="O152" s="203">
        <f t="shared" ref="O152:O153" si="100">G152*K152</f>
        <v>0</v>
      </c>
      <c r="P152" s="123" t="s">
        <v>104</v>
      </c>
      <c r="Q152" s="123"/>
      <c r="R152" s="123" t="s">
        <v>104</v>
      </c>
      <c r="S152" s="123"/>
      <c r="T152" s="46">
        <f>H152*K152</f>
        <v>0</v>
      </c>
      <c r="U152" s="46">
        <f>I152*K152</f>
        <v>0</v>
      </c>
    </row>
    <row r="153" spans="1:21">
      <c r="A153" s="305"/>
      <c r="B153" s="308"/>
      <c r="C153" s="63" t="s">
        <v>168</v>
      </c>
      <c r="D153" s="64" t="s">
        <v>101</v>
      </c>
      <c r="E153" s="60">
        <v>3</v>
      </c>
      <c r="F153" s="60">
        <v>3</v>
      </c>
      <c r="G153" s="60">
        <v>3</v>
      </c>
      <c r="H153" s="60">
        <v>3</v>
      </c>
      <c r="I153" s="60">
        <v>3</v>
      </c>
      <c r="J153" s="75">
        <f>K153</f>
        <v>23553.439999999999</v>
      </c>
      <c r="K153" s="75">
        <v>23553.439999999999</v>
      </c>
      <c r="L153" s="59" t="s">
        <v>104</v>
      </c>
      <c r="M153" s="123" t="s">
        <v>104</v>
      </c>
      <c r="N153" s="203">
        <f>O153</f>
        <v>70660.319999999992</v>
      </c>
      <c r="O153" s="203">
        <f t="shared" si="100"/>
        <v>70660.319999999992</v>
      </c>
      <c r="P153" s="123" t="s">
        <v>104</v>
      </c>
      <c r="Q153" s="123"/>
      <c r="R153" s="123" t="s">
        <v>104</v>
      </c>
      <c r="S153" s="123"/>
      <c r="T153" s="46">
        <f>H153*K153</f>
        <v>70660.319999999992</v>
      </c>
      <c r="U153" s="46">
        <f>I153*K153</f>
        <v>70660.319999999992</v>
      </c>
    </row>
    <row r="154" spans="1:21" ht="82.8">
      <c r="A154" s="305"/>
      <c r="B154" s="308"/>
      <c r="C154" s="61" t="s">
        <v>105</v>
      </c>
      <c r="D154" s="64" t="s">
        <v>101</v>
      </c>
      <c r="E154" s="60">
        <v>1</v>
      </c>
      <c r="F154" s="60">
        <v>1</v>
      </c>
      <c r="G154" s="60">
        <v>1</v>
      </c>
      <c r="H154" s="60">
        <v>1</v>
      </c>
      <c r="I154" s="60">
        <v>1</v>
      </c>
      <c r="J154" s="75">
        <f>SUM(K154:M154)</f>
        <v>170470.75447506004</v>
      </c>
      <c r="K154" s="75">
        <f>151407.63+1622.42</f>
        <v>153030.05000000002</v>
      </c>
      <c r="L154" s="72">
        <f>4001.99*2.411294</f>
        <v>9649.9744750599984</v>
      </c>
      <c r="M154" s="202">
        <v>7790.73</v>
      </c>
      <c r="N154" s="201">
        <f>SUM(O154:R154)</f>
        <v>170470.75447506004</v>
      </c>
      <c r="O154" s="201">
        <f>G154*K154</f>
        <v>153030.05000000002</v>
      </c>
      <c r="P154" s="201">
        <f>G154*L154</f>
        <v>9649.9744750599984</v>
      </c>
      <c r="Q154" s="201"/>
      <c r="R154" s="201">
        <f>E154*M154</f>
        <v>7790.73</v>
      </c>
      <c r="S154" s="201"/>
      <c r="T154" s="46">
        <f t="shared" si="97"/>
        <v>170470.75447506004</v>
      </c>
      <c r="U154" s="46">
        <f t="shared" si="98"/>
        <v>170470.75447506004</v>
      </c>
    </row>
    <row r="155" spans="1:21" ht="82.8">
      <c r="A155" s="305"/>
      <c r="B155" s="308"/>
      <c r="C155" s="61" t="s">
        <v>117</v>
      </c>
      <c r="D155" s="64" t="s">
        <v>101</v>
      </c>
      <c r="E155" s="60">
        <v>0</v>
      </c>
      <c r="F155" s="60">
        <v>0</v>
      </c>
      <c r="G155" s="59">
        <f t="shared" si="99"/>
        <v>0</v>
      </c>
      <c r="H155" s="60">
        <v>0</v>
      </c>
      <c r="I155" s="60">
        <v>0</v>
      </c>
      <c r="J155" s="75">
        <f>K155</f>
        <v>34010.129999999997</v>
      </c>
      <c r="K155" s="75">
        <v>34010.129999999997</v>
      </c>
      <c r="L155" s="72" t="s">
        <v>104</v>
      </c>
      <c r="M155" s="206" t="s">
        <v>104</v>
      </c>
      <c r="N155" s="201">
        <f>SUM(O155:R155)</f>
        <v>0</v>
      </c>
      <c r="O155" s="201">
        <f>G155*K155</f>
        <v>0</v>
      </c>
      <c r="P155" s="201"/>
      <c r="Q155" s="201"/>
      <c r="R155" s="201"/>
      <c r="S155" s="201"/>
      <c r="T155" s="46">
        <f t="shared" si="97"/>
        <v>0</v>
      </c>
      <c r="U155" s="46">
        <f t="shared" si="98"/>
        <v>0</v>
      </c>
    </row>
    <row r="156" spans="1:21">
      <c r="A156" s="305"/>
      <c r="B156" s="309"/>
      <c r="C156" s="66" t="s">
        <v>106</v>
      </c>
      <c r="D156" s="64"/>
      <c r="E156" s="60">
        <f>E148++E149+E154</f>
        <v>403</v>
      </c>
      <c r="F156" s="60">
        <f>F148++F149+F154</f>
        <v>403</v>
      </c>
      <c r="G156" s="60">
        <f>G148++G149+G154</f>
        <v>403</v>
      </c>
      <c r="H156" s="60">
        <f>H148++H149+H154</f>
        <v>403</v>
      </c>
      <c r="I156" s="60">
        <f>I148++I149+I154</f>
        <v>403</v>
      </c>
      <c r="J156" s="73" t="s">
        <v>104</v>
      </c>
      <c r="K156" s="73" t="s">
        <v>104</v>
      </c>
      <c r="L156" s="74" t="s">
        <v>104</v>
      </c>
      <c r="M156" s="207" t="s">
        <v>104</v>
      </c>
      <c r="N156" s="207">
        <f>SUM(N148:N155)</f>
        <v>22488964.73344918</v>
      </c>
      <c r="O156" s="207">
        <f t="shared" ref="O156:U156" si="101">SUM(O148:O155)</f>
        <v>15460360.830000002</v>
      </c>
      <c r="P156" s="207">
        <f t="shared" si="101"/>
        <v>3888939.7134491797</v>
      </c>
      <c r="Q156" s="207"/>
      <c r="R156" s="207">
        <f t="shared" si="101"/>
        <v>3139664.19</v>
      </c>
      <c r="S156" s="207"/>
      <c r="T156" s="207">
        <f t="shared" si="101"/>
        <v>22488964.733449183</v>
      </c>
      <c r="U156" s="207">
        <f t="shared" si="101"/>
        <v>22488964.733449183</v>
      </c>
    </row>
    <row r="157" spans="1:21" ht="82.8">
      <c r="A157" s="305"/>
      <c r="B157" s="307" t="s">
        <v>240</v>
      </c>
      <c r="C157" s="61" t="s">
        <v>100</v>
      </c>
      <c r="D157" s="62" t="s">
        <v>101</v>
      </c>
      <c r="E157" s="60">
        <v>51</v>
      </c>
      <c r="F157" s="60">
        <v>51</v>
      </c>
      <c r="G157" s="60">
        <v>51</v>
      </c>
      <c r="H157" s="60">
        <v>51</v>
      </c>
      <c r="I157" s="60">
        <v>51</v>
      </c>
      <c r="J157" s="107">
        <f>SUM(K157:M157)</f>
        <v>60511.614475060007</v>
      </c>
      <c r="K157" s="107">
        <f>41105.12+1965.79</f>
        <v>43070.91</v>
      </c>
      <c r="L157" s="70">
        <f>4001.99*2.411294</f>
        <v>9649.9744750599984</v>
      </c>
      <c r="M157" s="202">
        <v>7790.73</v>
      </c>
      <c r="N157" s="201">
        <f>SUM(O157:R157)</f>
        <v>3086092.3382280599</v>
      </c>
      <c r="O157" s="201">
        <f>G157*K157</f>
        <v>2196616.41</v>
      </c>
      <c r="P157" s="201">
        <f>G157*L157</f>
        <v>492148.69822805992</v>
      </c>
      <c r="Q157" s="201"/>
      <c r="R157" s="46">
        <f>G157*M157</f>
        <v>397327.23</v>
      </c>
      <c r="S157" s="46"/>
      <c r="T157" s="46">
        <f>H157*J157</f>
        <v>3086092.3382280604</v>
      </c>
      <c r="U157" s="46">
        <f t="shared" si="98"/>
        <v>3086092.3382280604</v>
      </c>
    </row>
    <row r="158" spans="1:21" ht="96.6">
      <c r="A158" s="305"/>
      <c r="B158" s="308"/>
      <c r="C158" s="61" t="s">
        <v>172</v>
      </c>
      <c r="D158" s="62" t="s">
        <v>101</v>
      </c>
      <c r="E158" s="60">
        <v>53</v>
      </c>
      <c r="F158" s="60">
        <v>53</v>
      </c>
      <c r="G158" s="60">
        <v>53</v>
      </c>
      <c r="H158" s="60">
        <v>53</v>
      </c>
      <c r="I158" s="60">
        <v>53</v>
      </c>
      <c r="J158" s="107">
        <f>SUM(K158:M158)</f>
        <v>102807.06447505999</v>
      </c>
      <c r="K158" s="107">
        <f>83400.57+1965.79</f>
        <v>85366.36</v>
      </c>
      <c r="L158" s="70">
        <f>4001.99*2.411294</f>
        <v>9649.9744750599984</v>
      </c>
      <c r="M158" s="202">
        <v>7790.73</v>
      </c>
      <c r="N158" s="201">
        <f>SUM(O158:R158)</f>
        <v>5448773.8171781795</v>
      </c>
      <c r="O158" s="201">
        <f>G158*K158</f>
        <v>4524417.08</v>
      </c>
      <c r="P158" s="201">
        <f>G158*L158</f>
        <v>511448.64717817993</v>
      </c>
      <c r="Q158" s="201"/>
      <c r="R158" s="46">
        <f>G158*M158-0.6</f>
        <v>412908.09</v>
      </c>
      <c r="S158" s="46"/>
      <c r="T158" s="46">
        <f>N158</f>
        <v>5448773.8171781795</v>
      </c>
      <c r="U158" s="46">
        <f>T158</f>
        <v>5448773.8171781795</v>
      </c>
    </row>
    <row r="159" spans="1:21" ht="82.8">
      <c r="A159" s="305"/>
      <c r="B159" s="308"/>
      <c r="C159" s="63" t="s">
        <v>102</v>
      </c>
      <c r="D159" s="64" t="s">
        <v>101</v>
      </c>
      <c r="E159" s="59" t="s">
        <v>104</v>
      </c>
      <c r="F159" s="59" t="s">
        <v>104</v>
      </c>
      <c r="G159" s="59" t="s">
        <v>104</v>
      </c>
      <c r="H159" s="59" t="s">
        <v>104</v>
      </c>
      <c r="I159" s="59" t="s">
        <v>104</v>
      </c>
      <c r="J159" s="59" t="s">
        <v>104</v>
      </c>
      <c r="K159" s="59" t="s">
        <v>104</v>
      </c>
      <c r="L159" s="59" t="s">
        <v>104</v>
      </c>
      <c r="M159" s="123" t="s">
        <v>104</v>
      </c>
      <c r="N159" s="203"/>
      <c r="O159" s="203"/>
      <c r="P159" s="123" t="s">
        <v>104</v>
      </c>
      <c r="Q159" s="123"/>
      <c r="R159" s="123" t="s">
        <v>104</v>
      </c>
      <c r="S159" s="123"/>
      <c r="T159" s="46"/>
      <c r="U159" s="46"/>
    </row>
    <row r="160" spans="1:21">
      <c r="A160" s="305"/>
      <c r="B160" s="308"/>
      <c r="C160" s="63" t="s">
        <v>168</v>
      </c>
      <c r="D160" s="64" t="s">
        <v>101</v>
      </c>
      <c r="E160" s="60"/>
      <c r="F160" s="60"/>
      <c r="G160" s="59">
        <f t="shared" si="99"/>
        <v>0</v>
      </c>
      <c r="H160" s="60"/>
      <c r="I160" s="60"/>
      <c r="J160" s="75">
        <f>K160</f>
        <v>23553.439999999999</v>
      </c>
      <c r="K160" s="75">
        <v>23553.439999999999</v>
      </c>
      <c r="L160" s="59" t="s">
        <v>104</v>
      </c>
      <c r="M160" s="123" t="s">
        <v>104</v>
      </c>
      <c r="N160" s="203">
        <f>O160</f>
        <v>0</v>
      </c>
      <c r="O160" s="203">
        <f>G160*K160</f>
        <v>0</v>
      </c>
      <c r="P160" s="123" t="s">
        <v>104</v>
      </c>
      <c r="Q160" s="123"/>
      <c r="R160" s="123" t="s">
        <v>104</v>
      </c>
      <c r="S160" s="123"/>
      <c r="T160" s="46">
        <f>H160*K160</f>
        <v>0</v>
      </c>
      <c r="U160" s="46">
        <f>I160*K160</f>
        <v>0</v>
      </c>
    </row>
    <row r="161" spans="1:26" ht="82.8">
      <c r="A161" s="305"/>
      <c r="B161" s="308"/>
      <c r="C161" s="61" t="s">
        <v>105</v>
      </c>
      <c r="D161" s="64" t="s">
        <v>101</v>
      </c>
      <c r="E161" s="60"/>
      <c r="F161" s="60"/>
      <c r="G161" s="59">
        <f t="shared" si="99"/>
        <v>0</v>
      </c>
      <c r="H161" s="60"/>
      <c r="I161" s="60"/>
      <c r="J161" s="75">
        <f>SUM(K161:M161)</f>
        <v>200808.84447506003</v>
      </c>
      <c r="K161" s="75">
        <f>181402.35+1965.79</f>
        <v>183368.14</v>
      </c>
      <c r="L161" s="72">
        <f>4001.99*2.411294</f>
        <v>9649.9744750599984</v>
      </c>
      <c r="M161" s="202">
        <v>7790.73</v>
      </c>
      <c r="N161" s="201"/>
      <c r="O161" s="201"/>
      <c r="P161" s="201"/>
      <c r="Q161" s="201"/>
      <c r="R161" s="201"/>
      <c r="S161" s="201"/>
      <c r="T161" s="46">
        <f t="shared" si="97"/>
        <v>0</v>
      </c>
      <c r="U161" s="46">
        <f t="shared" si="98"/>
        <v>0</v>
      </c>
    </row>
    <row r="162" spans="1:26">
      <c r="A162" s="305"/>
      <c r="B162" s="309"/>
      <c r="C162" s="66" t="s">
        <v>106</v>
      </c>
      <c r="D162" s="64"/>
      <c r="E162" s="60">
        <f t="shared" ref="E162:F162" si="102">E157+E161+E158</f>
        <v>104</v>
      </c>
      <c r="F162" s="60">
        <f t="shared" si="102"/>
        <v>104</v>
      </c>
      <c r="G162" s="60">
        <f>G157+G161+G158</f>
        <v>104</v>
      </c>
      <c r="H162" s="60">
        <f t="shared" ref="H162:I162" si="103">H157+H161+H158</f>
        <v>104</v>
      </c>
      <c r="I162" s="60">
        <f t="shared" si="103"/>
        <v>104</v>
      </c>
      <c r="J162" s="73" t="s">
        <v>104</v>
      </c>
      <c r="K162" s="73" t="s">
        <v>104</v>
      </c>
      <c r="L162" s="74" t="s">
        <v>104</v>
      </c>
      <c r="M162" s="207" t="s">
        <v>104</v>
      </c>
      <c r="N162" s="207">
        <f>SUM(N157:N161)</f>
        <v>8534866.1554062404</v>
      </c>
      <c r="O162" s="207">
        <f t="shared" ref="O162:U162" si="104">SUM(O157:O161)</f>
        <v>6721033.4900000002</v>
      </c>
      <c r="P162" s="207">
        <f t="shared" si="104"/>
        <v>1003597.3454062399</v>
      </c>
      <c r="Q162" s="207"/>
      <c r="R162" s="207">
        <f t="shared" si="104"/>
        <v>810235.32000000007</v>
      </c>
      <c r="S162" s="207"/>
      <c r="T162" s="207">
        <f>SUM(T157:T161)</f>
        <v>8534866.1554062404</v>
      </c>
      <c r="U162" s="207">
        <f t="shared" si="104"/>
        <v>8534866.1554062404</v>
      </c>
      <c r="V162" s="85">
        <f>N165+N162+N156+N147+N167</f>
        <v>51578376.0019245</v>
      </c>
      <c r="W162" s="85">
        <f>V162-N171</f>
        <v>-661790.00000000745</v>
      </c>
    </row>
    <row r="163" spans="1:26" ht="102" customHeight="1">
      <c r="A163" s="305"/>
      <c r="B163" s="137" t="s">
        <v>241</v>
      </c>
      <c r="C163" s="61" t="s">
        <v>260</v>
      </c>
      <c r="D163" s="64" t="s">
        <v>101</v>
      </c>
      <c r="E163" s="60">
        <v>1439</v>
      </c>
      <c r="F163" s="60">
        <v>1439</v>
      </c>
      <c r="G163" s="60">
        <v>1439</v>
      </c>
      <c r="H163" s="60">
        <v>1439</v>
      </c>
      <c r="I163" s="60">
        <v>1439</v>
      </c>
      <c r="J163" s="75">
        <f>K163</f>
        <v>3268.55</v>
      </c>
      <c r="K163" s="75">
        <v>3268.55</v>
      </c>
      <c r="L163" s="72" t="s">
        <v>104</v>
      </c>
      <c r="M163" s="206" t="s">
        <v>104</v>
      </c>
      <c r="N163" s="201">
        <f>SUM(O163:R163)</f>
        <v>4703443</v>
      </c>
      <c r="O163" s="201">
        <f>G163*K163-0.45</f>
        <v>4703443</v>
      </c>
      <c r="P163" s="201" t="s">
        <v>104</v>
      </c>
      <c r="Q163" s="201"/>
      <c r="R163" s="201" t="s">
        <v>104</v>
      </c>
      <c r="S163" s="201"/>
      <c r="T163" s="46">
        <f>N163-37</f>
        <v>4703406</v>
      </c>
      <c r="U163" s="46">
        <f>T163</f>
        <v>4703406</v>
      </c>
      <c r="X163" s="200">
        <f>G147+G156+G162</f>
        <v>825</v>
      </c>
    </row>
    <row r="164" spans="1:26" ht="128.4" customHeight="1">
      <c r="A164" s="305"/>
      <c r="B164" s="137"/>
      <c r="C164" s="166" t="s">
        <v>259</v>
      </c>
      <c r="D164" s="167" t="s">
        <v>101</v>
      </c>
      <c r="E164" s="168"/>
      <c r="F164" s="168"/>
      <c r="G164" s="169">
        <v>495</v>
      </c>
      <c r="H164" s="169">
        <v>495</v>
      </c>
      <c r="I164" s="169">
        <v>495</v>
      </c>
      <c r="J164" s="171" t="s">
        <v>104</v>
      </c>
      <c r="K164" s="171" t="s">
        <v>104</v>
      </c>
      <c r="L164" s="212" t="s">
        <v>104</v>
      </c>
      <c r="M164" s="253">
        <v>5421.31</v>
      </c>
      <c r="N164" s="201">
        <f>R164</f>
        <v>2683548.35</v>
      </c>
      <c r="O164" s="201"/>
      <c r="P164" s="201"/>
      <c r="Q164" s="201"/>
      <c r="R164" s="201">
        <f>G164*M164-0.1</f>
        <v>2683548.35</v>
      </c>
      <c r="S164" s="201"/>
      <c r="T164" s="46">
        <f>N164</f>
        <v>2683548.35</v>
      </c>
      <c r="U164" s="46">
        <f>T164</f>
        <v>2683548.35</v>
      </c>
      <c r="X164" s="85">
        <f>V171-R164</f>
        <v>7251521.0500000007</v>
      </c>
      <c r="Y164" s="80">
        <f>X164/G171</f>
        <v>8789.7224848484857</v>
      </c>
      <c r="Z164" s="80">
        <f>Y164*X163</f>
        <v>7251521.0500000007</v>
      </c>
    </row>
    <row r="165" spans="1:26">
      <c r="A165" s="305"/>
      <c r="B165" s="69"/>
      <c r="C165" s="66" t="s">
        <v>106</v>
      </c>
      <c r="D165" s="69"/>
      <c r="E165" s="60">
        <f>SUM(E163:E163)</f>
        <v>1439</v>
      </c>
      <c r="F165" s="60">
        <f>SUM(F163:F163)</f>
        <v>1439</v>
      </c>
      <c r="G165" s="60">
        <f>SUM(G163:G163)</f>
        <v>1439</v>
      </c>
      <c r="H165" s="60">
        <f>SUM(H163:H163)</f>
        <v>1439</v>
      </c>
      <c r="I165" s="60">
        <f>SUM(I163:I163)</f>
        <v>1439</v>
      </c>
      <c r="J165" s="73" t="s">
        <v>104</v>
      </c>
      <c r="K165" s="73" t="s">
        <v>104</v>
      </c>
      <c r="L165" s="74" t="s">
        <v>104</v>
      </c>
      <c r="M165" s="207">
        <f t="shared" ref="M165:P165" si="105">SUM(M163:M163)</f>
        <v>0</v>
      </c>
      <c r="N165" s="207">
        <f>SUM(N163:N164)</f>
        <v>7386991.3499999996</v>
      </c>
      <c r="O165" s="207">
        <f t="shared" si="105"/>
        <v>4703443</v>
      </c>
      <c r="P165" s="207">
        <f t="shared" si="105"/>
        <v>0</v>
      </c>
      <c r="Q165" s="207"/>
      <c r="R165" s="207">
        <f>SUM(R163:R164)</f>
        <v>2683548.35</v>
      </c>
      <c r="S165" s="207"/>
      <c r="T165" s="46">
        <f>N165-37</f>
        <v>7386954.3499999996</v>
      </c>
      <c r="U165" s="46">
        <f>U163+U164</f>
        <v>7386954.3499999996</v>
      </c>
      <c r="Z165" s="85">
        <f>Z164+R164</f>
        <v>9935069.4000000004</v>
      </c>
    </row>
    <row r="166" spans="1:26">
      <c r="A166" s="305"/>
      <c r="B166" s="69" t="s">
        <v>300</v>
      </c>
      <c r="C166" s="66" t="s">
        <v>226</v>
      </c>
      <c r="D166" s="69"/>
      <c r="E166" s="60"/>
      <c r="F166" s="60"/>
      <c r="G166" s="60"/>
      <c r="H166" s="60"/>
      <c r="I166" s="60"/>
      <c r="J166" s="73"/>
      <c r="K166" s="73"/>
      <c r="L166" s="74"/>
      <c r="M166" s="207"/>
      <c r="N166" s="207">
        <f>P166</f>
        <v>150399</v>
      </c>
      <c r="O166" s="207"/>
      <c r="P166" s="207">
        <v>150399</v>
      </c>
      <c r="Q166" s="207"/>
      <c r="R166" s="207"/>
      <c r="S166" s="207"/>
      <c r="T166" s="46">
        <f>P166</f>
        <v>150399</v>
      </c>
      <c r="U166" s="46">
        <f>T166</f>
        <v>150399</v>
      </c>
      <c r="Z166" s="85"/>
    </row>
    <row r="167" spans="1:26">
      <c r="A167" s="305"/>
      <c r="B167" s="89" t="s">
        <v>225</v>
      </c>
      <c r="C167" s="184" t="s">
        <v>219</v>
      </c>
      <c r="D167" s="64" t="s">
        <v>101</v>
      </c>
      <c r="E167" s="60"/>
      <c r="F167" s="60"/>
      <c r="G167" s="60">
        <v>4</v>
      </c>
      <c r="H167" s="60">
        <v>4</v>
      </c>
      <c r="I167" s="60">
        <v>4</v>
      </c>
      <c r="J167" s="73"/>
      <c r="K167" s="73"/>
      <c r="L167" s="74"/>
      <c r="M167" s="207"/>
      <c r="N167" s="207">
        <f>S167</f>
        <v>179700</v>
      </c>
      <c r="O167" s="207"/>
      <c r="P167" s="207"/>
      <c r="Q167" s="207"/>
      <c r="R167" s="207"/>
      <c r="S167" s="207">
        <v>179700</v>
      </c>
      <c r="T167" s="46">
        <f>S167</f>
        <v>179700</v>
      </c>
      <c r="U167" s="46">
        <f>T167</f>
        <v>179700</v>
      </c>
      <c r="V167" s="85"/>
    </row>
    <row r="168" spans="1:26">
      <c r="A168" s="305"/>
      <c r="B168" s="89" t="s">
        <v>225</v>
      </c>
      <c r="C168" s="184" t="s">
        <v>226</v>
      </c>
      <c r="D168" s="64" t="s">
        <v>101</v>
      </c>
      <c r="E168" s="60"/>
      <c r="F168" s="60"/>
      <c r="G168" s="60"/>
      <c r="H168" s="60"/>
      <c r="I168" s="60"/>
      <c r="J168" s="73"/>
      <c r="K168" s="73"/>
      <c r="L168" s="74"/>
      <c r="M168" s="207"/>
      <c r="N168" s="207">
        <f t="shared" ref="N168:N169" si="106">S168</f>
        <v>0</v>
      </c>
      <c r="O168" s="207"/>
      <c r="P168" s="207"/>
      <c r="Q168" s="207"/>
      <c r="R168" s="207"/>
      <c r="S168" s="207"/>
      <c r="T168" s="46">
        <f>Q168</f>
        <v>0</v>
      </c>
      <c r="U168" s="46">
        <f>T168</f>
        <v>0</v>
      </c>
      <c r="V168" s="85"/>
    </row>
    <row r="169" spans="1:26">
      <c r="A169" s="305"/>
      <c r="B169" s="89" t="s">
        <v>299</v>
      </c>
      <c r="C169" s="184" t="s">
        <v>219</v>
      </c>
      <c r="D169" s="64"/>
      <c r="E169" s="60"/>
      <c r="F169" s="60"/>
      <c r="G169" s="60"/>
      <c r="H169" s="60"/>
      <c r="I169" s="60"/>
      <c r="J169" s="73"/>
      <c r="K169" s="73"/>
      <c r="L169" s="74"/>
      <c r="M169" s="207"/>
      <c r="N169" s="207">
        <f t="shared" si="106"/>
        <v>2800</v>
      </c>
      <c r="O169" s="207"/>
      <c r="P169" s="207"/>
      <c r="Q169" s="207"/>
      <c r="R169" s="207"/>
      <c r="S169" s="207">
        <v>2800</v>
      </c>
      <c r="T169" s="46"/>
      <c r="U169" s="46"/>
      <c r="V169" s="85"/>
    </row>
    <row r="170" spans="1:26">
      <c r="A170" s="305"/>
      <c r="B170" s="89" t="s">
        <v>265</v>
      </c>
      <c r="C170" s="184" t="s">
        <v>226</v>
      </c>
      <c r="D170" s="64"/>
      <c r="E170" s="60"/>
      <c r="F170" s="60"/>
      <c r="G170" s="60"/>
      <c r="H170" s="60"/>
      <c r="I170" s="60"/>
      <c r="J170" s="73"/>
      <c r="K170" s="73"/>
      <c r="L170" s="74"/>
      <c r="M170" s="207"/>
      <c r="N170" s="207">
        <f>O170</f>
        <v>508591</v>
      </c>
      <c r="O170" s="207">
        <v>508591</v>
      </c>
      <c r="P170" s="207"/>
      <c r="Q170" s="207"/>
      <c r="R170" s="207"/>
      <c r="S170" s="207"/>
      <c r="T170" s="46">
        <f>O170</f>
        <v>508591</v>
      </c>
      <c r="U170" s="46">
        <f>T170</f>
        <v>508591</v>
      </c>
    </row>
    <row r="171" spans="1:26">
      <c r="A171" s="305"/>
      <c r="B171" s="101" t="s">
        <v>112</v>
      </c>
      <c r="C171" s="101"/>
      <c r="D171" s="69"/>
      <c r="E171" s="102">
        <f t="shared" ref="E171:F171" si="107">E147+E156+E162</f>
        <v>825</v>
      </c>
      <c r="F171" s="102">
        <f t="shared" si="107"/>
        <v>825</v>
      </c>
      <c r="G171" s="102">
        <f>G147+G156+G162</f>
        <v>825</v>
      </c>
      <c r="H171" s="102">
        <f>H147+H156+H162</f>
        <v>825</v>
      </c>
      <c r="I171" s="102">
        <f>I147+I156+I162</f>
        <v>825</v>
      </c>
      <c r="J171" s="104"/>
      <c r="K171" s="104"/>
      <c r="L171" s="103"/>
      <c r="M171" s="138"/>
      <c r="N171" s="138">
        <f>SUM(O171:S171)</f>
        <v>52240166.001924507</v>
      </c>
      <c r="O171" s="138">
        <f>O147+O156+O162+O165+O170</f>
        <v>34835138.000000007</v>
      </c>
      <c r="P171" s="138">
        <f>P147+P156+P162+P165+P166+P167+P168</f>
        <v>8111628.0019244989</v>
      </c>
      <c r="Q171" s="138">
        <f t="shared" ref="Q171" si="108">Q147+Q156+Q162+Q165+Q166+Q167+Q168</f>
        <v>0</v>
      </c>
      <c r="R171" s="138">
        <f>R147+R156+R162+R165+R166+R167+R168+R169</f>
        <v>9110900</v>
      </c>
      <c r="S171" s="138">
        <f>S147+S156+S162+S165+S166+S167+S168+S169</f>
        <v>182500</v>
      </c>
      <c r="T171" s="138">
        <f>T147+T156+T162+T165+T166+T167+T168+T169+T170</f>
        <v>52237329.001924507</v>
      </c>
      <c r="U171" s="138">
        <f>U147+U156+U162+U165+U166+U167+U168+U169+U170</f>
        <v>52237329.001924507</v>
      </c>
      <c r="V171" s="80">
        <f>9886289.4+48780</f>
        <v>9935069.4000000004</v>
      </c>
      <c r="W171" s="85">
        <f>V171-R171</f>
        <v>824169.40000000037</v>
      </c>
      <c r="X171" s="80">
        <f>W171/I171</f>
        <v>998.99321212121254</v>
      </c>
    </row>
    <row r="172" spans="1:26" ht="193.2">
      <c r="A172" s="305" t="s">
        <v>119</v>
      </c>
      <c r="B172" s="306" t="s">
        <v>238</v>
      </c>
      <c r="C172" s="61" t="s">
        <v>120</v>
      </c>
      <c r="D172" s="62" t="s">
        <v>121</v>
      </c>
      <c r="E172" s="121" t="s">
        <v>192</v>
      </c>
      <c r="F172" s="121" t="s">
        <v>192</v>
      </c>
      <c r="G172" s="121" t="s">
        <v>192</v>
      </c>
      <c r="H172" s="121" t="s">
        <v>192</v>
      </c>
      <c r="I172" s="121" t="s">
        <v>192</v>
      </c>
      <c r="J172" s="107" t="s">
        <v>263</v>
      </c>
      <c r="K172" s="107" t="s">
        <v>301</v>
      </c>
      <c r="L172" s="70" t="s">
        <v>302</v>
      </c>
      <c r="M172" s="202" t="s">
        <v>319</v>
      </c>
      <c r="N172" s="203">
        <f>SUM(O172:R172)</f>
        <v>3509342.13982902</v>
      </c>
      <c r="O172" s="203">
        <f>(668575.57*3)+((1329.32*67)/12*8+(1329.32*67)/12*4)-0.44</f>
        <v>2094790.71</v>
      </c>
      <c r="P172" s="203">
        <f>((4001.99*2.411294*67)/12*8)+((4001.99*2.411294*67)/12*4)-0.44</f>
        <v>646547.84982901998</v>
      </c>
      <c r="Q172" s="203"/>
      <c r="R172" s="46">
        <f>((11462.74*67)/12*8)+((11462.74*67)/12*4)</f>
        <v>768003.58</v>
      </c>
      <c r="S172" s="46"/>
      <c r="T172" s="46">
        <f>N172</f>
        <v>3509342.13982902</v>
      </c>
      <c r="U172" s="46">
        <f>T172</f>
        <v>3509342.13982902</v>
      </c>
      <c r="V172" s="80">
        <f>N172/3</f>
        <v>1169780.7132763399</v>
      </c>
      <c r="W172" s="80">
        <f>12300.53*67</f>
        <v>824135.51</v>
      </c>
      <c r="X172" s="80">
        <f>1342.39+12011.78+(4001.99*2.3654)</f>
        <v>22820.477146000001</v>
      </c>
      <c r="Y172" s="80">
        <f>4001.99*2.3654</f>
        <v>9466.307146000001</v>
      </c>
    </row>
    <row r="173" spans="1:26" ht="179.4">
      <c r="A173" s="305"/>
      <c r="B173" s="306"/>
      <c r="C173" s="61" t="s">
        <v>128</v>
      </c>
      <c r="D173" s="62" t="s">
        <v>121</v>
      </c>
      <c r="E173" s="121" t="s">
        <v>304</v>
      </c>
      <c r="F173" s="121" t="s">
        <v>304</v>
      </c>
      <c r="G173" s="121" t="s">
        <v>304</v>
      </c>
      <c r="H173" s="121" t="s">
        <v>304</v>
      </c>
      <c r="I173" s="121" t="s">
        <v>304</v>
      </c>
      <c r="J173" s="107" t="s">
        <v>264</v>
      </c>
      <c r="K173" s="107" t="s">
        <v>303</v>
      </c>
      <c r="L173" s="70" t="s">
        <v>302</v>
      </c>
      <c r="M173" s="202" t="s">
        <v>319</v>
      </c>
      <c r="N173" s="203">
        <f>SUM(O173:R173)</f>
        <v>1010426.7460760199</v>
      </c>
      <c r="O173" s="203">
        <f>(((628912.16*1)/12*8+(628912.16*1)/12*4)+((1329.32*17)/12*8+(1329.32*17)/12*4))</f>
        <v>651510.6</v>
      </c>
      <c r="P173" s="203">
        <f>((4001.99*2.411294*17)/12*8)+((4001.99*2.411294*17)/12*4)</f>
        <v>164049.56607601998</v>
      </c>
      <c r="Q173" s="203"/>
      <c r="R173" s="46">
        <f>((11462.74*17)/12*8)+((11462.74*17)/12*4)</f>
        <v>194866.58</v>
      </c>
      <c r="S173" s="46"/>
      <c r="T173" s="46">
        <f>N173</f>
        <v>1010426.7460760199</v>
      </c>
      <c r="U173" s="46">
        <f>T173</f>
        <v>1010426.7460760199</v>
      </c>
      <c r="W173" s="80">
        <f>12300.53*19</f>
        <v>233710.07</v>
      </c>
    </row>
    <row r="174" spans="1:26" ht="82.8">
      <c r="A174" s="305"/>
      <c r="B174" s="306"/>
      <c r="C174" s="63" t="s">
        <v>102</v>
      </c>
      <c r="D174" s="64" t="s">
        <v>101</v>
      </c>
      <c r="E174" s="65"/>
      <c r="F174" s="65"/>
      <c r="G174" s="65"/>
      <c r="H174" s="65"/>
      <c r="I174" s="65"/>
      <c r="J174" s="150" t="s">
        <v>103</v>
      </c>
      <c r="K174" s="150" t="s">
        <v>103</v>
      </c>
      <c r="L174" s="150" t="s">
        <v>103</v>
      </c>
      <c r="M174" s="208" t="s">
        <v>103</v>
      </c>
      <c r="N174" s="203">
        <f t="shared" ref="N174:N178" si="109">SUM(O174:R174)</f>
        <v>0</v>
      </c>
      <c r="O174" s="208" t="s">
        <v>103</v>
      </c>
      <c r="P174" s="208" t="s">
        <v>103</v>
      </c>
      <c r="Q174" s="208"/>
      <c r="R174" s="208" t="s">
        <v>103</v>
      </c>
      <c r="S174" s="208"/>
      <c r="T174" s="46">
        <f t="shared" ref="T174:T178" si="110">N174</f>
        <v>0</v>
      </c>
      <c r="U174" s="46">
        <f t="shared" ref="U174:U178" si="111">T174</f>
        <v>0</v>
      </c>
    </row>
    <row r="175" spans="1:26">
      <c r="A175" s="305"/>
      <c r="B175" s="306"/>
      <c r="C175" s="63" t="s">
        <v>166</v>
      </c>
      <c r="D175" s="64" t="s">
        <v>101</v>
      </c>
      <c r="E175" s="59">
        <v>5</v>
      </c>
      <c r="F175" s="59">
        <v>5</v>
      </c>
      <c r="G175" s="59">
        <v>5</v>
      </c>
      <c r="H175" s="59">
        <v>5</v>
      </c>
      <c r="I175" s="59">
        <v>5</v>
      </c>
      <c r="J175" s="75">
        <f>K175</f>
        <v>80183.77</v>
      </c>
      <c r="K175" s="75">
        <v>80183.77</v>
      </c>
      <c r="L175" s="72"/>
      <c r="M175" s="206"/>
      <c r="N175" s="203">
        <f t="shared" si="109"/>
        <v>400918.85000000003</v>
      </c>
      <c r="O175" s="203">
        <f>G175*K175</f>
        <v>400918.85000000003</v>
      </c>
      <c r="P175" s="203"/>
      <c r="Q175" s="203"/>
      <c r="R175" s="210"/>
      <c r="S175" s="210"/>
      <c r="T175" s="46">
        <f t="shared" si="110"/>
        <v>400918.85000000003</v>
      </c>
      <c r="U175" s="46">
        <f t="shared" si="111"/>
        <v>400918.85000000003</v>
      </c>
    </row>
    <row r="176" spans="1:26">
      <c r="A176" s="305"/>
      <c r="B176" s="306"/>
      <c r="C176" s="63" t="s">
        <v>168</v>
      </c>
      <c r="D176" s="64" t="s">
        <v>101</v>
      </c>
      <c r="E176" s="59">
        <v>1</v>
      </c>
      <c r="F176" s="59">
        <v>1</v>
      </c>
      <c r="G176" s="59">
        <v>1</v>
      </c>
      <c r="H176" s="59">
        <v>1</v>
      </c>
      <c r="I176" s="59">
        <v>1</v>
      </c>
      <c r="J176" s="75">
        <f>K176</f>
        <v>28342.92</v>
      </c>
      <c r="K176" s="75">
        <v>28342.92</v>
      </c>
      <c r="L176" s="72"/>
      <c r="M176" s="206"/>
      <c r="N176" s="203">
        <f t="shared" si="109"/>
        <v>28342.92</v>
      </c>
      <c r="O176" s="203">
        <f>G176*K176</f>
        <v>28342.92</v>
      </c>
      <c r="P176" s="203"/>
      <c r="Q176" s="203"/>
      <c r="R176" s="210"/>
      <c r="S176" s="210"/>
      <c r="T176" s="46">
        <f t="shared" si="110"/>
        <v>28342.92</v>
      </c>
      <c r="U176" s="46">
        <f t="shared" si="111"/>
        <v>28342.92</v>
      </c>
    </row>
    <row r="177" spans="1:24" ht="82.8">
      <c r="A177" s="305"/>
      <c r="B177" s="306"/>
      <c r="C177" s="61" t="s">
        <v>173</v>
      </c>
      <c r="D177" s="64" t="s">
        <v>101</v>
      </c>
      <c r="E177" s="59">
        <v>1</v>
      </c>
      <c r="F177" s="59">
        <v>1</v>
      </c>
      <c r="G177" s="59">
        <v>1</v>
      </c>
      <c r="H177" s="59">
        <v>1</v>
      </c>
      <c r="I177" s="59">
        <v>1</v>
      </c>
      <c r="J177" s="75">
        <f>K177</f>
        <v>182344.64</v>
      </c>
      <c r="K177" s="75">
        <f>181015.32+1329.32</f>
        <v>182344.64</v>
      </c>
      <c r="L177" s="70" t="s">
        <v>302</v>
      </c>
      <c r="M177" s="202" t="s">
        <v>319</v>
      </c>
      <c r="N177" s="203">
        <f t="shared" si="109"/>
        <v>203457.35447506001</v>
      </c>
      <c r="O177" s="203">
        <f>G177*K177</f>
        <v>182344.64</v>
      </c>
      <c r="P177" s="203">
        <f>G177*4001.99*2.411294</f>
        <v>9649.9744750599984</v>
      </c>
      <c r="Q177" s="203"/>
      <c r="R177" s="203">
        <f>G177*11462.74</f>
        <v>11462.74</v>
      </c>
      <c r="S177" s="210"/>
      <c r="T177" s="46">
        <f t="shared" si="110"/>
        <v>203457.35447506001</v>
      </c>
      <c r="U177" s="46">
        <f t="shared" si="111"/>
        <v>203457.35447506001</v>
      </c>
    </row>
    <row r="178" spans="1:24" ht="82.8">
      <c r="A178" s="305"/>
      <c r="B178" s="306"/>
      <c r="C178" s="61" t="s">
        <v>174</v>
      </c>
      <c r="D178" s="64" t="s">
        <v>101</v>
      </c>
      <c r="E178" s="59"/>
      <c r="F178" s="59"/>
      <c r="G178" s="59">
        <f t="shared" ref="G178" si="112">((E178*8)+(F178*4))/12</f>
        <v>0</v>
      </c>
      <c r="H178" s="59"/>
      <c r="I178" s="59"/>
      <c r="J178" s="75">
        <f>K178</f>
        <v>25930.91</v>
      </c>
      <c r="K178" s="75">
        <v>25930.91</v>
      </c>
      <c r="L178" s="71" t="s">
        <v>104</v>
      </c>
      <c r="M178" s="203" t="s">
        <v>104</v>
      </c>
      <c r="N178" s="203">
        <f t="shared" si="109"/>
        <v>0</v>
      </c>
      <c r="O178" s="203">
        <f>G178*K178</f>
        <v>0</v>
      </c>
      <c r="P178" s="203" t="s">
        <v>104</v>
      </c>
      <c r="Q178" s="203"/>
      <c r="R178" s="210" t="s">
        <v>104</v>
      </c>
      <c r="S178" s="210"/>
      <c r="T178" s="46">
        <f t="shared" si="110"/>
        <v>0</v>
      </c>
      <c r="U178" s="46">
        <f t="shared" si="111"/>
        <v>0</v>
      </c>
    </row>
    <row r="179" spans="1:24">
      <c r="A179" s="305"/>
      <c r="B179" s="306"/>
      <c r="C179" s="66" t="s">
        <v>106</v>
      </c>
      <c r="D179" s="67"/>
      <c r="E179" s="121" t="s">
        <v>305</v>
      </c>
      <c r="F179" s="121" t="s">
        <v>305</v>
      </c>
      <c r="G179" s="121" t="s">
        <v>305</v>
      </c>
      <c r="H179" s="121" t="s">
        <v>305</v>
      </c>
      <c r="I179" s="121" t="s">
        <v>305</v>
      </c>
      <c r="J179" s="71" t="s">
        <v>104</v>
      </c>
      <c r="K179" s="71" t="s">
        <v>104</v>
      </c>
      <c r="L179" s="71" t="s">
        <v>104</v>
      </c>
      <c r="M179" s="203" t="s">
        <v>104</v>
      </c>
      <c r="N179" s="203">
        <f>SUM(O179:R179)</f>
        <v>5152488.0103801005</v>
      </c>
      <c r="O179" s="203">
        <f>SUM(O172:O178)</f>
        <v>3357907.72</v>
      </c>
      <c r="P179" s="203">
        <f>SUM(P172:P178)</f>
        <v>820247.3903801</v>
      </c>
      <c r="Q179" s="203"/>
      <c r="R179" s="203">
        <f t="shared" ref="R179:U179" si="113">SUM(R172:R178)</f>
        <v>974332.89999999991</v>
      </c>
      <c r="S179" s="203"/>
      <c r="T179" s="203">
        <f>SUM(T172:T178)</f>
        <v>5152488.0103801005</v>
      </c>
      <c r="U179" s="203">
        <f t="shared" si="113"/>
        <v>5152488.0103801005</v>
      </c>
    </row>
    <row r="180" spans="1:24" ht="193.2">
      <c r="A180" s="305"/>
      <c r="B180" s="306" t="s">
        <v>239</v>
      </c>
      <c r="C180" s="61" t="s">
        <v>120</v>
      </c>
      <c r="D180" s="62" t="s">
        <v>121</v>
      </c>
      <c r="E180" s="121" t="s">
        <v>306</v>
      </c>
      <c r="F180" s="121" t="s">
        <v>306</v>
      </c>
      <c r="G180" s="121" t="s">
        <v>306</v>
      </c>
      <c r="H180" s="121" t="s">
        <v>306</v>
      </c>
      <c r="I180" s="121" t="s">
        <v>306</v>
      </c>
      <c r="J180" s="107" t="s">
        <v>309</v>
      </c>
      <c r="K180" s="107" t="s">
        <v>310</v>
      </c>
      <c r="L180" s="70" t="s">
        <v>302</v>
      </c>
      <c r="M180" s="202" t="s">
        <v>319</v>
      </c>
      <c r="N180" s="203">
        <f t="shared" ref="N180:N181" si="114">SUM(O180:R180)</f>
        <v>4270554.9822043199</v>
      </c>
      <c r="O180" s="203">
        <f>(((877875.1*3)/12*8+(877875.1*3)/12*4)+((1622.42*72)/12*8+(1622.42*72)/12*4))</f>
        <v>2750439.54</v>
      </c>
      <c r="P180" s="203">
        <f>((4001.99*2.411294*72)/12*8)+((4001.99*2.411294*72)/12*4)</f>
        <v>694798.16220431984</v>
      </c>
      <c r="Q180" s="203"/>
      <c r="R180" s="203">
        <f>((11462.74*72)/12*8)+((11462.74*72)/12*4)</f>
        <v>825317.28</v>
      </c>
      <c r="S180" s="203"/>
      <c r="T180" s="46">
        <f>N180</f>
        <v>4270554.9822043199</v>
      </c>
      <c r="U180" s="46">
        <f>T180</f>
        <v>4270554.9822043199</v>
      </c>
      <c r="V180" s="124"/>
      <c r="W180" s="80">
        <f>12300.53*86</f>
        <v>1057845.58</v>
      </c>
    </row>
    <row r="181" spans="1:24" ht="179.4">
      <c r="A181" s="305"/>
      <c r="B181" s="306"/>
      <c r="C181" s="61" t="s">
        <v>128</v>
      </c>
      <c r="D181" s="62" t="s">
        <v>121</v>
      </c>
      <c r="E181" s="79" t="s">
        <v>307</v>
      </c>
      <c r="F181" s="79" t="s">
        <v>307</v>
      </c>
      <c r="G181" s="79" t="s">
        <v>307</v>
      </c>
      <c r="H181" s="79" t="s">
        <v>307</v>
      </c>
      <c r="I181" s="79" t="s">
        <v>307</v>
      </c>
      <c r="J181" s="107" t="s">
        <v>311</v>
      </c>
      <c r="K181" s="107" t="s">
        <v>308</v>
      </c>
      <c r="L181" s="70" t="s">
        <v>302</v>
      </c>
      <c r="M181" s="202" t="s">
        <v>319</v>
      </c>
      <c r="N181" s="203">
        <f t="shared" si="114"/>
        <v>3362285.7569026398</v>
      </c>
      <c r="O181" s="203">
        <f>(((787313.28*3)/12*8+(787313.28*3)/12*4)+((1622.42*44)/12*8+(1622.42*44)/12*4))</f>
        <v>2433326.3199999998</v>
      </c>
      <c r="P181" s="203">
        <f>((4001.99*2.411294*44)/12*8)+((4001.99*2.411294*44)/12*4)</f>
        <v>424598.87690263992</v>
      </c>
      <c r="Q181" s="203"/>
      <c r="R181" s="203">
        <f>((11462.74*44)/12*8)+((11462.74*44)/12*4)</f>
        <v>504360.56000000006</v>
      </c>
      <c r="S181" s="203"/>
      <c r="T181" s="46">
        <f>N181</f>
        <v>3362285.7569026398</v>
      </c>
      <c r="U181" s="46">
        <f>T181</f>
        <v>3362285.7569026398</v>
      </c>
      <c r="W181" s="80">
        <f>12300.53*29</f>
        <v>356715.37</v>
      </c>
      <c r="X181" s="80">
        <f>1638.38+12011.78+(4001.99*2.3654)</f>
        <v>23116.467146000003</v>
      </c>
    </row>
    <row r="182" spans="1:24" ht="82.8">
      <c r="A182" s="305"/>
      <c r="B182" s="306"/>
      <c r="C182" s="63" t="s">
        <v>163</v>
      </c>
      <c r="D182" s="64" t="s">
        <v>101</v>
      </c>
      <c r="E182" s="59" t="s">
        <v>104</v>
      </c>
      <c r="F182" s="59" t="s">
        <v>104</v>
      </c>
      <c r="G182" s="59" t="s">
        <v>104</v>
      </c>
      <c r="H182" s="59" t="s">
        <v>104</v>
      </c>
      <c r="I182" s="59" t="s">
        <v>104</v>
      </c>
      <c r="J182" s="59" t="s">
        <v>104</v>
      </c>
      <c r="K182" s="59" t="s">
        <v>104</v>
      </c>
      <c r="L182" s="59" t="s">
        <v>104</v>
      </c>
      <c r="M182" s="123" t="s">
        <v>104</v>
      </c>
      <c r="N182" s="203"/>
      <c r="O182" s="203"/>
      <c r="P182" s="123" t="s">
        <v>104</v>
      </c>
      <c r="Q182" s="123"/>
      <c r="R182" s="123" t="s">
        <v>104</v>
      </c>
      <c r="S182" s="123"/>
      <c r="T182" s="46"/>
      <c r="U182" s="46"/>
    </row>
    <row r="183" spans="1:24">
      <c r="A183" s="305"/>
      <c r="B183" s="192"/>
      <c r="C183" s="63" t="s">
        <v>165</v>
      </c>
      <c r="D183" s="64"/>
      <c r="E183" s="60">
        <v>1</v>
      </c>
      <c r="F183" s="60">
        <v>1</v>
      </c>
      <c r="G183" s="60">
        <v>1</v>
      </c>
      <c r="H183" s="60">
        <v>1</v>
      </c>
      <c r="I183" s="60">
        <v>1</v>
      </c>
      <c r="J183" s="75">
        <f>K183</f>
        <v>112063.65</v>
      </c>
      <c r="K183" s="75">
        <v>112063.65</v>
      </c>
      <c r="L183" s="59" t="s">
        <v>104</v>
      </c>
      <c r="M183" s="123" t="s">
        <v>104</v>
      </c>
      <c r="N183" s="203">
        <f>O183</f>
        <v>112063.65</v>
      </c>
      <c r="O183" s="201">
        <f>G183*K183</f>
        <v>112063.65</v>
      </c>
      <c r="P183" s="123" t="s">
        <v>104</v>
      </c>
      <c r="Q183" s="123"/>
      <c r="R183" s="123" t="s">
        <v>104</v>
      </c>
      <c r="S183" s="123"/>
      <c r="T183" s="46">
        <f>H183*K183</f>
        <v>112063.65</v>
      </c>
      <c r="U183" s="46">
        <f>I183*K183</f>
        <v>112063.65</v>
      </c>
    </row>
    <row r="184" spans="1:24">
      <c r="A184" s="305"/>
      <c r="B184" s="192"/>
      <c r="C184" s="63" t="s">
        <v>168</v>
      </c>
      <c r="D184" s="64"/>
      <c r="E184" s="60">
        <v>1</v>
      </c>
      <c r="F184" s="60">
        <v>1</v>
      </c>
      <c r="G184" s="60">
        <v>1</v>
      </c>
      <c r="H184" s="60">
        <v>1</v>
      </c>
      <c r="I184" s="60">
        <v>1</v>
      </c>
      <c r="J184" s="75">
        <f>K184</f>
        <v>28342.92</v>
      </c>
      <c r="K184" s="75">
        <v>28342.92</v>
      </c>
      <c r="L184" s="105" t="s">
        <v>104</v>
      </c>
      <c r="M184" s="123" t="s">
        <v>104</v>
      </c>
      <c r="N184" s="203">
        <f>O184</f>
        <v>28342.92</v>
      </c>
      <c r="O184" s="201">
        <f>G184*K184</f>
        <v>28342.92</v>
      </c>
      <c r="P184" s="123" t="s">
        <v>104</v>
      </c>
      <c r="Q184" s="123"/>
      <c r="R184" s="123" t="s">
        <v>104</v>
      </c>
      <c r="S184" s="123"/>
      <c r="T184" s="46">
        <f>H184*K184</f>
        <v>28342.92</v>
      </c>
      <c r="U184" s="46">
        <f>I184*K184</f>
        <v>28342.92</v>
      </c>
    </row>
    <row r="185" spans="1:24" ht="82.8">
      <c r="A185" s="305"/>
      <c r="B185" s="192"/>
      <c r="C185" s="76" t="s">
        <v>173</v>
      </c>
      <c r="D185" s="64" t="s">
        <v>101</v>
      </c>
      <c r="E185" s="79"/>
      <c r="F185" s="79"/>
      <c r="G185" s="59"/>
      <c r="H185" s="79"/>
      <c r="I185" s="79"/>
      <c r="J185" s="75">
        <f>SUM(K185:M185)</f>
        <v>227533.04</v>
      </c>
      <c r="K185" s="75">
        <f>225910.62+1622.42</f>
        <v>227533.04</v>
      </c>
      <c r="L185" s="70" t="s">
        <v>302</v>
      </c>
      <c r="M185" s="202" t="s">
        <v>319</v>
      </c>
      <c r="N185" s="201">
        <f>SUM(O185:R185)</f>
        <v>0</v>
      </c>
      <c r="O185" s="201">
        <f>G185*K185</f>
        <v>0</v>
      </c>
      <c r="P185" s="201">
        <f>G185*4001.99*2.3654</f>
        <v>0</v>
      </c>
      <c r="Q185" s="201"/>
      <c r="R185" s="201">
        <f>G185*11462.74</f>
        <v>0</v>
      </c>
      <c r="S185" s="201"/>
      <c r="T185" s="46">
        <f>N185</f>
        <v>0</v>
      </c>
      <c r="U185" s="46">
        <f>T185</f>
        <v>0</v>
      </c>
    </row>
    <row r="186" spans="1:24" ht="82.8">
      <c r="A186" s="305"/>
      <c r="B186" s="192"/>
      <c r="C186" s="61" t="s">
        <v>174</v>
      </c>
      <c r="D186" s="64" t="s">
        <v>101</v>
      </c>
      <c r="E186" s="79">
        <v>2</v>
      </c>
      <c r="F186" s="79">
        <v>2</v>
      </c>
      <c r="G186" s="79">
        <v>2</v>
      </c>
      <c r="H186" s="79">
        <v>2</v>
      </c>
      <c r="I186" s="79">
        <v>2</v>
      </c>
      <c r="J186" s="75">
        <f>K186</f>
        <v>41057.29</v>
      </c>
      <c r="K186" s="75">
        <f>41057.29</f>
        <v>41057.29</v>
      </c>
      <c r="L186" s="74"/>
      <c r="M186" s="207"/>
      <c r="N186" s="201">
        <f>O186</f>
        <v>82114.58</v>
      </c>
      <c r="O186" s="201">
        <f>G186*K186</f>
        <v>82114.58</v>
      </c>
      <c r="P186" s="201"/>
      <c r="Q186" s="201"/>
      <c r="R186" s="201"/>
      <c r="S186" s="201"/>
      <c r="T186" s="46">
        <f>H186*K186</f>
        <v>82114.58</v>
      </c>
      <c r="U186" s="46">
        <f>I186*K186</f>
        <v>82114.58</v>
      </c>
    </row>
    <row r="187" spans="1:24">
      <c r="A187" s="305"/>
      <c r="B187" s="192"/>
      <c r="C187" s="66" t="s">
        <v>106</v>
      </c>
      <c r="D187" s="64"/>
      <c r="E187" s="77" t="s">
        <v>202</v>
      </c>
      <c r="F187" s="77" t="s">
        <v>202</v>
      </c>
      <c r="G187" s="77" t="s">
        <v>202</v>
      </c>
      <c r="H187" s="77" t="s">
        <v>202</v>
      </c>
      <c r="I187" s="77" t="s">
        <v>202</v>
      </c>
      <c r="J187" s="73" t="s">
        <v>104</v>
      </c>
      <c r="K187" s="73" t="s">
        <v>104</v>
      </c>
      <c r="L187" s="74" t="s">
        <v>104</v>
      </c>
      <c r="M187" s="207" t="s">
        <v>104</v>
      </c>
      <c r="N187" s="207">
        <f>SUM(O187:R187)</f>
        <v>7855361.8891069591</v>
      </c>
      <c r="O187" s="207">
        <f>SUM(O180:O186)</f>
        <v>5406287.0099999998</v>
      </c>
      <c r="P187" s="207">
        <f>SUM(P180:P186)</f>
        <v>1119397.0391069597</v>
      </c>
      <c r="Q187" s="207"/>
      <c r="R187" s="207">
        <f t="shared" ref="R187" si="115">SUM(R180:R186)</f>
        <v>1329677.8400000001</v>
      </c>
      <c r="S187" s="207"/>
      <c r="T187" s="207">
        <f>N187</f>
        <v>7855361.8891069591</v>
      </c>
      <c r="U187" s="207">
        <f>T187</f>
        <v>7855361.8891069591</v>
      </c>
    </row>
    <row r="188" spans="1:24" ht="179.4">
      <c r="A188" s="305"/>
      <c r="B188" s="195" t="s">
        <v>240</v>
      </c>
      <c r="C188" s="61" t="s">
        <v>128</v>
      </c>
      <c r="D188" s="62" t="s">
        <v>121</v>
      </c>
      <c r="E188" s="121" t="s">
        <v>149</v>
      </c>
      <c r="F188" s="121" t="s">
        <v>149</v>
      </c>
      <c r="G188" s="121" t="s">
        <v>149</v>
      </c>
      <c r="H188" s="121" t="s">
        <v>149</v>
      </c>
      <c r="I188" s="121" t="s">
        <v>149</v>
      </c>
      <c r="J188" s="107" t="s">
        <v>257</v>
      </c>
      <c r="K188" s="107" t="s">
        <v>313</v>
      </c>
      <c r="L188" s="70" t="s">
        <v>312</v>
      </c>
      <c r="M188" s="202" t="s">
        <v>262</v>
      </c>
      <c r="N188" s="201">
        <f>SUM(O188:R188)</f>
        <v>2074632.4960760199</v>
      </c>
      <c r="O188" s="203">
        <f>(841148.96*2)+((1965.79*17)/12*8+(1965.79*17)/12*4)</f>
        <v>1715716.3499999999</v>
      </c>
      <c r="P188" s="201">
        <f>((17*4001.99*2.411294)/12*8)+((17*4001.99*2.411294)/12*4)</f>
        <v>164049.56607601998</v>
      </c>
      <c r="Q188" s="201"/>
      <c r="R188" s="46">
        <f>11462.74*17</f>
        <v>194866.58</v>
      </c>
      <c r="S188" s="46"/>
      <c r="T188" s="46">
        <f>N188</f>
        <v>2074632.4960760199</v>
      </c>
      <c r="U188" s="46">
        <f>N188</f>
        <v>2074632.4960760199</v>
      </c>
      <c r="W188" s="80">
        <f>12300.53*15</f>
        <v>184507.95</v>
      </c>
      <c r="X188" s="80">
        <f>1985.12+12011.78+(4001.99*2.3654)</f>
        <v>23463.207146000001</v>
      </c>
    </row>
    <row r="189" spans="1:24" ht="82.8">
      <c r="A189" s="305"/>
      <c r="B189" s="192"/>
      <c r="C189" s="63" t="s">
        <v>163</v>
      </c>
      <c r="D189" s="64" t="s">
        <v>101</v>
      </c>
      <c r="E189" s="121"/>
      <c r="F189" s="121"/>
      <c r="G189" s="121"/>
      <c r="H189" s="121"/>
      <c r="I189" s="121"/>
      <c r="J189" s="107"/>
      <c r="K189" s="107"/>
      <c r="L189" s="70"/>
      <c r="M189" s="202"/>
      <c r="N189" s="201"/>
      <c r="O189" s="203"/>
      <c r="P189" s="201"/>
      <c r="Q189" s="201"/>
      <c r="R189" s="46"/>
      <c r="S189" s="46"/>
      <c r="T189" s="46"/>
      <c r="U189" s="46"/>
    </row>
    <row r="190" spans="1:24">
      <c r="A190" s="305"/>
      <c r="B190" s="192"/>
      <c r="C190" s="63" t="s">
        <v>165</v>
      </c>
      <c r="D190" s="64" t="s">
        <v>101</v>
      </c>
      <c r="E190" s="121"/>
      <c r="F190" s="121"/>
      <c r="G190" s="59"/>
      <c r="H190" s="121"/>
      <c r="I190" s="121"/>
      <c r="J190" s="107">
        <f>K190</f>
        <v>112063.65</v>
      </c>
      <c r="K190" s="107">
        <v>112063.65</v>
      </c>
      <c r="L190" s="70"/>
      <c r="M190" s="202"/>
      <c r="N190" s="201">
        <f>O190</f>
        <v>0</v>
      </c>
      <c r="O190" s="203">
        <f>K190*G190</f>
        <v>0</v>
      </c>
      <c r="P190" s="201"/>
      <c r="Q190" s="201"/>
      <c r="R190" s="46"/>
      <c r="S190" s="46"/>
      <c r="T190" s="46">
        <f>G190*K190</f>
        <v>0</v>
      </c>
      <c r="U190" s="46">
        <f>T190</f>
        <v>0</v>
      </c>
    </row>
    <row r="191" spans="1:24">
      <c r="A191" s="305"/>
      <c r="B191" s="192"/>
      <c r="C191" s="63" t="s">
        <v>168</v>
      </c>
      <c r="D191" s="64" t="s">
        <v>101</v>
      </c>
      <c r="E191" s="121">
        <v>1</v>
      </c>
      <c r="F191" s="121">
        <v>1</v>
      </c>
      <c r="G191" s="121">
        <v>1</v>
      </c>
      <c r="H191" s="121">
        <v>1</v>
      </c>
      <c r="I191" s="121">
        <v>1</v>
      </c>
      <c r="J191" s="107">
        <f>K191</f>
        <v>28342.92</v>
      </c>
      <c r="K191" s="107">
        <v>28342.92</v>
      </c>
      <c r="L191" s="70"/>
      <c r="M191" s="202"/>
      <c r="N191" s="201">
        <f>O191</f>
        <v>28342.92</v>
      </c>
      <c r="O191" s="203">
        <f>K191*G191</f>
        <v>28342.92</v>
      </c>
      <c r="P191" s="201"/>
      <c r="Q191" s="201"/>
      <c r="R191" s="46"/>
      <c r="S191" s="46"/>
      <c r="T191" s="46">
        <f>G191*K191</f>
        <v>28342.92</v>
      </c>
      <c r="U191" s="46">
        <f>T191</f>
        <v>28342.92</v>
      </c>
    </row>
    <row r="192" spans="1:24">
      <c r="A192" s="305"/>
      <c r="B192" s="192"/>
      <c r="C192" s="66" t="s">
        <v>106</v>
      </c>
      <c r="D192" s="64"/>
      <c r="E192" s="121" t="str">
        <f>E188</f>
        <v>2\17</v>
      </c>
      <c r="F192" s="121" t="str">
        <f>F188</f>
        <v>2\17</v>
      </c>
      <c r="G192" s="121" t="str">
        <f>G188</f>
        <v>2\17</v>
      </c>
      <c r="H192" s="121" t="str">
        <f>H188</f>
        <v>2\17</v>
      </c>
      <c r="I192" s="121" t="str">
        <f>I188</f>
        <v>2\17</v>
      </c>
      <c r="J192" s="73" t="s">
        <v>104</v>
      </c>
      <c r="K192" s="73" t="s">
        <v>104</v>
      </c>
      <c r="L192" s="74" t="s">
        <v>104</v>
      </c>
      <c r="M192" s="207" t="s">
        <v>104</v>
      </c>
      <c r="N192" s="207">
        <f>SUM(N188:N191)</f>
        <v>2102975.4160760199</v>
      </c>
      <c r="O192" s="207">
        <f>SUM(O188:O191)</f>
        <v>1744059.2699999998</v>
      </c>
      <c r="P192" s="207">
        <f t="shared" ref="P192:U192" si="116">SUM(P188:P191)</f>
        <v>164049.56607601998</v>
      </c>
      <c r="Q192" s="207"/>
      <c r="R192" s="207">
        <f>SUM(R188:R191)</f>
        <v>194866.58</v>
      </c>
      <c r="S192" s="207"/>
      <c r="T192" s="207">
        <f t="shared" si="116"/>
        <v>2102975.4160760199</v>
      </c>
      <c r="U192" s="207">
        <f t="shared" si="116"/>
        <v>2102975.4160760199</v>
      </c>
    </row>
    <row r="193" spans="1:24" ht="102" customHeight="1">
      <c r="A193" s="305"/>
      <c r="B193" s="137" t="s">
        <v>241</v>
      </c>
      <c r="C193" s="61" t="s">
        <v>186</v>
      </c>
      <c r="D193" s="64" t="s">
        <v>101</v>
      </c>
      <c r="E193" s="60">
        <v>299</v>
      </c>
      <c r="F193" s="60">
        <v>299</v>
      </c>
      <c r="G193" s="60">
        <v>299</v>
      </c>
      <c r="H193" s="60">
        <v>299</v>
      </c>
      <c r="I193" s="60">
        <v>299</v>
      </c>
      <c r="J193" s="75">
        <f>K193</f>
        <v>4982.75</v>
      </c>
      <c r="K193" s="75">
        <v>4982.75</v>
      </c>
      <c r="L193" s="72" t="s">
        <v>104</v>
      </c>
      <c r="M193" s="206" t="s">
        <v>104</v>
      </c>
      <c r="N193" s="201">
        <f>SUM(O193:R193)</f>
        <v>1489843</v>
      </c>
      <c r="O193" s="201">
        <f>K193*G193+0.75</f>
        <v>1489843</v>
      </c>
      <c r="P193" s="201" t="s">
        <v>104</v>
      </c>
      <c r="Q193" s="201"/>
      <c r="R193" s="201" t="s">
        <v>104</v>
      </c>
      <c r="S193" s="201"/>
      <c r="T193" s="46">
        <f>N193</f>
        <v>1489843</v>
      </c>
      <c r="U193" s="46">
        <f t="shared" ref="U193:U199" si="117">T193</f>
        <v>1489843</v>
      </c>
    </row>
    <row r="194" spans="1:24">
      <c r="A194" s="305"/>
      <c r="B194" s="69"/>
      <c r="C194" s="66" t="s">
        <v>106</v>
      </c>
      <c r="D194" s="69"/>
      <c r="E194" s="60">
        <f>SUM(E193:E193)</f>
        <v>299</v>
      </c>
      <c r="F194" s="60">
        <f>SUM(F193:F193)</f>
        <v>299</v>
      </c>
      <c r="G194" s="60">
        <f>SUM(G193:G193)</f>
        <v>299</v>
      </c>
      <c r="H194" s="60">
        <f>SUM(H193:H193)</f>
        <v>299</v>
      </c>
      <c r="I194" s="60">
        <f>SUM(I193:I193)</f>
        <v>299</v>
      </c>
      <c r="J194" s="74" t="s">
        <v>104</v>
      </c>
      <c r="K194" s="74" t="s">
        <v>104</v>
      </c>
      <c r="L194" s="74" t="s">
        <v>104</v>
      </c>
      <c r="M194" s="207">
        <f t="shared" ref="M194:R194" si="118">SUM(M193:M193)</f>
        <v>0</v>
      </c>
      <c r="N194" s="207">
        <f t="shared" si="118"/>
        <v>1489843</v>
      </c>
      <c r="O194" s="207">
        <f t="shared" si="118"/>
        <v>1489843</v>
      </c>
      <c r="P194" s="207">
        <f t="shared" si="118"/>
        <v>0</v>
      </c>
      <c r="Q194" s="207"/>
      <c r="R194" s="207">
        <f t="shared" si="118"/>
        <v>0</v>
      </c>
      <c r="S194" s="207"/>
      <c r="T194" s="207">
        <f>N194</f>
        <v>1489843</v>
      </c>
      <c r="U194" s="46">
        <f t="shared" si="117"/>
        <v>1489843</v>
      </c>
    </row>
    <row r="195" spans="1:24">
      <c r="A195" s="305"/>
      <c r="B195" s="69" t="s">
        <v>300</v>
      </c>
      <c r="C195" s="66" t="s">
        <v>226</v>
      </c>
      <c r="D195" s="69"/>
      <c r="E195" s="60"/>
      <c r="F195" s="60"/>
      <c r="G195" s="60"/>
      <c r="H195" s="60"/>
      <c r="I195" s="60"/>
      <c r="J195" s="74"/>
      <c r="K195" s="74"/>
      <c r="L195" s="74"/>
      <c r="M195" s="207"/>
      <c r="N195" s="207">
        <f>P195</f>
        <v>39742</v>
      </c>
      <c r="O195" s="207"/>
      <c r="P195" s="207">
        <v>39742</v>
      </c>
      <c r="Q195" s="207"/>
      <c r="R195" s="207"/>
      <c r="S195" s="207"/>
      <c r="T195" s="207">
        <f>P195</f>
        <v>39742</v>
      </c>
      <c r="U195" s="207">
        <f t="shared" si="117"/>
        <v>39742</v>
      </c>
    </row>
    <row r="196" spans="1:24">
      <c r="A196" s="305"/>
      <c r="B196" s="89" t="s">
        <v>225</v>
      </c>
      <c r="C196" s="184" t="s">
        <v>219</v>
      </c>
      <c r="D196" s="64" t="s">
        <v>101</v>
      </c>
      <c r="E196" s="60">
        <v>11</v>
      </c>
      <c r="F196" s="60">
        <v>11</v>
      </c>
      <c r="G196" s="60">
        <v>11</v>
      </c>
      <c r="H196" s="60">
        <v>11</v>
      </c>
      <c r="I196" s="60">
        <v>11</v>
      </c>
      <c r="J196" s="74"/>
      <c r="K196" s="74"/>
      <c r="L196" s="74"/>
      <c r="M196" s="207"/>
      <c r="N196" s="207">
        <f>S196</f>
        <v>1880332</v>
      </c>
      <c r="O196" s="207"/>
      <c r="P196" s="207"/>
      <c r="Q196" s="207"/>
      <c r="R196" s="207"/>
      <c r="S196" s="207">
        <v>1880332</v>
      </c>
      <c r="T196" s="207">
        <f>S196</f>
        <v>1880332</v>
      </c>
      <c r="U196" s="207">
        <f t="shared" si="117"/>
        <v>1880332</v>
      </c>
    </row>
    <row r="197" spans="1:24">
      <c r="A197" s="305"/>
      <c r="B197" s="89" t="s">
        <v>225</v>
      </c>
      <c r="C197" s="184" t="s">
        <v>226</v>
      </c>
      <c r="D197" s="64" t="s">
        <v>101</v>
      </c>
      <c r="E197" s="60"/>
      <c r="F197" s="60"/>
      <c r="G197" s="60"/>
      <c r="H197" s="60"/>
      <c r="I197" s="60"/>
      <c r="J197" s="74"/>
      <c r="K197" s="74"/>
      <c r="L197" s="74"/>
      <c r="M197" s="207"/>
      <c r="N197" s="207">
        <f t="shared" ref="N197:N198" si="119">S197</f>
        <v>0</v>
      </c>
      <c r="O197" s="207"/>
      <c r="P197" s="207"/>
      <c r="Q197" s="207"/>
      <c r="R197" s="207"/>
      <c r="S197" s="207"/>
      <c r="T197" s="207">
        <f>Q197</f>
        <v>0</v>
      </c>
      <c r="U197" s="207">
        <f t="shared" si="117"/>
        <v>0</v>
      </c>
    </row>
    <row r="198" spans="1:24">
      <c r="A198" s="305"/>
      <c r="B198" s="89" t="s">
        <v>299</v>
      </c>
      <c r="C198" s="184" t="s">
        <v>219</v>
      </c>
      <c r="D198" s="64"/>
      <c r="E198" s="60"/>
      <c r="F198" s="60"/>
      <c r="G198" s="60"/>
      <c r="H198" s="60"/>
      <c r="I198" s="60"/>
      <c r="J198" s="74"/>
      <c r="K198" s="74"/>
      <c r="L198" s="74"/>
      <c r="M198" s="207"/>
      <c r="N198" s="207">
        <f t="shared" si="119"/>
        <v>183935</v>
      </c>
      <c r="O198" s="207"/>
      <c r="P198" s="207"/>
      <c r="Q198" s="207"/>
      <c r="R198" s="207"/>
      <c r="S198" s="207">
        <v>183935</v>
      </c>
      <c r="T198" s="207"/>
      <c r="U198" s="207"/>
    </row>
    <row r="199" spans="1:24">
      <c r="A199" s="305"/>
      <c r="B199" s="89" t="s">
        <v>265</v>
      </c>
      <c r="C199" s="184" t="s">
        <v>226</v>
      </c>
      <c r="D199" s="64"/>
      <c r="E199" s="60"/>
      <c r="F199" s="60"/>
      <c r="G199" s="60"/>
      <c r="H199" s="60"/>
      <c r="I199" s="60"/>
      <c r="J199" s="74"/>
      <c r="K199" s="74"/>
      <c r="L199" s="74"/>
      <c r="M199" s="207"/>
      <c r="N199" s="207">
        <f>O199</f>
        <v>42495</v>
      </c>
      <c r="O199" s="207">
        <v>42495</v>
      </c>
      <c r="P199" s="207"/>
      <c r="Q199" s="207"/>
      <c r="R199" s="207"/>
      <c r="S199" s="207"/>
      <c r="T199" s="207">
        <f>O199</f>
        <v>42495</v>
      </c>
      <c r="U199" s="207">
        <f t="shared" si="117"/>
        <v>42495</v>
      </c>
    </row>
    <row r="200" spans="1:24">
      <c r="A200" s="305"/>
      <c r="B200" s="101" t="s">
        <v>112</v>
      </c>
      <c r="C200" s="101"/>
      <c r="D200" s="69"/>
      <c r="E200" s="103"/>
      <c r="F200" s="103"/>
      <c r="G200" s="102">
        <f>86+116+15</f>
        <v>217</v>
      </c>
      <c r="H200" s="102">
        <f>86+116+15</f>
        <v>217</v>
      </c>
      <c r="I200" s="102">
        <f>86+116+15</f>
        <v>217</v>
      </c>
      <c r="J200" s="103"/>
      <c r="K200" s="103"/>
      <c r="L200" s="103"/>
      <c r="M200" s="138"/>
      <c r="N200" s="138">
        <f>SUM(O200:S200)</f>
        <v>18747172.315563079</v>
      </c>
      <c r="O200" s="138">
        <f>O179+O187+O192+O194+O199</f>
        <v>12040592</v>
      </c>
      <c r="P200" s="138">
        <f>P179+P187+P192+P194+P195+P196+P197</f>
        <v>2143435.9955630796</v>
      </c>
      <c r="Q200" s="138">
        <f t="shared" ref="Q200" si="120">Q179+Q187+Q192+Q194+Q195+Q196+Q197</f>
        <v>0</v>
      </c>
      <c r="R200" s="138">
        <f>R179+R187+R192+R194+R195+R196+R197+R198</f>
        <v>2498877.3200000003</v>
      </c>
      <c r="S200" s="138">
        <f>S179+S187+S192+S194+S195+S196+S197+S198</f>
        <v>2064267</v>
      </c>
      <c r="T200" s="138">
        <f>T179+T187+T192+T194+T195+T196+T197+T198+T199</f>
        <v>18563237.315563079</v>
      </c>
      <c r="U200" s="138">
        <f>U179+U187+U192+U194+U195+U196+U197+U198+U199</f>
        <v>18563237.315563079</v>
      </c>
      <c r="V200" s="80">
        <v>2478960.91</v>
      </c>
      <c r="W200" s="85">
        <f>V200-R200</f>
        <v>-19916.410000000149</v>
      </c>
      <c r="X200" s="80">
        <f>W200/I200</f>
        <v>-91.780691244240316</v>
      </c>
    </row>
    <row r="201" spans="1:24" ht="27" customHeight="1">
      <c r="B201" s="311" t="s">
        <v>232</v>
      </c>
      <c r="C201" s="312"/>
      <c r="D201" s="312"/>
      <c r="E201" s="312"/>
      <c r="F201" s="312"/>
      <c r="G201" s="312"/>
      <c r="H201" s="312"/>
      <c r="I201" s="312"/>
      <c r="J201" s="312"/>
      <c r="K201" s="312"/>
      <c r="L201" s="312"/>
      <c r="M201" s="313"/>
      <c r="N201" s="223">
        <f t="shared" ref="N201:U201" si="121">N200+N171+N136+N103+N73+N44</f>
        <v>211089401.86466947</v>
      </c>
      <c r="O201" s="223">
        <f t="shared" si="121"/>
        <v>136083500</v>
      </c>
      <c r="P201" s="223">
        <f t="shared" si="121"/>
        <v>31866402.004669458</v>
      </c>
      <c r="Q201" s="223">
        <f t="shared" si="121"/>
        <v>745698</v>
      </c>
      <c r="R201" s="223">
        <f t="shared" si="121"/>
        <v>28733801.859999999</v>
      </c>
      <c r="S201" s="223">
        <f t="shared" si="121"/>
        <v>13660000</v>
      </c>
      <c r="T201" s="223">
        <f>T200+T171+T136+T103+T73+T44</f>
        <v>209999664.86466947</v>
      </c>
      <c r="U201" s="223">
        <f t="shared" si="121"/>
        <v>209999664.86466947</v>
      </c>
      <c r="X201" s="70" t="s">
        <v>254</v>
      </c>
    </row>
    <row r="202" spans="1:24">
      <c r="A202" s="80" t="s">
        <v>234</v>
      </c>
    </row>
    <row r="203" spans="1:24">
      <c r="A203" s="80" t="s">
        <v>178</v>
      </c>
      <c r="O203" s="211"/>
    </row>
    <row r="204" spans="1:24">
      <c r="O204" s="211"/>
      <c r="X204" s="80">
        <f>12601.84959-590.0704652-587.990779</f>
        <v>11423.7883458</v>
      </c>
    </row>
    <row r="205" spans="1:24">
      <c r="O205" s="211"/>
      <c r="R205" s="211"/>
      <c r="S205" s="211"/>
    </row>
    <row r="206" spans="1:24">
      <c r="O206" s="211"/>
      <c r="P206" s="211"/>
    </row>
    <row r="207" spans="1:24">
      <c r="R207" s="211"/>
    </row>
    <row r="208" spans="1:24">
      <c r="R208" s="211"/>
    </row>
    <row r="209" spans="15:18">
      <c r="O209" s="211"/>
      <c r="R209" s="211"/>
    </row>
    <row r="214" spans="15:18">
      <c r="O214" s="211"/>
      <c r="P214" s="211"/>
      <c r="Q214" s="211"/>
    </row>
    <row r="215" spans="15:18">
      <c r="O215" s="211"/>
      <c r="P215" s="211"/>
      <c r="Q215" s="211"/>
    </row>
    <row r="216" spans="15:18">
      <c r="O216" s="211"/>
      <c r="P216" s="211"/>
      <c r="Q216" s="211"/>
    </row>
    <row r="219" spans="15:18">
      <c r="O219" s="211"/>
    </row>
  </sheetData>
  <mergeCells count="32">
    <mergeCell ref="A8:C8"/>
    <mergeCell ref="A9:A10"/>
    <mergeCell ref="B9:B10"/>
    <mergeCell ref="D9:D10"/>
    <mergeCell ref="A7:U7"/>
    <mergeCell ref="E9:I9"/>
    <mergeCell ref="J9:M9"/>
    <mergeCell ref="N9:U9"/>
    <mergeCell ref="A12:A44"/>
    <mergeCell ref="B12:B23"/>
    <mergeCell ref="B24:B29"/>
    <mergeCell ref="A45:A73"/>
    <mergeCell ref="B45:B53"/>
    <mergeCell ref="B54:B59"/>
    <mergeCell ref="B61:B64"/>
    <mergeCell ref="B31:B35"/>
    <mergeCell ref="B201:M201"/>
    <mergeCell ref="A74:A103"/>
    <mergeCell ref="B74:B82"/>
    <mergeCell ref="B83:B88"/>
    <mergeCell ref="B90:B94"/>
    <mergeCell ref="A172:A200"/>
    <mergeCell ref="B172:B179"/>
    <mergeCell ref="B180:B182"/>
    <mergeCell ref="A104:A136"/>
    <mergeCell ref="B104:B114"/>
    <mergeCell ref="B115:B122"/>
    <mergeCell ref="B124:B127"/>
    <mergeCell ref="A137:A171"/>
    <mergeCell ref="B137:B147"/>
    <mergeCell ref="B148:B156"/>
    <mergeCell ref="B157:B162"/>
  </mergeCells>
  <pageMargins left="0.70866141732283472" right="0.70866141732283472" top="0.74803149606299213" bottom="0.74803149606299213" header="0.31496062992125984" footer="0.31496062992125984"/>
  <pageSetup paperSize="9" scale="4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85"/>
  <sheetViews>
    <sheetView zoomScale="60" zoomScaleNormal="60" workbookViewId="0">
      <pane xSplit="1" ySplit="13" topLeftCell="D14" activePane="bottomRight" state="frozen"/>
      <selection pane="topRight" activeCell="B1" sqref="B1"/>
      <selection pane="bottomLeft" activeCell="A12" sqref="A12"/>
      <selection pane="bottomRight" activeCell="W1" sqref="W1:Z1048576"/>
    </sheetView>
  </sheetViews>
  <sheetFormatPr defaultColWidth="9.109375" defaultRowHeight="13.8"/>
  <cols>
    <col min="1" max="1" width="30.6640625" style="80" customWidth="1"/>
    <col min="2" max="2" width="21.5546875" style="80" customWidth="1"/>
    <col min="3" max="3" width="23.6640625" style="80" customWidth="1"/>
    <col min="4" max="4" width="8.6640625" style="80" customWidth="1"/>
    <col min="5" max="5" width="17.5546875" style="80" hidden="1" customWidth="1"/>
    <col min="6" max="6" width="13.33203125" style="80" hidden="1" customWidth="1"/>
    <col min="7" max="7" width="14" style="204" customWidth="1"/>
    <col min="8" max="9" width="14.109375" style="204" customWidth="1"/>
    <col min="10" max="10" width="17.33203125" style="204" customWidth="1"/>
    <col min="11" max="11" width="17.109375" style="204" customWidth="1"/>
    <col min="12" max="12" width="13.88671875" style="204" customWidth="1"/>
    <col min="13" max="13" width="13.5546875" style="204" customWidth="1"/>
    <col min="14" max="14" width="16.6640625" style="204" customWidth="1"/>
    <col min="15" max="16" width="15.44140625" style="204" customWidth="1"/>
    <col min="17" max="19" width="14.6640625" style="204" customWidth="1"/>
    <col min="20" max="20" width="19.109375" style="204" customWidth="1"/>
    <col min="21" max="21" width="16.33203125" style="204" customWidth="1"/>
    <col min="22" max="22" width="16" style="204" customWidth="1"/>
    <col min="23" max="23" width="15.33203125" style="80" hidden="1" customWidth="1"/>
    <col min="24" max="24" width="13.5546875" style="80" hidden="1" customWidth="1"/>
    <col min="25" max="25" width="18.6640625" style="80" hidden="1" customWidth="1"/>
    <col min="26" max="26" width="0" style="80" hidden="1" customWidth="1"/>
    <col min="27" max="16384" width="9.109375" style="80"/>
  </cols>
  <sheetData>
    <row r="1" spans="1:25" hidden="1">
      <c r="T1" s="209" t="s">
        <v>203</v>
      </c>
    </row>
    <row r="2" spans="1:25" hidden="1">
      <c r="T2" s="209" t="s">
        <v>204</v>
      </c>
    </row>
    <row r="3" spans="1:25">
      <c r="T3" s="209" t="s">
        <v>175</v>
      </c>
    </row>
    <row r="4" spans="1:25" hidden="1">
      <c r="T4" s="209" t="s">
        <v>268</v>
      </c>
    </row>
    <row r="5" spans="1:25" hidden="1">
      <c r="T5" s="209" t="s">
        <v>175</v>
      </c>
    </row>
    <row r="6" spans="1:25">
      <c r="T6" s="209" t="s">
        <v>320</v>
      </c>
    </row>
    <row r="7" spans="1:25">
      <c r="A7" s="317" t="s">
        <v>269</v>
      </c>
      <c r="B7" s="317"/>
      <c r="C7" s="318"/>
      <c r="D7" s="317"/>
      <c r="E7" s="317"/>
      <c r="F7" s="318"/>
      <c r="G7" s="318"/>
      <c r="H7" s="317"/>
      <c r="I7" s="317"/>
      <c r="J7" s="317"/>
      <c r="K7" s="318"/>
      <c r="L7" s="317"/>
      <c r="M7" s="317"/>
      <c r="N7" s="317"/>
      <c r="O7" s="317"/>
      <c r="P7" s="318"/>
      <c r="Q7" s="318"/>
      <c r="R7" s="318"/>
      <c r="S7" s="318"/>
      <c r="T7" s="317"/>
      <c r="U7" s="317"/>
      <c r="V7" s="317"/>
    </row>
    <row r="8" spans="1:25" ht="17.399999999999999">
      <c r="A8" s="267" t="s">
        <v>155</v>
      </c>
    </row>
    <row r="10" spans="1:25" ht="41.4">
      <c r="A10" s="178" t="s">
        <v>3</v>
      </c>
      <c r="B10" s="198" t="s">
        <v>81</v>
      </c>
      <c r="C10" s="198" t="s">
        <v>152</v>
      </c>
      <c r="D10" s="198" t="s">
        <v>4</v>
      </c>
      <c r="E10" s="230" t="s">
        <v>5</v>
      </c>
      <c r="F10" s="134"/>
      <c r="G10" s="258"/>
      <c r="H10" s="258"/>
      <c r="I10" s="259"/>
      <c r="J10" s="319" t="s">
        <v>6</v>
      </c>
      <c r="K10" s="320"/>
      <c r="L10" s="320"/>
      <c r="M10" s="321"/>
      <c r="N10" s="274" t="s">
        <v>7</v>
      </c>
      <c r="O10" s="274"/>
      <c r="P10" s="274"/>
      <c r="Q10" s="274"/>
      <c r="R10" s="274"/>
      <c r="S10" s="274"/>
      <c r="T10" s="274"/>
      <c r="U10" s="274"/>
      <c r="V10" s="274"/>
    </row>
    <row r="11" spans="1:25">
      <c r="A11" s="178"/>
      <c r="B11" s="198"/>
      <c r="C11" s="198"/>
      <c r="D11" s="198"/>
      <c r="E11" s="294"/>
      <c r="F11" s="295"/>
      <c r="G11" s="296"/>
      <c r="H11" s="254"/>
      <c r="I11" s="254"/>
      <c r="J11" s="255"/>
      <c r="K11" s="255"/>
      <c r="L11" s="255"/>
      <c r="M11" s="255"/>
      <c r="N11" s="319"/>
      <c r="O11" s="322"/>
      <c r="P11" s="322"/>
      <c r="Q11" s="322"/>
      <c r="R11" s="322"/>
      <c r="S11" s="322"/>
      <c r="T11" s="323"/>
      <c r="U11" s="255"/>
      <c r="V11" s="255"/>
    </row>
    <row r="12" spans="1:25" ht="82.5" customHeight="1">
      <c r="A12" s="82"/>
      <c r="B12" s="82"/>
      <c r="C12" s="82"/>
      <c r="D12" s="82"/>
      <c r="E12" s="227" t="s">
        <v>183</v>
      </c>
      <c r="F12" s="185" t="s">
        <v>274</v>
      </c>
      <c r="G12" s="260" t="s">
        <v>271</v>
      </c>
      <c r="H12" s="256" t="s">
        <v>205</v>
      </c>
      <c r="I12" s="256" t="s">
        <v>270</v>
      </c>
      <c r="J12" s="255" t="s">
        <v>79</v>
      </c>
      <c r="K12" s="255" t="s">
        <v>224</v>
      </c>
      <c r="L12" s="255" t="s">
        <v>11</v>
      </c>
      <c r="M12" s="256" t="s">
        <v>12</v>
      </c>
      <c r="N12" s="324" t="s">
        <v>183</v>
      </c>
      <c r="O12" s="324"/>
      <c r="P12" s="324"/>
      <c r="Q12" s="324"/>
      <c r="R12" s="324"/>
      <c r="S12" s="324"/>
      <c r="T12" s="324"/>
      <c r="U12" s="256" t="s">
        <v>211</v>
      </c>
      <c r="V12" s="256" t="s">
        <v>270</v>
      </c>
    </row>
    <row r="13" spans="1:25" ht="81" customHeight="1">
      <c r="A13" s="83" t="s">
        <v>13</v>
      </c>
      <c r="B13" s="83" t="s">
        <v>14</v>
      </c>
      <c r="C13" s="83"/>
      <c r="D13" s="198" t="s">
        <v>15</v>
      </c>
      <c r="E13" s="83" t="s">
        <v>16</v>
      </c>
      <c r="F13" s="83" t="s">
        <v>16</v>
      </c>
      <c r="G13" s="42" t="s">
        <v>16</v>
      </c>
      <c r="H13" s="42" t="s">
        <v>16</v>
      </c>
      <c r="I13" s="42" t="s">
        <v>16</v>
      </c>
      <c r="J13" s="255" t="s">
        <v>17</v>
      </c>
      <c r="K13" s="255" t="s">
        <v>17</v>
      </c>
      <c r="L13" s="255" t="s">
        <v>17</v>
      </c>
      <c r="M13" s="255" t="s">
        <v>17</v>
      </c>
      <c r="N13" s="255" t="s">
        <v>85</v>
      </c>
      <c r="O13" s="255" t="s">
        <v>83</v>
      </c>
      <c r="P13" s="47" t="s">
        <v>228</v>
      </c>
      <c r="Q13" s="255" t="s">
        <v>84</v>
      </c>
      <c r="R13" s="47" t="s">
        <v>227</v>
      </c>
      <c r="S13" s="47" t="s">
        <v>255</v>
      </c>
      <c r="T13" s="255" t="s">
        <v>12</v>
      </c>
      <c r="U13" s="255" t="s">
        <v>17</v>
      </c>
      <c r="V13" s="255" t="s">
        <v>17</v>
      </c>
    </row>
    <row r="14" spans="1:25" ht="21.6" customHeight="1">
      <c r="A14" s="189" t="s">
        <v>18</v>
      </c>
      <c r="B14" s="82"/>
      <c r="C14" s="82"/>
      <c r="D14" s="82"/>
      <c r="E14" s="72"/>
      <c r="F14" s="72"/>
      <c r="G14" s="206"/>
      <c r="H14" s="206"/>
      <c r="I14" s="206"/>
      <c r="J14" s="46"/>
      <c r="K14" s="46"/>
      <c r="L14" s="46"/>
      <c r="M14" s="261"/>
      <c r="N14" s="222">
        <f>N15+N20</f>
        <v>6344136</v>
      </c>
      <c r="O14" s="222">
        <f>O15+O20</f>
        <v>2625758.0042671999</v>
      </c>
      <c r="P14" s="222">
        <f>P15</f>
        <v>673828</v>
      </c>
      <c r="Q14" s="222">
        <f>Q15+Q20+Q24</f>
        <v>3599069.53</v>
      </c>
      <c r="R14" s="222">
        <f>R15+R24</f>
        <v>2298049</v>
      </c>
      <c r="S14" s="222">
        <f>S21</f>
        <v>1530012</v>
      </c>
      <c r="T14" s="222">
        <f>T15+T20+T21</f>
        <v>17070852.534267198</v>
      </c>
      <c r="U14" s="222">
        <f>U15+U20+U21</f>
        <v>16870196.534267198</v>
      </c>
      <c r="V14" s="222">
        <f t="shared" ref="V14" si="0">V15+V20+V21</f>
        <v>16870196.534267198</v>
      </c>
      <c r="W14" s="80">
        <v>3509240.57</v>
      </c>
      <c r="X14" s="85">
        <f>W14-Q14</f>
        <v>-89828.959999999963</v>
      </c>
      <c r="Y14" s="80">
        <f>X14/I20</f>
        <v>-748.5746666666663</v>
      </c>
    </row>
    <row r="15" spans="1:25" ht="85.5" customHeight="1">
      <c r="A15" s="194" t="s">
        <v>249</v>
      </c>
      <c r="B15" s="84" t="s">
        <v>76</v>
      </c>
      <c r="C15" s="84"/>
      <c r="D15" s="82"/>
      <c r="E15" s="72"/>
      <c r="F15" s="72"/>
      <c r="G15" s="206"/>
      <c r="H15" s="206"/>
      <c r="I15" s="206"/>
      <c r="J15" s="46"/>
      <c r="K15" s="46"/>
      <c r="L15" s="46"/>
      <c r="M15" s="46"/>
      <c r="N15" s="46">
        <f>N16+N17+N19+N18</f>
        <v>6344136</v>
      </c>
      <c r="O15" s="46">
        <f>O16+O17+O19+O18+O26+O25</f>
        <v>2625758.0042671999</v>
      </c>
      <c r="P15" s="46">
        <f>P23</f>
        <v>673828</v>
      </c>
      <c r="Q15" s="46">
        <f>Q16+Q17+Q18+Q19</f>
        <v>2438591.5299999998</v>
      </c>
      <c r="R15" s="46">
        <f>R22</f>
        <v>2097393</v>
      </c>
      <c r="S15" s="46"/>
      <c r="T15" s="46">
        <f>T16+T17+T19+T18+T22+T23+T26+T24+T25</f>
        <v>14380362.534267198</v>
      </c>
      <c r="U15" s="46">
        <f t="shared" ref="U15:V15" si="1">U16+U17+U19+U18+U22+U23+U26+U24+U25</f>
        <v>14179706.534267198</v>
      </c>
      <c r="V15" s="46">
        <f t="shared" si="1"/>
        <v>14179706.534267198</v>
      </c>
      <c r="X15" s="85"/>
    </row>
    <row r="16" spans="1:25" ht="15.75" customHeight="1">
      <c r="A16" s="83"/>
      <c r="B16" s="97" t="s">
        <v>279</v>
      </c>
      <c r="C16" s="315" t="s">
        <v>281</v>
      </c>
      <c r="D16" s="86" t="s">
        <v>20</v>
      </c>
      <c r="E16" s="231">
        <v>20</v>
      </c>
      <c r="F16" s="231">
        <v>20</v>
      </c>
      <c r="G16" s="220">
        <v>20</v>
      </c>
      <c r="H16" s="220">
        <v>20</v>
      </c>
      <c r="I16" s="220">
        <v>20</v>
      </c>
      <c r="J16" s="46">
        <v>49378.38</v>
      </c>
      <c r="K16" s="46">
        <v>21881.31578556</v>
      </c>
      <c r="L16" s="46">
        <v>20321.599999999999</v>
      </c>
      <c r="M16" s="46">
        <f>J16+K16+L16</f>
        <v>91581.295785560011</v>
      </c>
      <c r="N16" s="46">
        <f>G16*J16</f>
        <v>987567.6</v>
      </c>
      <c r="O16" s="46">
        <f>G16*K16</f>
        <v>437626.3157112</v>
      </c>
      <c r="P16" s="46"/>
      <c r="Q16" s="46">
        <f>G16*L16</f>
        <v>406432</v>
      </c>
      <c r="R16" s="46"/>
      <c r="S16" s="46">
        <v>0</v>
      </c>
      <c r="T16" s="46">
        <f>SUM(N16:Q16)</f>
        <v>1831625.9157111999</v>
      </c>
      <c r="U16" s="46">
        <f>T16</f>
        <v>1831625.9157111999</v>
      </c>
      <c r="V16" s="46">
        <f>U16</f>
        <v>1831625.9157111999</v>
      </c>
      <c r="X16" s="85"/>
    </row>
    <row r="17" spans="1:25" ht="15.75" customHeight="1">
      <c r="A17" s="88"/>
      <c r="B17" s="97" t="s">
        <v>277</v>
      </c>
      <c r="C17" s="327"/>
      <c r="D17" s="199" t="s">
        <v>20</v>
      </c>
      <c r="E17" s="231">
        <v>61</v>
      </c>
      <c r="F17" s="231">
        <v>61</v>
      </c>
      <c r="G17" s="220">
        <v>61</v>
      </c>
      <c r="H17" s="220">
        <v>61</v>
      </c>
      <c r="I17" s="220">
        <v>61</v>
      </c>
      <c r="J17" s="46">
        <v>39098.57</v>
      </c>
      <c r="K17" s="46">
        <v>21881.31578556</v>
      </c>
      <c r="L17" s="46">
        <v>20321.599999999999</v>
      </c>
      <c r="M17" s="46">
        <f t="shared" ref="M17:M80" si="2">J17+K17+L17</f>
        <v>81301.485785559998</v>
      </c>
      <c r="N17" s="46">
        <f>G17*J17</f>
        <v>2385012.77</v>
      </c>
      <c r="O17" s="46">
        <f>G17*K17</f>
        <v>1334760.2629191601</v>
      </c>
      <c r="P17" s="46"/>
      <c r="Q17" s="46">
        <f>G17*L17</f>
        <v>1239617.5999999999</v>
      </c>
      <c r="R17" s="46"/>
      <c r="S17" s="46">
        <v>0</v>
      </c>
      <c r="T17" s="46">
        <f>SUM(N17:Q17)</f>
        <v>4959390.6329191597</v>
      </c>
      <c r="U17" s="46">
        <f>H17*M17</f>
        <v>4959390.6329191597</v>
      </c>
      <c r="V17" s="46">
        <f>I17*M17</f>
        <v>4959390.6329191597</v>
      </c>
      <c r="X17" s="85"/>
    </row>
    <row r="18" spans="1:25" ht="120" customHeight="1">
      <c r="A18" s="88"/>
      <c r="B18" s="93" t="s">
        <v>276</v>
      </c>
      <c r="C18" s="316"/>
      <c r="D18" s="199" t="s">
        <v>20</v>
      </c>
      <c r="E18" s="231">
        <v>22</v>
      </c>
      <c r="F18" s="231">
        <v>22</v>
      </c>
      <c r="G18" s="220">
        <v>22</v>
      </c>
      <c r="H18" s="220">
        <v>22</v>
      </c>
      <c r="I18" s="220">
        <v>22</v>
      </c>
      <c r="J18" s="262">
        <v>77037.7</v>
      </c>
      <c r="K18" s="46">
        <v>21881.31578556</v>
      </c>
      <c r="L18" s="46">
        <v>20321.599999999999</v>
      </c>
      <c r="M18" s="46">
        <f t="shared" si="2"/>
        <v>119240.61578555999</v>
      </c>
      <c r="N18" s="46">
        <f>G18*J18</f>
        <v>1694829.4</v>
      </c>
      <c r="O18" s="46">
        <f>G18*K18</f>
        <v>481388.94728232</v>
      </c>
      <c r="P18" s="46"/>
      <c r="Q18" s="46">
        <f>G18*L18</f>
        <v>447075.19999999995</v>
      </c>
      <c r="R18" s="46"/>
      <c r="S18" s="46">
        <v>0</v>
      </c>
      <c r="T18" s="46">
        <f>SUM(N18:Q18)</f>
        <v>2623293.5472823195</v>
      </c>
      <c r="U18" s="46">
        <f>H18*M18</f>
        <v>2623293.5472823195</v>
      </c>
      <c r="V18" s="46">
        <f>I18*M18</f>
        <v>2623293.5472823195</v>
      </c>
      <c r="X18" s="85"/>
    </row>
    <row r="19" spans="1:25" ht="138.75" customHeight="1">
      <c r="A19" s="88"/>
      <c r="B19" s="97" t="s">
        <v>277</v>
      </c>
      <c r="C19" s="93" t="s">
        <v>282</v>
      </c>
      <c r="D19" s="199" t="s">
        <v>20</v>
      </c>
      <c r="E19" s="231">
        <v>17</v>
      </c>
      <c r="F19" s="231">
        <v>17</v>
      </c>
      <c r="G19" s="220">
        <v>17</v>
      </c>
      <c r="H19" s="220">
        <v>17</v>
      </c>
      <c r="I19" s="220">
        <v>17</v>
      </c>
      <c r="J19" s="263">
        <v>75101.539999999994</v>
      </c>
      <c r="K19" s="46">
        <v>21881.31578556</v>
      </c>
      <c r="L19" s="46">
        <v>20321.599999999999</v>
      </c>
      <c r="M19" s="46">
        <f t="shared" si="2"/>
        <v>117304.45578555999</v>
      </c>
      <c r="N19" s="46">
        <f>G19*J19+0.05</f>
        <v>1276726.23</v>
      </c>
      <c r="O19" s="46">
        <f>G19*K19+0.11</f>
        <v>371982.47835451999</v>
      </c>
      <c r="P19" s="46"/>
      <c r="Q19" s="46">
        <f>G19*L19-0.47</f>
        <v>345466.73</v>
      </c>
      <c r="R19" s="46"/>
      <c r="S19" s="46">
        <v>0</v>
      </c>
      <c r="T19" s="46">
        <f t="shared" ref="T19:T162" si="3">SUM(N19:Q19)</f>
        <v>1994175.4383545199</v>
      </c>
      <c r="U19" s="46">
        <f>T19</f>
        <v>1994175.4383545199</v>
      </c>
      <c r="V19" s="46">
        <f>U19</f>
        <v>1994175.4383545199</v>
      </c>
      <c r="X19" s="85"/>
    </row>
    <row r="20" spans="1:25" ht="63" customHeight="1">
      <c r="A20" s="194" t="s">
        <v>250</v>
      </c>
      <c r="B20" s="199" t="s">
        <v>28</v>
      </c>
      <c r="C20" s="127" t="s">
        <v>219</v>
      </c>
      <c r="D20" s="82"/>
      <c r="E20" s="231">
        <f>E19+E18+E17+E16</f>
        <v>120</v>
      </c>
      <c r="F20" s="231">
        <f t="shared" ref="F20:I20" si="4">F19+F18+F17+F16</f>
        <v>120</v>
      </c>
      <c r="G20" s="220">
        <f t="shared" si="4"/>
        <v>120</v>
      </c>
      <c r="H20" s="220">
        <f t="shared" si="4"/>
        <v>120</v>
      </c>
      <c r="I20" s="220">
        <f t="shared" si="4"/>
        <v>120</v>
      </c>
      <c r="J20" s="46">
        <v>0</v>
      </c>
      <c r="K20" s="46"/>
      <c r="L20" s="46">
        <v>9670.65</v>
      </c>
      <c r="M20" s="46">
        <f t="shared" si="2"/>
        <v>9670.65</v>
      </c>
      <c r="N20" s="240">
        <f t="shared" ref="N20" si="5">E20*J20</f>
        <v>0</v>
      </c>
      <c r="O20" s="46">
        <f t="shared" ref="O20" si="6">G20*K20</f>
        <v>0</v>
      </c>
      <c r="P20" s="46"/>
      <c r="Q20" s="46">
        <f>G20*L20</f>
        <v>1160478</v>
      </c>
      <c r="R20" s="46"/>
      <c r="S20" s="46">
        <v>0</v>
      </c>
      <c r="T20" s="46">
        <f>SUM(N20:Q20)</f>
        <v>1160478</v>
      </c>
      <c r="U20" s="46">
        <f>T20</f>
        <v>1160478</v>
      </c>
      <c r="V20" s="46">
        <f>U20</f>
        <v>1160478</v>
      </c>
    </row>
    <row r="21" spans="1:25" ht="17.25" customHeight="1">
      <c r="A21" s="188"/>
      <c r="B21" s="127" t="s">
        <v>28</v>
      </c>
      <c r="C21" s="127" t="s">
        <v>220</v>
      </c>
      <c r="D21" s="82"/>
      <c r="E21" s="87"/>
      <c r="F21" s="87"/>
      <c r="G21" s="220"/>
      <c r="H21" s="220"/>
      <c r="I21" s="220"/>
      <c r="J21" s="46"/>
      <c r="K21" s="46"/>
      <c r="L21" s="46">
        <v>12750.1</v>
      </c>
      <c r="M21" s="46">
        <f t="shared" si="2"/>
        <v>12750.1</v>
      </c>
      <c r="N21" s="240"/>
      <c r="O21" s="46"/>
      <c r="P21" s="46"/>
      <c r="Q21" s="46"/>
      <c r="R21" s="46"/>
      <c r="S21" s="46">
        <f>G20*L21</f>
        <v>1530012</v>
      </c>
      <c r="T21" s="46">
        <f>S21</f>
        <v>1530012</v>
      </c>
      <c r="U21" s="46">
        <f>S21</f>
        <v>1530012</v>
      </c>
      <c r="V21" s="46">
        <f>S21</f>
        <v>1530012</v>
      </c>
    </row>
    <row r="22" spans="1:25" s="204" customFormat="1">
      <c r="A22" s="50"/>
      <c r="B22" s="233" t="s">
        <v>225</v>
      </c>
      <c r="C22" s="219" t="s">
        <v>219</v>
      </c>
      <c r="D22" s="49" t="s">
        <v>20</v>
      </c>
      <c r="E22" s="239">
        <v>12</v>
      </c>
      <c r="F22" s="239">
        <v>12</v>
      </c>
      <c r="G22" s="220">
        <v>12</v>
      </c>
      <c r="H22" s="220">
        <v>12</v>
      </c>
      <c r="I22" s="220">
        <v>12</v>
      </c>
      <c r="J22" s="46">
        <v>0</v>
      </c>
      <c r="K22" s="46">
        <v>0</v>
      </c>
      <c r="L22" s="46">
        <v>0</v>
      </c>
      <c r="M22" s="46">
        <f t="shared" si="2"/>
        <v>0</v>
      </c>
      <c r="N22" s="240"/>
      <c r="O22" s="46"/>
      <c r="P22" s="46"/>
      <c r="Q22" s="46"/>
      <c r="R22" s="46">
        <v>2097393</v>
      </c>
      <c r="S22" s="46"/>
      <c r="T22" s="46">
        <f>R22</f>
        <v>2097393</v>
      </c>
      <c r="U22" s="46">
        <f>R22</f>
        <v>2097393</v>
      </c>
      <c r="V22" s="46">
        <f>R22</f>
        <v>2097393</v>
      </c>
    </row>
    <row r="23" spans="1:25" s="204" customFormat="1">
      <c r="A23" s="50"/>
      <c r="B23" s="233" t="s">
        <v>225</v>
      </c>
      <c r="C23" s="219" t="s">
        <v>226</v>
      </c>
      <c r="D23" s="49" t="s">
        <v>20</v>
      </c>
      <c r="E23" s="231">
        <v>7</v>
      </c>
      <c r="F23" s="231">
        <v>7</v>
      </c>
      <c r="G23" s="220">
        <v>7</v>
      </c>
      <c r="H23" s="220">
        <v>7</v>
      </c>
      <c r="I23" s="220">
        <v>7</v>
      </c>
      <c r="J23" s="46">
        <v>0</v>
      </c>
      <c r="K23" s="46">
        <v>0</v>
      </c>
      <c r="L23" s="46">
        <v>0</v>
      </c>
      <c r="M23" s="46">
        <f t="shared" si="2"/>
        <v>0</v>
      </c>
      <c r="N23" s="240"/>
      <c r="O23" s="46"/>
      <c r="P23" s="46">
        <v>673828</v>
      </c>
      <c r="Q23" s="46"/>
      <c r="R23" s="46"/>
      <c r="S23" s="46"/>
      <c r="T23" s="46">
        <f>N23+O23+P23+Q23</f>
        <v>673828</v>
      </c>
      <c r="U23" s="46">
        <f>N23+O23+P23+Q23</f>
        <v>673828</v>
      </c>
      <c r="V23" s="46">
        <f>N23+O23+P23+Q23</f>
        <v>673828</v>
      </c>
    </row>
    <row r="24" spans="1:25" s="204" customFormat="1" ht="27.6">
      <c r="A24" s="50"/>
      <c r="B24" s="84" t="s">
        <v>299</v>
      </c>
      <c r="C24" s="219" t="s">
        <v>219</v>
      </c>
      <c r="D24" s="45"/>
      <c r="E24" s="220"/>
      <c r="F24" s="220"/>
      <c r="G24" s="220">
        <v>12</v>
      </c>
      <c r="H24" s="220">
        <v>12</v>
      </c>
      <c r="I24" s="220">
        <v>12</v>
      </c>
      <c r="J24" s="46">
        <v>0</v>
      </c>
      <c r="K24" s="46">
        <v>0</v>
      </c>
      <c r="L24" s="46">
        <v>0</v>
      </c>
      <c r="M24" s="46">
        <f t="shared" si="2"/>
        <v>0</v>
      </c>
      <c r="N24" s="240"/>
      <c r="O24" s="240"/>
      <c r="P24" s="240"/>
      <c r="Q24" s="46"/>
      <c r="R24" s="46">
        <v>200656</v>
      </c>
      <c r="S24" s="46"/>
      <c r="T24" s="46">
        <f>R24</f>
        <v>200656</v>
      </c>
      <c r="U24" s="46"/>
      <c r="V24" s="46"/>
    </row>
    <row r="25" spans="1:25" s="204" customFormat="1">
      <c r="A25" s="50"/>
      <c r="B25" s="233"/>
      <c r="C25" s="219" t="s">
        <v>226</v>
      </c>
      <c r="D25" s="45"/>
      <c r="E25" s="220"/>
      <c r="F25" s="220"/>
      <c r="G25" s="220"/>
      <c r="H25" s="220"/>
      <c r="I25" s="220"/>
      <c r="J25" s="46"/>
      <c r="K25" s="46"/>
      <c r="L25" s="46"/>
      <c r="M25" s="46">
        <f t="shared" si="2"/>
        <v>0</v>
      </c>
      <c r="N25" s="240"/>
      <c r="O25" s="240"/>
      <c r="P25" s="240"/>
      <c r="Q25" s="46"/>
      <c r="R25" s="46"/>
      <c r="S25" s="46"/>
      <c r="T25" s="46">
        <f>O25</f>
        <v>0</v>
      </c>
      <c r="U25" s="46">
        <f t="shared" ref="U25:V26" si="7">T25</f>
        <v>0</v>
      </c>
      <c r="V25" s="46">
        <f t="shared" si="7"/>
        <v>0</v>
      </c>
    </row>
    <row r="26" spans="1:25">
      <c r="A26" s="213"/>
      <c r="B26" s="184"/>
      <c r="C26" s="127"/>
      <c r="D26" s="82"/>
      <c r="E26" s="87"/>
      <c r="F26" s="87"/>
      <c r="G26" s="220"/>
      <c r="H26" s="220"/>
      <c r="I26" s="220"/>
      <c r="J26" s="46"/>
      <c r="K26" s="46"/>
      <c r="L26" s="46"/>
      <c r="M26" s="46">
        <f t="shared" si="2"/>
        <v>0</v>
      </c>
      <c r="N26" s="240"/>
      <c r="O26" s="240"/>
      <c r="P26" s="240"/>
      <c r="Q26" s="46"/>
      <c r="R26" s="46"/>
      <c r="S26" s="46"/>
      <c r="T26" s="46">
        <f>O26</f>
        <v>0</v>
      </c>
      <c r="U26" s="46">
        <f t="shared" si="7"/>
        <v>0</v>
      </c>
      <c r="V26" s="46">
        <f t="shared" si="7"/>
        <v>0</v>
      </c>
    </row>
    <row r="27" spans="1:25">
      <c r="A27" s="89" t="s">
        <v>29</v>
      </c>
      <c r="B27" s="199"/>
      <c r="C27" s="127"/>
      <c r="D27" s="82"/>
      <c r="E27" s="87"/>
      <c r="F27" s="87"/>
      <c r="G27" s="220"/>
      <c r="H27" s="220"/>
      <c r="I27" s="220"/>
      <c r="J27" s="46"/>
      <c r="K27" s="46"/>
      <c r="L27" s="261"/>
      <c r="M27" s="46">
        <f t="shared" si="2"/>
        <v>0</v>
      </c>
      <c r="N27" s="222">
        <f>N28+N30</f>
        <v>2274393</v>
      </c>
      <c r="O27" s="222">
        <f>O28</f>
        <v>700201.99513792002</v>
      </c>
      <c r="P27" s="222">
        <f>P28</f>
        <v>682945</v>
      </c>
      <c r="Q27" s="222">
        <f>Q28+Q30+Q34</f>
        <v>959751.52999999991</v>
      </c>
      <c r="R27" s="222">
        <f>R28+R30+R34</f>
        <v>1638896</v>
      </c>
      <c r="S27" s="222">
        <f>S31</f>
        <v>408003.2</v>
      </c>
      <c r="T27" s="222">
        <f>T28+T30+T31</f>
        <v>6664190.7251379201</v>
      </c>
      <c r="U27" s="222">
        <f t="shared" ref="U27:V27" si="8">U28+U30+U31</f>
        <v>6530420.7251379201</v>
      </c>
      <c r="V27" s="222">
        <f t="shared" si="8"/>
        <v>6530420.7251379201</v>
      </c>
      <c r="W27" s="80">
        <v>1997534.91</v>
      </c>
      <c r="X27" s="85">
        <f>W27-Q27</f>
        <v>1037783.38</v>
      </c>
      <c r="Y27" s="80">
        <f>X27/I30</f>
        <v>32430.730625</v>
      </c>
    </row>
    <row r="28" spans="1:25" ht="86.25" customHeight="1">
      <c r="A28" s="194" t="s">
        <v>249</v>
      </c>
      <c r="B28" s="84" t="s">
        <v>76</v>
      </c>
      <c r="C28" s="128"/>
      <c r="D28" s="82"/>
      <c r="E28" s="68"/>
      <c r="F28" s="68"/>
      <c r="G28" s="264"/>
      <c r="H28" s="264"/>
      <c r="I28" s="264"/>
      <c r="J28" s="46"/>
      <c r="K28" s="46"/>
      <c r="L28" s="46"/>
      <c r="M28" s="46">
        <f t="shared" si="2"/>
        <v>0</v>
      </c>
      <c r="N28" s="240">
        <f>SUM(N29:N36)</f>
        <v>2274393</v>
      </c>
      <c r="O28" s="240">
        <f>SUM(O29)</f>
        <v>700201.99513792002</v>
      </c>
      <c r="P28" s="240">
        <f>P33</f>
        <v>682945</v>
      </c>
      <c r="Q28" s="46">
        <f>Q29</f>
        <v>650291.2699999999</v>
      </c>
      <c r="R28" s="46">
        <f>R32</f>
        <v>1505126</v>
      </c>
      <c r="S28" s="46"/>
      <c r="T28" s="46">
        <f>T29+T33+T32+T36+T37+T34+T35</f>
        <v>5946727.2651379202</v>
      </c>
      <c r="U28" s="46">
        <f t="shared" ref="U28:V28" si="9">U29+U33+U32+U36+U37+U34+U35</f>
        <v>5812957.2651379202</v>
      </c>
      <c r="V28" s="46">
        <f t="shared" si="9"/>
        <v>5812957.2651379202</v>
      </c>
    </row>
    <row r="29" spans="1:25" ht="105.75" customHeight="1">
      <c r="A29" s="83"/>
      <c r="B29" s="232" t="s">
        <v>278</v>
      </c>
      <c r="C29" s="93" t="s">
        <v>280</v>
      </c>
      <c r="D29" s="199" t="s">
        <v>31</v>
      </c>
      <c r="E29" s="231">
        <v>3</v>
      </c>
      <c r="F29" s="231">
        <v>3</v>
      </c>
      <c r="G29" s="220">
        <v>3</v>
      </c>
      <c r="H29" s="220">
        <v>3</v>
      </c>
      <c r="I29" s="220">
        <v>3</v>
      </c>
      <c r="J29" s="263">
        <v>758131.11</v>
      </c>
      <c r="K29" s="46">
        <v>0</v>
      </c>
      <c r="L29" s="46">
        <v>20321.599999999999</v>
      </c>
      <c r="M29" s="46">
        <f t="shared" si="2"/>
        <v>778452.71</v>
      </c>
      <c r="N29" s="46">
        <f>3*J29-0.33</f>
        <v>2274393</v>
      </c>
      <c r="O29" s="240">
        <f>G30*K30-0.11</f>
        <v>700201.99513792002</v>
      </c>
      <c r="P29" s="240"/>
      <c r="Q29" s="46">
        <f>L29*G30+0.07</f>
        <v>650291.2699999999</v>
      </c>
      <c r="R29" s="46"/>
      <c r="S29" s="46"/>
      <c r="T29" s="46">
        <f>SUM(N29:Q29)</f>
        <v>3624886.2651379202</v>
      </c>
      <c r="U29" s="46">
        <f>T29</f>
        <v>3624886.2651379202</v>
      </c>
      <c r="V29" s="46">
        <f>U29</f>
        <v>3624886.2651379202</v>
      </c>
    </row>
    <row r="30" spans="1:25" ht="71.25" customHeight="1">
      <c r="A30" s="194" t="s">
        <v>250</v>
      </c>
      <c r="B30" s="199" t="s">
        <v>28</v>
      </c>
      <c r="C30" s="127" t="s">
        <v>219</v>
      </c>
      <c r="D30" s="199" t="s">
        <v>20</v>
      </c>
      <c r="E30" s="231">
        <v>32</v>
      </c>
      <c r="F30" s="231">
        <v>32</v>
      </c>
      <c r="G30" s="220">
        <v>32</v>
      </c>
      <c r="H30" s="220">
        <v>32</v>
      </c>
      <c r="I30" s="220">
        <v>32</v>
      </c>
      <c r="J30" s="46" t="s">
        <v>23</v>
      </c>
      <c r="K30" s="46">
        <v>21881.31578556</v>
      </c>
      <c r="L30" s="46">
        <v>9670.65</v>
      </c>
      <c r="M30" s="46">
        <f t="shared" si="2"/>
        <v>31551.965785560002</v>
      </c>
      <c r="N30" s="240">
        <f t="shared" ref="N30" si="10">E30*J30</f>
        <v>0</v>
      </c>
      <c r="O30" s="46"/>
      <c r="P30" s="240"/>
      <c r="Q30" s="46">
        <f>L30*I30-0.54</f>
        <v>309460.26</v>
      </c>
      <c r="R30" s="46"/>
      <c r="S30" s="46"/>
      <c r="T30" s="46">
        <f>SUM(N30:Q30)</f>
        <v>309460.26</v>
      </c>
      <c r="U30" s="46">
        <f>T30</f>
        <v>309460.26</v>
      </c>
      <c r="V30" s="46">
        <f>U30</f>
        <v>309460.26</v>
      </c>
    </row>
    <row r="31" spans="1:25">
      <c r="A31" s="188"/>
      <c r="B31" s="127" t="s">
        <v>28</v>
      </c>
      <c r="C31" s="127" t="s">
        <v>220</v>
      </c>
      <c r="D31" s="199"/>
      <c r="E31" s="87"/>
      <c r="F31" s="87"/>
      <c r="G31" s="220"/>
      <c r="H31" s="220"/>
      <c r="I31" s="220"/>
      <c r="J31" s="46"/>
      <c r="K31" s="46"/>
      <c r="L31" s="46">
        <v>12750.1</v>
      </c>
      <c r="M31" s="46">
        <f t="shared" si="2"/>
        <v>12750.1</v>
      </c>
      <c r="N31" s="240"/>
      <c r="O31" s="240"/>
      <c r="P31" s="240"/>
      <c r="Q31" s="46"/>
      <c r="R31" s="46"/>
      <c r="S31" s="46">
        <f>L31*G30</f>
        <v>408003.2</v>
      </c>
      <c r="T31" s="46">
        <f>S31</f>
        <v>408003.2</v>
      </c>
      <c r="U31" s="46">
        <f>S31</f>
        <v>408003.2</v>
      </c>
      <c r="V31" s="46">
        <f>S31</f>
        <v>408003.2</v>
      </c>
    </row>
    <row r="32" spans="1:25" s="204" customFormat="1">
      <c r="A32" s="50"/>
      <c r="B32" s="233" t="s">
        <v>225</v>
      </c>
      <c r="C32" s="219" t="s">
        <v>219</v>
      </c>
      <c r="D32" s="49" t="s">
        <v>20</v>
      </c>
      <c r="E32" s="239">
        <v>9</v>
      </c>
      <c r="F32" s="239">
        <v>9</v>
      </c>
      <c r="G32" s="220">
        <v>9</v>
      </c>
      <c r="H32" s="220">
        <v>9</v>
      </c>
      <c r="I32" s="220">
        <v>9</v>
      </c>
      <c r="J32" s="46"/>
      <c r="K32" s="46"/>
      <c r="L32" s="46"/>
      <c r="M32" s="46">
        <v>0</v>
      </c>
      <c r="N32" s="240"/>
      <c r="O32" s="240"/>
      <c r="P32" s="240"/>
      <c r="Q32" s="46"/>
      <c r="R32" s="46">
        <v>1505126</v>
      </c>
      <c r="S32" s="46"/>
      <c r="T32" s="46">
        <f>R32</f>
        <v>1505126</v>
      </c>
      <c r="U32" s="46">
        <f>R32</f>
        <v>1505126</v>
      </c>
      <c r="V32" s="46">
        <f>R32</f>
        <v>1505126</v>
      </c>
    </row>
    <row r="33" spans="1:25" s="204" customFormat="1">
      <c r="A33" s="50"/>
      <c r="B33" s="233" t="s">
        <v>225</v>
      </c>
      <c r="C33" s="219" t="s">
        <v>226</v>
      </c>
      <c r="D33" s="49" t="s">
        <v>20</v>
      </c>
      <c r="E33" s="231">
        <v>4</v>
      </c>
      <c r="F33" s="231">
        <v>4</v>
      </c>
      <c r="G33" s="220">
        <v>4</v>
      </c>
      <c r="H33" s="220">
        <v>4</v>
      </c>
      <c r="I33" s="220">
        <v>4</v>
      </c>
      <c r="J33" s="46"/>
      <c r="K33" s="46"/>
      <c r="L33" s="46"/>
      <c r="M33" s="46">
        <v>0</v>
      </c>
      <c r="N33" s="240"/>
      <c r="O33" s="240"/>
      <c r="P33" s="240">
        <v>682945</v>
      </c>
      <c r="Q33" s="46"/>
      <c r="R33" s="46"/>
      <c r="S33" s="46"/>
      <c r="T33" s="46">
        <f>N33+O33+P33+Q33</f>
        <v>682945</v>
      </c>
      <c r="U33" s="46">
        <f>N33+O33+P33+Q33</f>
        <v>682945</v>
      </c>
      <c r="V33" s="46">
        <f>N33+O33+P33+Q33</f>
        <v>682945</v>
      </c>
    </row>
    <row r="34" spans="1:25" s="204" customFormat="1" ht="27.6">
      <c r="A34" s="50"/>
      <c r="B34" s="84" t="s">
        <v>299</v>
      </c>
      <c r="C34" s="219" t="s">
        <v>219</v>
      </c>
      <c r="D34" s="50"/>
      <c r="E34" s="220"/>
      <c r="F34" s="220"/>
      <c r="G34" s="220">
        <v>9</v>
      </c>
      <c r="H34" s="220">
        <v>9</v>
      </c>
      <c r="I34" s="220">
        <v>9</v>
      </c>
      <c r="J34" s="46"/>
      <c r="K34" s="46"/>
      <c r="L34" s="46"/>
      <c r="M34" s="46">
        <f>R34</f>
        <v>133770</v>
      </c>
      <c r="N34" s="240"/>
      <c r="O34" s="240"/>
      <c r="P34" s="240"/>
      <c r="Q34" s="46"/>
      <c r="R34" s="46">
        <v>133770</v>
      </c>
      <c r="S34" s="46"/>
      <c r="T34" s="46">
        <f>R34</f>
        <v>133770</v>
      </c>
      <c r="U34" s="46"/>
      <c r="V34" s="46"/>
    </row>
    <row r="35" spans="1:25" s="204" customFormat="1">
      <c r="A35" s="50"/>
      <c r="B35" s="233"/>
      <c r="C35" s="219" t="s">
        <v>226</v>
      </c>
      <c r="D35" s="45"/>
      <c r="E35" s="220"/>
      <c r="F35" s="220"/>
      <c r="G35" s="220"/>
      <c r="H35" s="220"/>
      <c r="I35" s="220"/>
      <c r="J35" s="46"/>
      <c r="K35" s="46"/>
      <c r="L35" s="46"/>
      <c r="M35" s="46">
        <f t="shared" si="2"/>
        <v>0</v>
      </c>
      <c r="N35" s="240"/>
      <c r="O35" s="240"/>
      <c r="P35" s="240"/>
      <c r="Q35" s="46"/>
      <c r="R35" s="46"/>
      <c r="S35" s="46"/>
      <c r="T35" s="46">
        <f>O35</f>
        <v>0</v>
      </c>
      <c r="U35" s="46">
        <f t="shared" ref="U35:V37" si="11">T35</f>
        <v>0</v>
      </c>
      <c r="V35" s="46">
        <f t="shared" si="11"/>
        <v>0</v>
      </c>
    </row>
    <row r="36" spans="1:25" ht="45" hidden="1" customHeight="1">
      <c r="A36" s="196"/>
      <c r="B36" s="128"/>
      <c r="C36" s="127" t="s">
        <v>226</v>
      </c>
      <c r="D36" s="199"/>
      <c r="E36" s="87"/>
      <c r="F36" s="87"/>
      <c r="G36" s="220"/>
      <c r="H36" s="220"/>
      <c r="I36" s="220"/>
      <c r="J36" s="46"/>
      <c r="K36" s="46"/>
      <c r="L36" s="46"/>
      <c r="M36" s="46">
        <f t="shared" si="2"/>
        <v>0</v>
      </c>
      <c r="N36" s="240"/>
      <c r="O36" s="240"/>
      <c r="P36" s="240"/>
      <c r="Q36" s="46"/>
      <c r="R36" s="46"/>
      <c r="S36" s="46"/>
      <c r="T36" s="46">
        <f>N36+O36+P36+Q36</f>
        <v>0</v>
      </c>
      <c r="U36" s="46">
        <f t="shared" si="11"/>
        <v>0</v>
      </c>
      <c r="V36" s="46">
        <f t="shared" si="11"/>
        <v>0</v>
      </c>
    </row>
    <row r="37" spans="1:25" ht="16.5" customHeight="1">
      <c r="A37" s="214"/>
      <c r="B37" s="128"/>
      <c r="C37" s="127"/>
      <c r="D37" s="214"/>
      <c r="E37" s="87"/>
      <c r="F37" s="87"/>
      <c r="G37" s="220"/>
      <c r="H37" s="220"/>
      <c r="I37" s="220"/>
      <c r="J37" s="46"/>
      <c r="K37" s="46"/>
      <c r="L37" s="46"/>
      <c r="M37" s="46">
        <f t="shared" si="2"/>
        <v>0</v>
      </c>
      <c r="N37" s="240"/>
      <c r="O37" s="240"/>
      <c r="P37" s="240"/>
      <c r="Q37" s="46"/>
      <c r="R37" s="46"/>
      <c r="S37" s="46"/>
      <c r="T37" s="46">
        <f>O37</f>
        <v>0</v>
      </c>
      <c r="U37" s="46">
        <f t="shared" si="11"/>
        <v>0</v>
      </c>
      <c r="V37" s="46">
        <f t="shared" si="11"/>
        <v>0</v>
      </c>
    </row>
    <row r="38" spans="1:25" ht="15.75" customHeight="1">
      <c r="A38" s="189" t="s">
        <v>35</v>
      </c>
      <c r="B38" s="199"/>
      <c r="C38" s="127"/>
      <c r="D38" s="91"/>
      <c r="E38" s="92"/>
      <c r="F38" s="92"/>
      <c r="G38" s="265"/>
      <c r="H38" s="265"/>
      <c r="I38" s="265"/>
      <c r="J38" s="222"/>
      <c r="K38" s="222"/>
      <c r="L38" s="261"/>
      <c r="M38" s="46">
        <f t="shared" si="2"/>
        <v>0</v>
      </c>
      <c r="N38" s="222">
        <f>N39+N50</f>
        <v>9399768.0019307639</v>
      </c>
      <c r="O38" s="222">
        <f>O39</f>
        <v>2516350.9953394001</v>
      </c>
      <c r="P38" s="241">
        <f>P39</f>
        <v>1167137.0068832019</v>
      </c>
      <c r="Q38" s="222">
        <f>Q39+Q50+Q45</f>
        <v>3449108.2800000003</v>
      </c>
      <c r="R38" s="222">
        <f>R39+R45</f>
        <v>2295376</v>
      </c>
      <c r="S38" s="222">
        <f>S51</f>
        <v>1389760.9000000001</v>
      </c>
      <c r="T38" s="222">
        <f>T39+T50+T51</f>
        <v>20217501.184153367</v>
      </c>
      <c r="U38" s="222">
        <f>U39+U50+U51</f>
        <v>20033566.184153367</v>
      </c>
      <c r="V38" s="222">
        <f>V39+V50+V51</f>
        <v>20033566.184153367</v>
      </c>
      <c r="W38" s="80">
        <v>4235504.5599999996</v>
      </c>
      <c r="X38" s="85">
        <f>W38-Q38</f>
        <v>786396.27999999933</v>
      </c>
      <c r="Y38" s="80">
        <f>X38/111</f>
        <v>7084.6511711711655</v>
      </c>
    </row>
    <row r="39" spans="1:25" ht="84.75" customHeight="1">
      <c r="A39" s="194" t="s">
        <v>249</v>
      </c>
      <c r="B39" s="84" t="s">
        <v>76</v>
      </c>
      <c r="C39" s="128"/>
      <c r="D39" s="82"/>
      <c r="E39" s="68"/>
      <c r="F39" s="68"/>
      <c r="G39" s="264"/>
      <c r="H39" s="264"/>
      <c r="I39" s="264"/>
      <c r="J39" s="46"/>
      <c r="K39" s="46"/>
      <c r="L39" s="46"/>
      <c r="M39" s="46">
        <f t="shared" si="2"/>
        <v>0</v>
      </c>
      <c r="N39" s="46">
        <f>SUM(N40:N48)</f>
        <v>9399768.0019307639</v>
      </c>
      <c r="O39" s="46">
        <f>SUM(O40:O49)</f>
        <v>2516350.9953394001</v>
      </c>
      <c r="P39" s="240">
        <f>P44</f>
        <v>1167137.0068832019</v>
      </c>
      <c r="Q39" s="46">
        <f t="shared" ref="Q39" si="12">SUM(Q40:Q42)</f>
        <v>2336984</v>
      </c>
      <c r="R39" s="46">
        <f>R43</f>
        <v>2111441</v>
      </c>
      <c r="S39" s="46"/>
      <c r="T39" s="46">
        <f>SUM(T40:T49)</f>
        <v>17715616.004153367</v>
      </c>
      <c r="U39" s="46">
        <f t="shared" ref="U39:V39" si="13">SUM(U40:U49)</f>
        <v>17531681.004153367</v>
      </c>
      <c r="V39" s="46">
        <f t="shared" si="13"/>
        <v>17531681.004153367</v>
      </c>
      <c r="W39" s="85">
        <f>T39+T50+T51</f>
        <v>20217501.184153367</v>
      </c>
      <c r="Y39" s="85"/>
    </row>
    <row r="40" spans="1:25" ht="96.6">
      <c r="A40" s="83"/>
      <c r="B40" s="97" t="s">
        <v>279</v>
      </c>
      <c r="C40" s="93" t="s">
        <v>283</v>
      </c>
      <c r="D40" s="199" t="s">
        <v>20</v>
      </c>
      <c r="E40" s="231">
        <v>18</v>
      </c>
      <c r="F40" s="231">
        <v>18</v>
      </c>
      <c r="G40" s="220">
        <v>18</v>
      </c>
      <c r="H40" s="220">
        <v>18</v>
      </c>
      <c r="I40" s="220">
        <v>18</v>
      </c>
      <c r="J40" s="46">
        <v>43138.04</v>
      </c>
      <c r="K40" s="46">
        <v>21881.31578556</v>
      </c>
      <c r="L40" s="46">
        <v>20321.599999999999</v>
      </c>
      <c r="M40" s="46">
        <f t="shared" si="2"/>
        <v>85340.95578556</v>
      </c>
      <c r="N40" s="46">
        <f>G40*J40-0.24</f>
        <v>776484.48</v>
      </c>
      <c r="O40" s="46">
        <f>G40*K40-0.32</f>
        <v>393863.36414008</v>
      </c>
      <c r="P40" s="240"/>
      <c r="Q40" s="46">
        <f>G40*L40</f>
        <v>365788.8</v>
      </c>
      <c r="R40" s="46"/>
      <c r="S40" s="46"/>
      <c r="T40" s="46">
        <f t="shared" si="3"/>
        <v>1536136.6441400801</v>
      </c>
      <c r="U40" s="46">
        <f>T40</f>
        <v>1536136.6441400801</v>
      </c>
      <c r="V40" s="46">
        <f>U40</f>
        <v>1536136.6441400801</v>
      </c>
    </row>
    <row r="41" spans="1:25" ht="96.6">
      <c r="A41" s="83"/>
      <c r="B41" s="97" t="s">
        <v>277</v>
      </c>
      <c r="C41" s="93" t="s">
        <v>284</v>
      </c>
      <c r="D41" s="199" t="s">
        <v>20</v>
      </c>
      <c r="E41" s="231">
        <v>30</v>
      </c>
      <c r="F41" s="231">
        <v>30</v>
      </c>
      <c r="G41" s="220">
        <v>30</v>
      </c>
      <c r="H41" s="220">
        <v>30</v>
      </c>
      <c r="I41" s="220">
        <v>30</v>
      </c>
      <c r="J41" s="46">
        <v>142093.57999999999</v>
      </c>
      <c r="K41" s="46">
        <v>21881.31578556</v>
      </c>
      <c r="L41" s="46">
        <v>20321.599999999999</v>
      </c>
      <c r="M41" s="46">
        <f t="shared" si="2"/>
        <v>184296.49578555999</v>
      </c>
      <c r="N41" s="46">
        <f>G41*J41+1</f>
        <v>4262808.3999999994</v>
      </c>
      <c r="O41" s="46">
        <f>G41*K41</f>
        <v>656439.47356680001</v>
      </c>
      <c r="P41" s="240"/>
      <c r="Q41" s="46">
        <f>G41*L41</f>
        <v>609648</v>
      </c>
      <c r="R41" s="46"/>
      <c r="S41" s="46"/>
      <c r="T41" s="46">
        <f t="shared" si="3"/>
        <v>5528895.8735667998</v>
      </c>
      <c r="U41" s="46">
        <f>T41</f>
        <v>5528895.8735667998</v>
      </c>
      <c r="V41" s="46">
        <f>U41</f>
        <v>5528895.8735667998</v>
      </c>
    </row>
    <row r="42" spans="1:25" ht="105.75" customHeight="1">
      <c r="A42" s="83"/>
      <c r="B42" s="93" t="s">
        <v>286</v>
      </c>
      <c r="C42" s="93" t="s">
        <v>285</v>
      </c>
      <c r="D42" s="199" t="s">
        <v>20</v>
      </c>
      <c r="E42" s="231">
        <v>67</v>
      </c>
      <c r="F42" s="231">
        <v>67</v>
      </c>
      <c r="G42" s="220">
        <v>67</v>
      </c>
      <c r="H42" s="220">
        <v>67</v>
      </c>
      <c r="I42" s="220">
        <v>67</v>
      </c>
      <c r="J42" s="263">
        <v>64585.825591182365</v>
      </c>
      <c r="K42" s="46">
        <v>21881.31578556</v>
      </c>
      <c r="L42" s="46">
        <v>20321.599999999999</v>
      </c>
      <c r="M42" s="46">
        <f t="shared" si="2"/>
        <v>106788.74137674237</v>
      </c>
      <c r="N42" s="46">
        <f>G42*J42</f>
        <v>4327250.3146092184</v>
      </c>
      <c r="O42" s="46">
        <f>G42*K42</f>
        <v>1466048.15763252</v>
      </c>
      <c r="P42" s="240"/>
      <c r="Q42" s="46">
        <f>G42*L42</f>
        <v>1361547.2</v>
      </c>
      <c r="R42" s="46"/>
      <c r="S42" s="46"/>
      <c r="T42" s="46">
        <f t="shared" si="3"/>
        <v>7154845.672241739</v>
      </c>
      <c r="U42" s="46">
        <f t="shared" ref="U42:U153" si="14">H42*M42</f>
        <v>7154845.672241739</v>
      </c>
      <c r="V42" s="46">
        <f t="shared" ref="V42:V153" si="15">I42*M42</f>
        <v>7154845.672241739</v>
      </c>
    </row>
    <row r="43" spans="1:25" s="204" customFormat="1">
      <c r="A43" s="42"/>
      <c r="B43" s="233" t="s">
        <v>225</v>
      </c>
      <c r="C43" s="219" t="s">
        <v>219</v>
      </c>
      <c r="D43" s="49" t="s">
        <v>20</v>
      </c>
      <c r="E43" s="239">
        <v>11</v>
      </c>
      <c r="F43" s="239">
        <v>11</v>
      </c>
      <c r="G43" s="220">
        <v>11</v>
      </c>
      <c r="H43" s="220">
        <v>11</v>
      </c>
      <c r="I43" s="220">
        <v>11</v>
      </c>
      <c r="J43" s="46"/>
      <c r="K43" s="46"/>
      <c r="L43" s="46"/>
      <c r="M43" s="46">
        <v>0</v>
      </c>
      <c r="N43" s="240"/>
      <c r="O43" s="240"/>
      <c r="P43" s="240"/>
      <c r="Q43" s="46"/>
      <c r="R43" s="46">
        <v>2111441</v>
      </c>
      <c r="S43" s="46"/>
      <c r="T43" s="46">
        <f>R43</f>
        <v>2111441</v>
      </c>
      <c r="U43" s="46">
        <f>R43</f>
        <v>2111441</v>
      </c>
      <c r="V43" s="46">
        <f>R43</f>
        <v>2111441</v>
      </c>
    </row>
    <row r="44" spans="1:25" s="204" customFormat="1">
      <c r="A44" s="42"/>
      <c r="B44" s="233" t="s">
        <v>225</v>
      </c>
      <c r="C44" s="219" t="s">
        <v>226</v>
      </c>
      <c r="D44" s="49" t="s">
        <v>20</v>
      </c>
      <c r="E44" s="231">
        <v>10</v>
      </c>
      <c r="F44" s="231">
        <v>10</v>
      </c>
      <c r="G44" s="220">
        <v>10</v>
      </c>
      <c r="H44" s="220">
        <v>10</v>
      </c>
      <c r="I44" s="220">
        <v>10</v>
      </c>
      <c r="J44" s="46"/>
      <c r="K44" s="46"/>
      <c r="L44" s="46"/>
      <c r="M44" s="46">
        <v>0</v>
      </c>
      <c r="N44" s="240"/>
      <c r="O44" s="240"/>
      <c r="P44" s="240">
        <v>1167137.0068832019</v>
      </c>
      <c r="Q44" s="46"/>
      <c r="R44" s="46"/>
      <c r="S44" s="46"/>
      <c r="T44" s="46">
        <f>P44</f>
        <v>1167137.0068832019</v>
      </c>
      <c r="U44" s="46">
        <f>P44</f>
        <v>1167137.0068832019</v>
      </c>
      <c r="V44" s="46">
        <f>P44</f>
        <v>1167137.0068832019</v>
      </c>
    </row>
    <row r="45" spans="1:25" s="204" customFormat="1" ht="27.6">
      <c r="A45" s="42"/>
      <c r="B45" s="84" t="s">
        <v>299</v>
      </c>
      <c r="C45" s="219" t="s">
        <v>219</v>
      </c>
      <c r="D45" s="49"/>
      <c r="E45" s="220"/>
      <c r="F45" s="220"/>
      <c r="G45" s="220">
        <v>11</v>
      </c>
      <c r="H45" s="220">
        <v>11</v>
      </c>
      <c r="I45" s="220">
        <v>11</v>
      </c>
      <c r="J45" s="46"/>
      <c r="K45" s="46"/>
      <c r="L45" s="46"/>
      <c r="M45" s="46">
        <v>0</v>
      </c>
      <c r="N45" s="240"/>
      <c r="O45" s="240"/>
      <c r="P45" s="240"/>
      <c r="Q45" s="46"/>
      <c r="R45" s="46">
        <v>183935</v>
      </c>
      <c r="S45" s="46"/>
      <c r="T45" s="46">
        <f>R45</f>
        <v>183935</v>
      </c>
      <c r="U45" s="46"/>
      <c r="V45" s="46"/>
    </row>
    <row r="46" spans="1:25" s="204" customFormat="1" hidden="1">
      <c r="A46" s="50"/>
      <c r="B46" s="233" t="s">
        <v>266</v>
      </c>
      <c r="C46" s="219" t="s">
        <v>226</v>
      </c>
      <c r="D46" s="45"/>
      <c r="E46" s="220"/>
      <c r="F46" s="220"/>
      <c r="G46" s="220"/>
      <c r="H46" s="220"/>
      <c r="I46" s="220"/>
      <c r="J46" s="46"/>
      <c r="K46" s="46"/>
      <c r="L46" s="46"/>
      <c r="M46" s="46">
        <f t="shared" si="2"/>
        <v>0</v>
      </c>
      <c r="N46" s="240"/>
      <c r="O46" s="240"/>
      <c r="P46" s="240"/>
      <c r="Q46" s="46"/>
      <c r="R46" s="46"/>
      <c r="S46" s="46"/>
      <c r="T46" s="46">
        <f>O46</f>
        <v>0</v>
      </c>
      <c r="U46" s="46">
        <f t="shared" ref="U46:V47" si="16">T46</f>
        <v>0</v>
      </c>
      <c r="V46" s="46">
        <f t="shared" si="16"/>
        <v>0</v>
      </c>
    </row>
    <row r="47" spans="1:25" s="204" customFormat="1">
      <c r="A47" s="50"/>
      <c r="B47" s="233" t="s">
        <v>267</v>
      </c>
      <c r="C47" s="219" t="s">
        <v>226</v>
      </c>
      <c r="D47" s="45"/>
      <c r="E47" s="220"/>
      <c r="F47" s="220"/>
      <c r="G47" s="220"/>
      <c r="H47" s="220"/>
      <c r="I47" s="220"/>
      <c r="J47" s="46"/>
      <c r="K47" s="46"/>
      <c r="L47" s="46"/>
      <c r="M47" s="46">
        <v>0</v>
      </c>
      <c r="N47" s="240">
        <v>33224.807321546898</v>
      </c>
      <c r="O47" s="240"/>
      <c r="P47" s="240"/>
      <c r="Q47" s="46"/>
      <c r="R47" s="46"/>
      <c r="S47" s="46"/>
      <c r="T47" s="46">
        <f>N47</f>
        <v>33224.807321546898</v>
      </c>
      <c r="U47" s="46">
        <f t="shared" si="16"/>
        <v>33224.807321546898</v>
      </c>
      <c r="V47" s="46">
        <f t="shared" si="16"/>
        <v>33224.807321546898</v>
      </c>
    </row>
    <row r="48" spans="1:25" ht="44.25" hidden="1" customHeight="1">
      <c r="A48" s="83"/>
      <c r="B48" s="128"/>
      <c r="C48" s="127" t="s">
        <v>226</v>
      </c>
      <c r="D48" s="199"/>
      <c r="E48" s="87"/>
      <c r="F48" s="87"/>
      <c r="G48" s="220"/>
      <c r="H48" s="220"/>
      <c r="I48" s="220"/>
      <c r="J48" s="46"/>
      <c r="K48" s="46"/>
      <c r="L48" s="46"/>
      <c r="M48" s="46">
        <f t="shared" si="2"/>
        <v>0</v>
      </c>
      <c r="N48" s="240"/>
      <c r="O48" s="240"/>
      <c r="P48" s="240"/>
      <c r="Q48" s="46"/>
      <c r="R48" s="46"/>
      <c r="S48" s="46"/>
      <c r="T48" s="46">
        <f>N48</f>
        <v>0</v>
      </c>
      <c r="U48" s="46">
        <f t="shared" ref="U48:V50" si="17">T48</f>
        <v>0</v>
      </c>
      <c r="V48" s="46">
        <f t="shared" si="17"/>
        <v>0</v>
      </c>
    </row>
    <row r="49" spans="1:25" hidden="1">
      <c r="A49" s="83"/>
      <c r="B49" s="128"/>
      <c r="C49" s="127"/>
      <c r="D49" s="214"/>
      <c r="E49" s="87"/>
      <c r="F49" s="87"/>
      <c r="G49" s="220"/>
      <c r="H49" s="220"/>
      <c r="I49" s="220"/>
      <c r="J49" s="46"/>
      <c r="K49" s="46"/>
      <c r="L49" s="46"/>
      <c r="M49" s="46">
        <f t="shared" si="2"/>
        <v>0</v>
      </c>
      <c r="N49" s="240"/>
      <c r="O49" s="240"/>
      <c r="P49" s="240"/>
      <c r="Q49" s="46"/>
      <c r="R49" s="46"/>
      <c r="S49" s="46"/>
      <c r="T49" s="46">
        <f>O49</f>
        <v>0</v>
      </c>
      <c r="U49" s="46">
        <f t="shared" si="17"/>
        <v>0</v>
      </c>
      <c r="V49" s="46">
        <f t="shared" si="17"/>
        <v>0</v>
      </c>
    </row>
    <row r="50" spans="1:25" ht="64.5" customHeight="1">
      <c r="A50" s="194" t="s">
        <v>250</v>
      </c>
      <c r="B50" s="199" t="s">
        <v>28</v>
      </c>
      <c r="C50" s="127" t="s">
        <v>219</v>
      </c>
      <c r="D50" s="199" t="s">
        <v>20</v>
      </c>
      <c r="E50" s="231">
        <v>115</v>
      </c>
      <c r="F50" s="87">
        <v>115</v>
      </c>
      <c r="G50" s="220">
        <v>115</v>
      </c>
      <c r="H50" s="220">
        <v>115</v>
      </c>
      <c r="I50" s="220">
        <v>115</v>
      </c>
      <c r="J50" s="46" t="s">
        <v>23</v>
      </c>
      <c r="K50" s="46"/>
      <c r="L50" s="46">
        <v>9670.65</v>
      </c>
      <c r="M50" s="46">
        <f t="shared" si="2"/>
        <v>9670.65</v>
      </c>
      <c r="N50" s="240">
        <f t="shared" ref="N50:N106" si="18">E50*J50</f>
        <v>0</v>
      </c>
      <c r="O50" s="240">
        <f t="shared" ref="O50" si="19">E50*K50</f>
        <v>0</v>
      </c>
      <c r="P50" s="240"/>
      <c r="Q50" s="46">
        <f>G50*L50-0.47</f>
        <v>1112124.28</v>
      </c>
      <c r="R50" s="46"/>
      <c r="S50" s="46"/>
      <c r="T50" s="46">
        <f>SUM(N50:Q50)</f>
        <v>1112124.28</v>
      </c>
      <c r="U50" s="46">
        <f t="shared" si="17"/>
        <v>1112124.28</v>
      </c>
      <c r="V50" s="46">
        <f t="shared" si="17"/>
        <v>1112124.28</v>
      </c>
    </row>
    <row r="51" spans="1:25">
      <c r="A51" s="86"/>
      <c r="B51" s="199" t="s">
        <v>28</v>
      </c>
      <c r="C51" s="127" t="s">
        <v>220</v>
      </c>
      <c r="D51" s="199"/>
      <c r="E51" s="87"/>
      <c r="F51" s="87"/>
      <c r="G51" s="220">
        <v>109</v>
      </c>
      <c r="H51" s="220">
        <v>109</v>
      </c>
      <c r="I51" s="220">
        <v>109</v>
      </c>
      <c r="J51" s="46"/>
      <c r="K51" s="46"/>
      <c r="L51" s="46">
        <v>12750.1</v>
      </c>
      <c r="M51" s="46">
        <f t="shared" si="2"/>
        <v>12750.1</v>
      </c>
      <c r="N51" s="240"/>
      <c r="O51" s="240"/>
      <c r="P51" s="240"/>
      <c r="Q51" s="46"/>
      <c r="R51" s="46"/>
      <c r="S51" s="46">
        <f>G51*L51</f>
        <v>1389760.9000000001</v>
      </c>
      <c r="T51" s="46">
        <f>S51</f>
        <v>1389760.9000000001</v>
      </c>
      <c r="U51" s="46">
        <f>S51</f>
        <v>1389760.9000000001</v>
      </c>
      <c r="V51" s="46">
        <f>S51</f>
        <v>1389760.9000000001</v>
      </c>
    </row>
    <row r="52" spans="1:25">
      <c r="A52" s="189" t="s">
        <v>40</v>
      </c>
      <c r="B52" s="94"/>
      <c r="C52" s="94"/>
      <c r="D52" s="94"/>
      <c r="E52" s="92"/>
      <c r="F52" s="92"/>
      <c r="G52" s="265"/>
      <c r="H52" s="265"/>
      <c r="I52" s="265"/>
      <c r="J52" s="222"/>
      <c r="K52" s="222"/>
      <c r="L52" s="222"/>
      <c r="M52" s="46">
        <f t="shared" si="2"/>
        <v>0</v>
      </c>
      <c r="N52" s="222">
        <f>N53+N64</f>
        <v>6252791.9969739476</v>
      </c>
      <c r="O52" s="222">
        <f>O53+O64</f>
        <v>2494469.9995538397</v>
      </c>
      <c r="P52" s="222">
        <f>P53</f>
        <v>644437</v>
      </c>
      <c r="Q52" s="222">
        <f>Q53+Q64+Q59</f>
        <v>3419116.0299999993</v>
      </c>
      <c r="R52" s="222">
        <f>R53+R59</f>
        <v>2399458</v>
      </c>
      <c r="S52" s="222">
        <f>S65</f>
        <v>1415261.1</v>
      </c>
      <c r="T52" s="222">
        <f>T53+T64+T65</f>
        <v>16625534.126527786</v>
      </c>
      <c r="U52" s="222">
        <f>U53+U64+U65</f>
        <v>16441599.126527786</v>
      </c>
      <c r="V52" s="222">
        <f>V53+V64+V65</f>
        <v>16441599.126527786</v>
      </c>
      <c r="W52" s="85">
        <v>3572593.66</v>
      </c>
      <c r="X52" s="85">
        <f>W52-Q52</f>
        <v>153477.63000000082</v>
      </c>
      <c r="Y52" s="80">
        <f>X52/I64</f>
        <v>1346.2950000000071</v>
      </c>
    </row>
    <row r="53" spans="1:25" ht="84" customHeight="1">
      <c r="A53" s="194" t="s">
        <v>249</v>
      </c>
      <c r="B53" s="84" t="s">
        <v>76</v>
      </c>
      <c r="C53" s="128"/>
      <c r="D53" s="95"/>
      <c r="E53" s="68"/>
      <c r="F53" s="68"/>
      <c r="G53" s="264"/>
      <c r="H53" s="264"/>
      <c r="I53" s="264"/>
      <c r="J53" s="46"/>
      <c r="K53" s="46"/>
      <c r="L53" s="46"/>
      <c r="M53" s="46">
        <f t="shared" si="2"/>
        <v>0</v>
      </c>
      <c r="N53" s="46">
        <f>SUM(N54:N62)</f>
        <v>6252791.9969739476</v>
      </c>
      <c r="O53" s="46">
        <f>SUM(O54:O63)</f>
        <v>2494469.9995538397</v>
      </c>
      <c r="P53" s="46">
        <f>P58</f>
        <v>644437</v>
      </c>
      <c r="Q53" s="46">
        <f t="shared" ref="Q53" si="20">SUM(Q54:Q56)</f>
        <v>2316661.9299999997</v>
      </c>
      <c r="R53" s="46">
        <f>R57</f>
        <v>2215523</v>
      </c>
      <c r="S53" s="46"/>
      <c r="T53" s="46">
        <f>SUM(T54:T63)</f>
        <v>14107818.926527787</v>
      </c>
      <c r="U53" s="46">
        <f t="shared" ref="U53:V53" si="21">SUM(U54:U63)</f>
        <v>13923883.926527787</v>
      </c>
      <c r="V53" s="46">
        <f t="shared" si="21"/>
        <v>13923883.926527787</v>
      </c>
      <c r="W53" s="85"/>
    </row>
    <row r="54" spans="1:25" ht="56.25" customHeight="1">
      <c r="A54" s="83"/>
      <c r="B54" s="97" t="s">
        <v>279</v>
      </c>
      <c r="C54" s="315" t="s">
        <v>283</v>
      </c>
      <c r="D54" s="199" t="s">
        <v>20</v>
      </c>
      <c r="E54" s="231">
        <v>22</v>
      </c>
      <c r="F54" s="231">
        <v>22</v>
      </c>
      <c r="G54" s="220">
        <v>22</v>
      </c>
      <c r="H54" s="220">
        <v>22</v>
      </c>
      <c r="I54" s="220">
        <v>22</v>
      </c>
      <c r="J54" s="46">
        <v>43138.04</v>
      </c>
      <c r="K54" s="46">
        <v>21881.31578556</v>
      </c>
      <c r="L54" s="46">
        <v>20321.599999999999</v>
      </c>
      <c r="M54" s="46">
        <f t="shared" si="2"/>
        <v>85340.95578556</v>
      </c>
      <c r="N54" s="46">
        <f>G54*J54</f>
        <v>949036.88</v>
      </c>
      <c r="O54" s="46">
        <f>G54*K54</f>
        <v>481388.94728232</v>
      </c>
      <c r="P54" s="240"/>
      <c r="Q54" s="46">
        <f>G54*L54</f>
        <v>447075.19999999995</v>
      </c>
      <c r="R54" s="46"/>
      <c r="S54" s="46"/>
      <c r="T54" s="46">
        <f t="shared" si="3"/>
        <v>1877501.02728232</v>
      </c>
      <c r="U54" s="46">
        <f t="shared" si="14"/>
        <v>1877501.02728232</v>
      </c>
      <c r="V54" s="46">
        <f t="shared" si="15"/>
        <v>1877501.02728232</v>
      </c>
    </row>
    <row r="55" spans="1:25" ht="54" customHeight="1">
      <c r="A55" s="88"/>
      <c r="B55" s="97" t="s">
        <v>277</v>
      </c>
      <c r="C55" s="316"/>
      <c r="D55" s="86" t="s">
        <v>20</v>
      </c>
      <c r="E55" s="231">
        <v>21</v>
      </c>
      <c r="F55" s="231">
        <v>21</v>
      </c>
      <c r="G55" s="220">
        <v>21</v>
      </c>
      <c r="H55" s="220">
        <v>21</v>
      </c>
      <c r="I55" s="220">
        <v>21</v>
      </c>
      <c r="J55" s="46">
        <v>34198.17</v>
      </c>
      <c r="K55" s="46">
        <v>21881.31578556</v>
      </c>
      <c r="L55" s="46">
        <v>20321.599999999999</v>
      </c>
      <c r="M55" s="46">
        <f t="shared" si="2"/>
        <v>76401.08578555999</v>
      </c>
      <c r="N55" s="46">
        <f>G55*J55-0.07</f>
        <v>718161.5</v>
      </c>
      <c r="O55" s="46">
        <f>G55*K55-0.16</f>
        <v>459507.47149676003</v>
      </c>
      <c r="P55" s="240"/>
      <c r="Q55" s="46">
        <f>G55*L55</f>
        <v>426753.6</v>
      </c>
      <c r="R55" s="46"/>
      <c r="S55" s="46"/>
      <c r="T55" s="46">
        <f t="shared" si="3"/>
        <v>1604422.57149676</v>
      </c>
      <c r="U55" s="46">
        <f>T55</f>
        <v>1604422.57149676</v>
      </c>
      <c r="V55" s="46">
        <f>U55</f>
        <v>1604422.57149676</v>
      </c>
    </row>
    <row r="56" spans="1:25" ht="110.4">
      <c r="A56" s="88"/>
      <c r="B56" s="97" t="s">
        <v>277</v>
      </c>
      <c r="C56" s="93" t="s">
        <v>282</v>
      </c>
      <c r="D56" s="199" t="s">
        <v>20</v>
      </c>
      <c r="E56" s="231">
        <v>71</v>
      </c>
      <c r="F56" s="231">
        <v>71</v>
      </c>
      <c r="G56" s="220">
        <v>71</v>
      </c>
      <c r="H56" s="220">
        <v>71</v>
      </c>
      <c r="I56" s="220">
        <v>71</v>
      </c>
      <c r="J56" s="263">
        <v>64585.825591182365</v>
      </c>
      <c r="K56" s="46">
        <v>21881.31578556</v>
      </c>
      <c r="L56" s="46">
        <v>20321.599999999999</v>
      </c>
      <c r="M56" s="46">
        <f t="shared" si="2"/>
        <v>106788.74137674237</v>
      </c>
      <c r="N56" s="46">
        <f>G56*J56</f>
        <v>4585593.6169739477</v>
      </c>
      <c r="O56" s="46">
        <f>G56*K56+0.16</f>
        <v>1553573.5807747599</v>
      </c>
      <c r="P56" s="240"/>
      <c r="Q56" s="46">
        <f>G56*L56-0.47</f>
        <v>1442833.13</v>
      </c>
      <c r="R56" s="46"/>
      <c r="S56" s="46"/>
      <c r="T56" s="46">
        <f t="shared" si="3"/>
        <v>7582000.3277487075</v>
      </c>
      <c r="U56" s="46">
        <f>T56</f>
        <v>7582000.3277487075</v>
      </c>
      <c r="V56" s="46">
        <f>U56</f>
        <v>7582000.3277487075</v>
      </c>
    </row>
    <row r="57" spans="1:25" s="204" customFormat="1">
      <c r="A57" s="49"/>
      <c r="B57" s="233" t="s">
        <v>225</v>
      </c>
      <c r="C57" s="219" t="s">
        <v>219</v>
      </c>
      <c r="D57" s="228" t="s">
        <v>20</v>
      </c>
      <c r="E57" s="239">
        <v>11</v>
      </c>
      <c r="F57" s="239">
        <v>11</v>
      </c>
      <c r="G57" s="220">
        <v>11</v>
      </c>
      <c r="H57" s="220">
        <v>11</v>
      </c>
      <c r="I57" s="220">
        <v>11</v>
      </c>
      <c r="J57" s="46"/>
      <c r="K57" s="46"/>
      <c r="L57" s="46"/>
      <c r="M57" s="46">
        <f t="shared" si="2"/>
        <v>0</v>
      </c>
      <c r="N57" s="240"/>
      <c r="O57" s="240"/>
      <c r="P57" s="240"/>
      <c r="Q57" s="46"/>
      <c r="R57" s="46">
        <v>2215523</v>
      </c>
      <c r="S57" s="46"/>
      <c r="T57" s="46">
        <f>R57</f>
        <v>2215523</v>
      </c>
      <c r="U57" s="46">
        <f>R57</f>
        <v>2215523</v>
      </c>
      <c r="V57" s="46">
        <f>R57</f>
        <v>2215523</v>
      </c>
    </row>
    <row r="58" spans="1:25" s="204" customFormat="1">
      <c r="A58" s="49"/>
      <c r="B58" s="233" t="s">
        <v>225</v>
      </c>
      <c r="C58" s="219" t="s">
        <v>226</v>
      </c>
      <c r="D58" s="228" t="s">
        <v>20</v>
      </c>
      <c r="E58" s="231">
        <v>6</v>
      </c>
      <c r="F58" s="231">
        <v>6</v>
      </c>
      <c r="G58" s="220">
        <v>6</v>
      </c>
      <c r="H58" s="220">
        <v>6</v>
      </c>
      <c r="I58" s="220">
        <v>6</v>
      </c>
      <c r="J58" s="46"/>
      <c r="K58" s="46"/>
      <c r="L58" s="46"/>
      <c r="M58" s="46">
        <f t="shared" si="2"/>
        <v>0</v>
      </c>
      <c r="N58" s="240"/>
      <c r="O58" s="240"/>
      <c r="P58" s="240">
        <v>644437</v>
      </c>
      <c r="Q58" s="46"/>
      <c r="R58" s="46"/>
      <c r="S58" s="46"/>
      <c r="T58" s="46">
        <f>P58</f>
        <v>644437</v>
      </c>
      <c r="U58" s="46">
        <f>P58</f>
        <v>644437</v>
      </c>
      <c r="V58" s="46">
        <f>P58</f>
        <v>644437</v>
      </c>
    </row>
    <row r="59" spans="1:25" s="204" customFormat="1" ht="27.6">
      <c r="A59" s="49"/>
      <c r="B59" s="84" t="s">
        <v>299</v>
      </c>
      <c r="C59" s="219" t="s">
        <v>219</v>
      </c>
      <c r="D59" s="50"/>
      <c r="E59" s="220"/>
      <c r="F59" s="220"/>
      <c r="G59" s="220"/>
      <c r="H59" s="220"/>
      <c r="I59" s="220"/>
      <c r="J59" s="46"/>
      <c r="K59" s="46"/>
      <c r="L59" s="46"/>
      <c r="M59" s="46">
        <f t="shared" si="2"/>
        <v>0</v>
      </c>
      <c r="N59" s="240"/>
      <c r="O59" s="240"/>
      <c r="P59" s="240"/>
      <c r="Q59" s="46"/>
      <c r="R59" s="46">
        <v>183935</v>
      </c>
      <c r="S59" s="46"/>
      <c r="T59" s="46">
        <f>R59</f>
        <v>183935</v>
      </c>
      <c r="U59" s="46"/>
      <c r="V59" s="211"/>
    </row>
    <row r="60" spans="1:25" s="204" customFormat="1" hidden="1">
      <c r="A60" s="50"/>
      <c r="B60" s="233" t="s">
        <v>266</v>
      </c>
      <c r="C60" s="219" t="s">
        <v>226</v>
      </c>
      <c r="D60" s="45"/>
      <c r="E60" s="220"/>
      <c r="F60" s="220"/>
      <c r="G60" s="220"/>
      <c r="H60" s="220"/>
      <c r="I60" s="220"/>
      <c r="J60" s="46"/>
      <c r="K60" s="46"/>
      <c r="L60" s="46"/>
      <c r="M60" s="46">
        <f t="shared" si="2"/>
        <v>0</v>
      </c>
      <c r="N60" s="240"/>
      <c r="O60" s="240"/>
      <c r="P60" s="240"/>
      <c r="Q60" s="46"/>
      <c r="R60" s="46"/>
      <c r="S60" s="46"/>
      <c r="T60" s="46">
        <f>O60</f>
        <v>0</v>
      </c>
      <c r="U60" s="46">
        <f t="shared" ref="U60:V61" si="22">T60</f>
        <v>0</v>
      </c>
      <c r="V60" s="46">
        <f>U60</f>
        <v>0</v>
      </c>
    </row>
    <row r="61" spans="1:25" s="204" customFormat="1" hidden="1">
      <c r="A61" s="50"/>
      <c r="B61" s="233" t="s">
        <v>267</v>
      </c>
      <c r="C61" s="219" t="s">
        <v>226</v>
      </c>
      <c r="D61" s="45"/>
      <c r="E61" s="220"/>
      <c r="F61" s="220"/>
      <c r="G61" s="220"/>
      <c r="H61" s="220"/>
      <c r="I61" s="220"/>
      <c r="J61" s="46"/>
      <c r="K61" s="46"/>
      <c r="L61" s="46"/>
      <c r="M61" s="46">
        <f t="shared" si="2"/>
        <v>0</v>
      </c>
      <c r="N61" s="240"/>
      <c r="O61" s="240"/>
      <c r="P61" s="240"/>
      <c r="Q61" s="46"/>
      <c r="R61" s="46"/>
      <c r="S61" s="46"/>
      <c r="T61" s="46">
        <f>N61</f>
        <v>0</v>
      </c>
      <c r="U61" s="46">
        <f t="shared" si="22"/>
        <v>0</v>
      </c>
      <c r="V61" s="46">
        <f t="shared" si="22"/>
        <v>0</v>
      </c>
    </row>
    <row r="62" spans="1:25" ht="45.75" hidden="1" customHeight="1">
      <c r="A62" s="88"/>
      <c r="B62" s="128" t="s">
        <v>258</v>
      </c>
      <c r="C62" s="127" t="s">
        <v>226</v>
      </c>
      <c r="D62" s="199"/>
      <c r="E62" s="87"/>
      <c r="F62" s="87"/>
      <c r="G62" s="220"/>
      <c r="H62" s="220"/>
      <c r="I62" s="220"/>
      <c r="J62" s="46"/>
      <c r="K62" s="46"/>
      <c r="L62" s="46"/>
      <c r="M62" s="46">
        <f t="shared" si="2"/>
        <v>0</v>
      </c>
      <c r="N62" s="240"/>
      <c r="O62" s="240"/>
      <c r="P62" s="240"/>
      <c r="Q62" s="46"/>
      <c r="R62" s="46"/>
      <c r="S62" s="46"/>
      <c r="T62" s="46">
        <f>N62</f>
        <v>0</v>
      </c>
      <c r="U62" s="46">
        <f t="shared" ref="U62:V64" si="23">T62</f>
        <v>0</v>
      </c>
      <c r="V62" s="46">
        <f t="shared" si="23"/>
        <v>0</v>
      </c>
    </row>
    <row r="63" spans="1:25" hidden="1">
      <c r="A63" s="88"/>
      <c r="B63" s="128" t="s">
        <v>261</v>
      </c>
      <c r="C63" s="127"/>
      <c r="D63" s="214"/>
      <c r="E63" s="87"/>
      <c r="F63" s="87"/>
      <c r="G63" s="220"/>
      <c r="H63" s="220"/>
      <c r="I63" s="220"/>
      <c r="J63" s="46"/>
      <c r="K63" s="46"/>
      <c r="L63" s="46"/>
      <c r="M63" s="46">
        <f t="shared" si="2"/>
        <v>0</v>
      </c>
      <c r="N63" s="240"/>
      <c r="O63" s="240"/>
      <c r="P63" s="240"/>
      <c r="Q63" s="46"/>
      <c r="R63" s="46"/>
      <c r="S63" s="46"/>
      <c r="T63" s="46">
        <f>O63</f>
        <v>0</v>
      </c>
      <c r="U63" s="46">
        <f t="shared" si="23"/>
        <v>0</v>
      </c>
      <c r="V63" s="46">
        <f t="shared" si="23"/>
        <v>0</v>
      </c>
    </row>
    <row r="64" spans="1:25" ht="63" customHeight="1">
      <c r="A64" s="194" t="s">
        <v>250</v>
      </c>
      <c r="B64" s="199" t="s">
        <v>28</v>
      </c>
      <c r="C64" s="127" t="s">
        <v>219</v>
      </c>
      <c r="D64" s="86" t="s">
        <v>20</v>
      </c>
      <c r="E64" s="231">
        <f>E56+E55+E54</f>
        <v>114</v>
      </c>
      <c r="F64" s="231">
        <f t="shared" ref="F64:I64" si="24">F56+F55+F54</f>
        <v>114</v>
      </c>
      <c r="G64" s="220">
        <f t="shared" si="24"/>
        <v>114</v>
      </c>
      <c r="H64" s="220">
        <f t="shared" si="24"/>
        <v>114</v>
      </c>
      <c r="I64" s="220">
        <f t="shared" si="24"/>
        <v>114</v>
      </c>
      <c r="J64" s="46" t="s">
        <v>23</v>
      </c>
      <c r="K64" s="46"/>
      <c r="L64" s="46">
        <v>9670.65</v>
      </c>
      <c r="M64" s="46">
        <f t="shared" si="2"/>
        <v>9670.65</v>
      </c>
      <c r="N64" s="240">
        <f>G64*J64</f>
        <v>0</v>
      </c>
      <c r="O64" s="240">
        <f t="shared" ref="O64" si="25">G64*K64</f>
        <v>0</v>
      </c>
      <c r="P64" s="240"/>
      <c r="Q64" s="46">
        <f>E64*L64</f>
        <v>1102454.0999999999</v>
      </c>
      <c r="R64" s="46"/>
      <c r="S64" s="46"/>
      <c r="T64" s="46">
        <f>SUM(N64:Q64)</f>
        <v>1102454.0999999999</v>
      </c>
      <c r="U64" s="46">
        <f t="shared" si="23"/>
        <v>1102454.0999999999</v>
      </c>
      <c r="V64" s="46">
        <f t="shared" si="23"/>
        <v>1102454.0999999999</v>
      </c>
    </row>
    <row r="65" spans="1:25">
      <c r="A65" s="86"/>
      <c r="B65" s="199" t="s">
        <v>28</v>
      </c>
      <c r="C65" s="127" t="s">
        <v>220</v>
      </c>
      <c r="D65" s="86"/>
      <c r="E65" s="87"/>
      <c r="F65" s="87"/>
      <c r="G65" s="220">
        <v>111</v>
      </c>
      <c r="H65" s="220">
        <v>111</v>
      </c>
      <c r="I65" s="220">
        <v>111</v>
      </c>
      <c r="J65" s="46"/>
      <c r="K65" s="46"/>
      <c r="L65" s="46">
        <v>12750.1</v>
      </c>
      <c r="M65" s="46">
        <f t="shared" si="2"/>
        <v>12750.1</v>
      </c>
      <c r="N65" s="240"/>
      <c r="O65" s="240"/>
      <c r="P65" s="240"/>
      <c r="Q65" s="46"/>
      <c r="R65" s="46"/>
      <c r="S65" s="46">
        <f>L65*G65</f>
        <v>1415261.1</v>
      </c>
      <c r="T65" s="46">
        <f>S65</f>
        <v>1415261.1</v>
      </c>
      <c r="U65" s="46">
        <f>S65</f>
        <v>1415261.1</v>
      </c>
      <c r="V65" s="46">
        <f>S65</f>
        <v>1415261.1</v>
      </c>
    </row>
    <row r="66" spans="1:25">
      <c r="A66" s="189" t="s">
        <v>44</v>
      </c>
      <c r="B66" s="94"/>
      <c r="C66" s="94"/>
      <c r="D66" s="94"/>
      <c r="E66" s="92"/>
      <c r="F66" s="92"/>
      <c r="G66" s="265"/>
      <c r="H66" s="265"/>
      <c r="I66" s="265"/>
      <c r="J66" s="222"/>
      <c r="K66" s="222"/>
      <c r="L66" s="222"/>
      <c r="M66" s="46">
        <f t="shared" si="2"/>
        <v>0</v>
      </c>
      <c r="N66" s="222">
        <f>N67+N78</f>
        <v>12812951.999338677</v>
      </c>
      <c r="O66" s="222">
        <f>O67+O78</f>
        <v>4813888.0028232001</v>
      </c>
      <c r="P66" s="222">
        <f>P67</f>
        <v>878438</v>
      </c>
      <c r="Q66" s="222">
        <f>Q67+Q78+Q74</f>
        <v>6598294.5300000003</v>
      </c>
      <c r="R66" s="222">
        <f>R67+R74</f>
        <v>3985033</v>
      </c>
      <c r="S66" s="222">
        <f>S79</f>
        <v>2741271.5</v>
      </c>
      <c r="T66" s="222">
        <f>T67+T78+T79</f>
        <v>31829877.032161877</v>
      </c>
      <c r="U66" s="222">
        <f>U67+U78+U79</f>
        <v>31507990.032161877</v>
      </c>
      <c r="V66" s="222">
        <f>V67+V78+V79</f>
        <v>31507990.032161877</v>
      </c>
      <c r="W66" s="216">
        <v>7800737.0300000003</v>
      </c>
      <c r="X66" s="85">
        <f>W66-Q66</f>
        <v>1202442.5</v>
      </c>
      <c r="Y66" s="80">
        <f>X66/I78</f>
        <v>5465.647727272727</v>
      </c>
    </row>
    <row r="67" spans="1:25" ht="85.5" customHeight="1">
      <c r="A67" s="194" t="s">
        <v>249</v>
      </c>
      <c r="B67" s="84" t="s">
        <v>76</v>
      </c>
      <c r="C67" s="128"/>
      <c r="D67" s="95"/>
      <c r="E67" s="68"/>
      <c r="F67" s="68"/>
      <c r="G67" s="264"/>
      <c r="H67" s="264"/>
      <c r="I67" s="264"/>
      <c r="J67" s="46"/>
      <c r="K67" s="46"/>
      <c r="L67" s="46"/>
      <c r="M67" s="46">
        <f t="shared" si="2"/>
        <v>0</v>
      </c>
      <c r="N67" s="46">
        <f>SUM(N68:N76)</f>
        <v>12812951.999338677</v>
      </c>
      <c r="O67" s="46">
        <f>SUM(O68:O77)</f>
        <v>4813888.0028232001</v>
      </c>
      <c r="P67" s="240">
        <f>P73</f>
        <v>878438</v>
      </c>
      <c r="Q67" s="46">
        <f t="shared" ref="Q67" si="26">SUM(Q68:Q71)</f>
        <v>4470751.53</v>
      </c>
      <c r="R67" s="46">
        <f>R72</f>
        <v>3663146</v>
      </c>
      <c r="S67" s="46"/>
      <c r="T67" s="46">
        <f>SUM(T68:T77)</f>
        <v>26961062.532161877</v>
      </c>
      <c r="U67" s="46">
        <f t="shared" ref="U67:V67" si="27">SUM(U68:U77)</f>
        <v>26639175.532161877</v>
      </c>
      <c r="V67" s="46">
        <f t="shared" si="27"/>
        <v>26639175.532161877</v>
      </c>
      <c r="W67" s="85">
        <f>S66+T67</f>
        <v>29702334.032161877</v>
      </c>
    </row>
    <row r="68" spans="1:25" ht="51.75" customHeight="1">
      <c r="A68" s="83"/>
      <c r="B68" s="97" t="s">
        <v>279</v>
      </c>
      <c r="C68" s="325" t="s">
        <v>287</v>
      </c>
      <c r="D68" s="199" t="s">
        <v>20</v>
      </c>
      <c r="E68" s="231">
        <v>35</v>
      </c>
      <c r="F68" s="87">
        <v>35</v>
      </c>
      <c r="G68" s="220">
        <v>35</v>
      </c>
      <c r="H68" s="220">
        <v>35</v>
      </c>
      <c r="I68" s="220">
        <v>35</v>
      </c>
      <c r="J68" s="46">
        <v>43138.04</v>
      </c>
      <c r="K68" s="46">
        <v>21881.31578556</v>
      </c>
      <c r="L68" s="46">
        <v>20321.599999999999</v>
      </c>
      <c r="M68" s="46">
        <f t="shared" si="2"/>
        <v>85340.95578556</v>
      </c>
      <c r="N68" s="46">
        <f>G68*J68</f>
        <v>1509831.4000000001</v>
      </c>
      <c r="O68" s="46">
        <f>G68*K68</f>
        <v>765846.05249459995</v>
      </c>
      <c r="P68" s="240"/>
      <c r="Q68" s="46">
        <f>G68*L68</f>
        <v>711256</v>
      </c>
      <c r="R68" s="46"/>
      <c r="S68" s="46"/>
      <c r="T68" s="46">
        <f>SUM(N68:Q68)</f>
        <v>2986933.4524945999</v>
      </c>
      <c r="U68" s="46">
        <f>T68</f>
        <v>2986933.4524945999</v>
      </c>
      <c r="V68" s="46">
        <f>U68</f>
        <v>2986933.4524945999</v>
      </c>
    </row>
    <row r="69" spans="1:25" ht="51" customHeight="1">
      <c r="A69" s="88"/>
      <c r="B69" s="97" t="s">
        <v>277</v>
      </c>
      <c r="C69" s="326"/>
      <c r="D69" s="86" t="s">
        <v>20</v>
      </c>
      <c r="E69" s="231">
        <v>85</v>
      </c>
      <c r="F69" s="87">
        <v>85</v>
      </c>
      <c r="G69" s="220">
        <v>85</v>
      </c>
      <c r="H69" s="220">
        <v>85</v>
      </c>
      <c r="I69" s="220">
        <v>85</v>
      </c>
      <c r="J69" s="46">
        <v>34198.17</v>
      </c>
      <c r="K69" s="46">
        <v>21881.31578556</v>
      </c>
      <c r="L69" s="46">
        <v>20321.599999999999</v>
      </c>
      <c r="M69" s="46">
        <f t="shared" si="2"/>
        <v>76401.08578555999</v>
      </c>
      <c r="N69" s="46">
        <f>G69*J69</f>
        <v>2906844.4499999997</v>
      </c>
      <c r="O69" s="46">
        <f>G69*K69-1</f>
        <v>1859910.8417726001</v>
      </c>
      <c r="P69" s="240"/>
      <c r="Q69" s="46">
        <f t="shared" ref="Q69:Q70" si="28">G69*L69</f>
        <v>1727335.9999999998</v>
      </c>
      <c r="R69" s="46"/>
      <c r="S69" s="46"/>
      <c r="T69" s="46">
        <f t="shared" si="3"/>
        <v>6494091.2917726003</v>
      </c>
      <c r="U69" s="46">
        <f>T69</f>
        <v>6494091.2917726003</v>
      </c>
      <c r="V69" s="46">
        <f>U69</f>
        <v>6494091.2917726003</v>
      </c>
    </row>
    <row r="70" spans="1:25" ht="96.6">
      <c r="A70" s="83"/>
      <c r="B70" s="97" t="s">
        <v>277</v>
      </c>
      <c r="C70" s="93" t="s">
        <v>288</v>
      </c>
      <c r="D70" s="199" t="s">
        <v>20</v>
      </c>
      <c r="E70" s="231">
        <v>25</v>
      </c>
      <c r="F70" s="87">
        <v>25</v>
      </c>
      <c r="G70" s="220">
        <v>25</v>
      </c>
      <c r="H70" s="220">
        <v>25</v>
      </c>
      <c r="I70" s="220">
        <v>25</v>
      </c>
      <c r="J70" s="46">
        <v>142093.57999999999</v>
      </c>
      <c r="K70" s="46">
        <v>21881.31578556</v>
      </c>
      <c r="L70" s="46">
        <v>20321.599999999999</v>
      </c>
      <c r="M70" s="46">
        <f t="shared" si="2"/>
        <v>184296.49578555999</v>
      </c>
      <c r="N70" s="46">
        <f t="shared" ref="N70:N78" si="29">G70*J70</f>
        <v>3552339.4999999995</v>
      </c>
      <c r="O70" s="46">
        <f t="shared" ref="O70:O78" si="30">G70*K70</f>
        <v>547032.89463900006</v>
      </c>
      <c r="P70" s="240"/>
      <c r="Q70" s="46">
        <f t="shared" si="28"/>
        <v>508039.99999999994</v>
      </c>
      <c r="R70" s="46"/>
      <c r="S70" s="46"/>
      <c r="T70" s="46">
        <f t="shared" si="3"/>
        <v>4607412.3946389994</v>
      </c>
      <c r="U70" s="46">
        <f t="shared" si="14"/>
        <v>4607412.3946390003</v>
      </c>
      <c r="V70" s="46">
        <f t="shared" si="15"/>
        <v>4607412.3946390003</v>
      </c>
    </row>
    <row r="71" spans="1:25" ht="110.4">
      <c r="A71" s="83"/>
      <c r="B71" s="97" t="s">
        <v>275</v>
      </c>
      <c r="C71" s="93" t="s">
        <v>289</v>
      </c>
      <c r="D71" s="199" t="s">
        <v>20</v>
      </c>
      <c r="E71" s="231">
        <v>75</v>
      </c>
      <c r="F71" s="87">
        <v>75</v>
      </c>
      <c r="G71" s="220">
        <f t="shared" ref="G71:G78" si="31">(E71*8+F71*4)/12</f>
        <v>75</v>
      </c>
      <c r="H71" s="220">
        <v>75</v>
      </c>
      <c r="I71" s="220">
        <v>75</v>
      </c>
      <c r="J71" s="263">
        <v>64585.825591182365</v>
      </c>
      <c r="K71" s="46">
        <v>21881.31578556</v>
      </c>
      <c r="L71" s="46">
        <v>20321.599999999999</v>
      </c>
      <c r="M71" s="46">
        <f t="shared" si="2"/>
        <v>106788.74137674237</v>
      </c>
      <c r="N71" s="46">
        <f>G71*J71-0.27</f>
        <v>4843936.6493386775</v>
      </c>
      <c r="O71" s="46">
        <f>G71*K71-0.47</f>
        <v>1641098.213917</v>
      </c>
      <c r="P71" s="240"/>
      <c r="Q71" s="46">
        <f>G71*L71-0.47</f>
        <v>1524119.53</v>
      </c>
      <c r="R71" s="46"/>
      <c r="S71" s="46"/>
      <c r="T71" s="46">
        <f t="shared" si="3"/>
        <v>8009154.393255678</v>
      </c>
      <c r="U71" s="46">
        <f>T71</f>
        <v>8009154.393255678</v>
      </c>
      <c r="V71" s="46">
        <f>U71</f>
        <v>8009154.393255678</v>
      </c>
    </row>
    <row r="72" spans="1:25" s="204" customFormat="1">
      <c r="A72" s="42"/>
      <c r="B72" s="233" t="s">
        <v>225</v>
      </c>
      <c r="C72" s="219" t="s">
        <v>219</v>
      </c>
      <c r="D72" s="228" t="s">
        <v>20</v>
      </c>
      <c r="E72" s="239">
        <v>22</v>
      </c>
      <c r="F72" s="239">
        <v>22</v>
      </c>
      <c r="G72" s="220">
        <v>22</v>
      </c>
      <c r="H72" s="220">
        <v>22</v>
      </c>
      <c r="I72" s="220">
        <v>22</v>
      </c>
      <c r="J72" s="46"/>
      <c r="K72" s="46"/>
      <c r="L72" s="46"/>
      <c r="M72" s="46">
        <f t="shared" si="2"/>
        <v>0</v>
      </c>
      <c r="N72" s="240"/>
      <c r="O72" s="240"/>
      <c r="P72" s="240"/>
      <c r="Q72" s="46"/>
      <c r="R72" s="46">
        <v>3663146</v>
      </c>
      <c r="S72" s="46"/>
      <c r="T72" s="46">
        <f>R72</f>
        <v>3663146</v>
      </c>
      <c r="U72" s="46">
        <f>R72</f>
        <v>3663146</v>
      </c>
      <c r="V72" s="46">
        <f>R72</f>
        <v>3663146</v>
      </c>
    </row>
    <row r="73" spans="1:25" s="204" customFormat="1">
      <c r="A73" s="42"/>
      <c r="B73" s="233" t="s">
        <v>225</v>
      </c>
      <c r="C73" s="219" t="s">
        <v>226</v>
      </c>
      <c r="D73" s="228" t="s">
        <v>20</v>
      </c>
      <c r="E73" s="231">
        <v>13</v>
      </c>
      <c r="F73" s="231">
        <v>13</v>
      </c>
      <c r="G73" s="220">
        <v>13</v>
      </c>
      <c r="H73" s="220">
        <v>13</v>
      </c>
      <c r="I73" s="220">
        <v>13</v>
      </c>
      <c r="J73" s="46"/>
      <c r="K73" s="46"/>
      <c r="L73" s="46"/>
      <c r="M73" s="46">
        <f t="shared" si="2"/>
        <v>0</v>
      </c>
      <c r="N73" s="240"/>
      <c r="O73" s="240"/>
      <c r="P73" s="240">
        <v>878438</v>
      </c>
      <c r="Q73" s="46"/>
      <c r="R73" s="46"/>
      <c r="S73" s="46"/>
      <c r="T73" s="46">
        <f>P73</f>
        <v>878438</v>
      </c>
      <c r="U73" s="46">
        <f>P73</f>
        <v>878438</v>
      </c>
      <c r="V73" s="46">
        <f>P73</f>
        <v>878438</v>
      </c>
    </row>
    <row r="74" spans="1:25" s="204" customFormat="1" ht="27.6">
      <c r="A74" s="42"/>
      <c r="B74" s="84" t="s">
        <v>299</v>
      </c>
      <c r="C74" s="219" t="s">
        <v>219</v>
      </c>
      <c r="D74" s="250" t="s">
        <v>20</v>
      </c>
      <c r="E74" s="220"/>
      <c r="F74" s="220"/>
      <c r="G74" s="220">
        <v>22</v>
      </c>
      <c r="H74" s="220">
        <v>22</v>
      </c>
      <c r="I74" s="220">
        <v>22</v>
      </c>
      <c r="J74" s="46"/>
      <c r="K74" s="46"/>
      <c r="L74" s="46"/>
      <c r="M74" s="46">
        <f t="shared" si="2"/>
        <v>0</v>
      </c>
      <c r="N74" s="240"/>
      <c r="O74" s="240"/>
      <c r="P74" s="240"/>
      <c r="Q74" s="46"/>
      <c r="R74" s="46">
        <v>321887</v>
      </c>
      <c r="S74" s="46"/>
      <c r="T74" s="46">
        <f>R74</f>
        <v>321887</v>
      </c>
      <c r="U74" s="46"/>
      <c r="V74" s="46"/>
    </row>
    <row r="75" spans="1:25" s="204" customFormat="1" hidden="1">
      <c r="A75" s="50"/>
      <c r="B75" s="233"/>
      <c r="C75" s="219" t="s">
        <v>226</v>
      </c>
      <c r="D75" s="45"/>
      <c r="E75" s="220"/>
      <c r="F75" s="220"/>
      <c r="G75" s="220"/>
      <c r="H75" s="220"/>
      <c r="I75" s="220"/>
      <c r="J75" s="46"/>
      <c r="K75" s="46"/>
      <c r="L75" s="46"/>
      <c r="M75" s="46">
        <f t="shared" si="2"/>
        <v>0</v>
      </c>
      <c r="N75" s="240"/>
      <c r="O75" s="240"/>
      <c r="P75" s="240"/>
      <c r="Q75" s="46"/>
      <c r="R75" s="46"/>
      <c r="S75" s="46"/>
      <c r="T75" s="46">
        <f>O75</f>
        <v>0</v>
      </c>
      <c r="U75" s="46">
        <f>T75</f>
        <v>0</v>
      </c>
      <c r="V75" s="46">
        <f>U75</f>
        <v>0</v>
      </c>
    </row>
    <row r="76" spans="1:25" ht="47.25" hidden="1" customHeight="1">
      <c r="A76" s="83"/>
      <c r="B76" s="128"/>
      <c r="C76" s="127" t="s">
        <v>226</v>
      </c>
      <c r="D76" s="199"/>
      <c r="E76" s="87"/>
      <c r="F76" s="87"/>
      <c r="G76" s="220"/>
      <c r="H76" s="220"/>
      <c r="I76" s="220"/>
      <c r="J76" s="46"/>
      <c r="K76" s="46"/>
      <c r="L76" s="46"/>
      <c r="M76" s="46">
        <f t="shared" si="2"/>
        <v>0</v>
      </c>
      <c r="N76" s="240"/>
      <c r="O76" s="240"/>
      <c r="P76" s="240"/>
      <c r="Q76" s="46"/>
      <c r="R76" s="46"/>
      <c r="S76" s="46"/>
      <c r="T76" s="46">
        <f>N76</f>
        <v>0</v>
      </c>
      <c r="U76" s="46">
        <f t="shared" ref="U76:V78" si="32">T76</f>
        <v>0</v>
      </c>
      <c r="V76" s="46">
        <f t="shared" si="32"/>
        <v>0</v>
      </c>
    </row>
    <row r="77" spans="1:25" hidden="1">
      <c r="A77" s="83"/>
      <c r="B77" s="128"/>
      <c r="C77" s="127"/>
      <c r="D77" s="214"/>
      <c r="E77" s="87"/>
      <c r="F77" s="87"/>
      <c r="G77" s="220"/>
      <c r="H77" s="220"/>
      <c r="I77" s="220"/>
      <c r="J77" s="46"/>
      <c r="K77" s="46"/>
      <c r="L77" s="46"/>
      <c r="M77" s="46">
        <f t="shared" si="2"/>
        <v>0</v>
      </c>
      <c r="N77" s="240"/>
      <c r="O77" s="240"/>
      <c r="P77" s="240"/>
      <c r="Q77" s="46"/>
      <c r="R77" s="46"/>
      <c r="S77" s="46"/>
      <c r="T77" s="46">
        <f>O77</f>
        <v>0</v>
      </c>
      <c r="U77" s="46">
        <f t="shared" si="32"/>
        <v>0</v>
      </c>
      <c r="V77" s="46">
        <f t="shared" si="32"/>
        <v>0</v>
      </c>
    </row>
    <row r="78" spans="1:25" ht="58.5" customHeight="1">
      <c r="A78" s="194" t="s">
        <v>250</v>
      </c>
      <c r="B78" s="199" t="s">
        <v>28</v>
      </c>
      <c r="C78" s="127" t="s">
        <v>219</v>
      </c>
      <c r="D78" s="86" t="s">
        <v>20</v>
      </c>
      <c r="E78" s="231">
        <f>E71+E70+E69+E68</f>
        <v>220</v>
      </c>
      <c r="F78" s="87">
        <f>F71+F70+F69+F68</f>
        <v>220</v>
      </c>
      <c r="G78" s="220">
        <f t="shared" si="31"/>
        <v>220</v>
      </c>
      <c r="H78" s="220">
        <f>H71+H70+H69+H68</f>
        <v>220</v>
      </c>
      <c r="I78" s="220">
        <f>I71+I70+I69+I68</f>
        <v>220</v>
      </c>
      <c r="J78" s="46" t="s">
        <v>23</v>
      </c>
      <c r="K78" s="46"/>
      <c r="L78" s="46">
        <v>9670.65</v>
      </c>
      <c r="M78" s="46">
        <f t="shared" si="2"/>
        <v>9670.65</v>
      </c>
      <c r="N78" s="240">
        <f t="shared" si="29"/>
        <v>0</v>
      </c>
      <c r="O78" s="240">
        <f t="shared" si="30"/>
        <v>0</v>
      </c>
      <c r="P78" s="240"/>
      <c r="Q78" s="46">
        <f>G78*L78</f>
        <v>2127543</v>
      </c>
      <c r="R78" s="46"/>
      <c r="S78" s="46"/>
      <c r="T78" s="46">
        <f t="shared" si="3"/>
        <v>2127543</v>
      </c>
      <c r="U78" s="46">
        <f t="shared" si="32"/>
        <v>2127543</v>
      </c>
      <c r="V78" s="46">
        <f t="shared" si="32"/>
        <v>2127543</v>
      </c>
    </row>
    <row r="79" spans="1:25" ht="42" customHeight="1">
      <c r="A79" s="86"/>
      <c r="B79" s="199" t="s">
        <v>28</v>
      </c>
      <c r="C79" s="127" t="s">
        <v>220</v>
      </c>
      <c r="D79" s="86"/>
      <c r="E79" s="87"/>
      <c r="F79" s="87"/>
      <c r="G79" s="220">
        <v>215</v>
      </c>
      <c r="H79" s="220">
        <v>215</v>
      </c>
      <c r="I79" s="220">
        <v>215</v>
      </c>
      <c r="J79" s="46"/>
      <c r="K79" s="46"/>
      <c r="L79" s="46">
        <v>12750.1</v>
      </c>
      <c r="M79" s="46">
        <f t="shared" si="2"/>
        <v>12750.1</v>
      </c>
      <c r="N79" s="240"/>
      <c r="O79" s="240"/>
      <c r="P79" s="240"/>
      <c r="Q79" s="46"/>
      <c r="R79" s="46"/>
      <c r="S79" s="46">
        <f>L79*G79</f>
        <v>2741271.5</v>
      </c>
      <c r="T79" s="46">
        <f>S79</f>
        <v>2741271.5</v>
      </c>
      <c r="U79" s="46">
        <f>S79</f>
        <v>2741271.5</v>
      </c>
      <c r="V79" s="46">
        <f>S79</f>
        <v>2741271.5</v>
      </c>
    </row>
    <row r="80" spans="1:25">
      <c r="A80" s="189" t="s">
        <v>49</v>
      </c>
      <c r="B80" s="94"/>
      <c r="C80" s="94"/>
      <c r="D80" s="94"/>
      <c r="E80" s="92"/>
      <c r="F80" s="92"/>
      <c r="G80" s="265"/>
      <c r="H80" s="265"/>
      <c r="I80" s="265"/>
      <c r="J80" s="222"/>
      <c r="K80" s="222"/>
      <c r="L80" s="222"/>
      <c r="M80" s="46">
        <f t="shared" si="2"/>
        <v>0</v>
      </c>
      <c r="N80" s="222">
        <f>N81+N92</f>
        <v>5912498.9985407973</v>
      </c>
      <c r="O80" s="222">
        <f>O81+O92</f>
        <v>2363181.0048404802</v>
      </c>
      <c r="P80" s="241">
        <f>P81</f>
        <v>449247</v>
      </c>
      <c r="Q80" s="222">
        <f>Q81+Q92+Q87</f>
        <v>3239163.5300000003</v>
      </c>
      <c r="R80" s="222">
        <f>R81+R87</f>
        <v>2529760</v>
      </c>
      <c r="S80" s="222">
        <f>S93</f>
        <v>1351510.6</v>
      </c>
      <c r="T80" s="222">
        <f>T81+T92+T93</f>
        <v>15845361.133381275</v>
      </c>
      <c r="U80" s="222">
        <f>U81+U92+U93</f>
        <v>15704362.133381275</v>
      </c>
      <c r="V80" s="222">
        <f>V81+V92+V93</f>
        <v>15704362.133381275</v>
      </c>
      <c r="W80" s="80">
        <v>3628036.12</v>
      </c>
      <c r="X80" s="85">
        <f>W80-Q80</f>
        <v>388872.58999999985</v>
      </c>
      <c r="Y80" s="80">
        <f>X80/I92</f>
        <v>3600.6721296296282</v>
      </c>
    </row>
    <row r="81" spans="1:25" ht="84.75" customHeight="1">
      <c r="A81" s="194" t="s">
        <v>249</v>
      </c>
      <c r="B81" s="84" t="s">
        <v>76</v>
      </c>
      <c r="C81" s="128"/>
      <c r="D81" s="95"/>
      <c r="E81" s="68"/>
      <c r="F81" s="68"/>
      <c r="G81" s="264"/>
      <c r="H81" s="264"/>
      <c r="I81" s="264"/>
      <c r="J81" s="46"/>
      <c r="K81" s="46"/>
      <c r="L81" s="46"/>
      <c r="M81" s="46">
        <f t="shared" ref="M81:M144" si="33">J81+K81+L81</f>
        <v>0</v>
      </c>
      <c r="N81" s="46">
        <f>SUM(N82:N90)</f>
        <v>5912498.9985407973</v>
      </c>
      <c r="O81" s="46">
        <f>SUM(O82:O91)</f>
        <v>2363181.0048404802</v>
      </c>
      <c r="P81" s="242">
        <f>P86</f>
        <v>449247</v>
      </c>
      <c r="Q81" s="46">
        <f>SUM(Q82:Q84)</f>
        <v>2194733.33</v>
      </c>
      <c r="R81" s="46">
        <f>R85</f>
        <v>2388760</v>
      </c>
      <c r="S81" s="46"/>
      <c r="T81" s="46">
        <f>SUM(T82:T91)</f>
        <v>13449420.333381277</v>
      </c>
      <c r="U81" s="46">
        <f t="shared" ref="U81:V81" si="34">SUM(U82:U91)</f>
        <v>13308421.333381277</v>
      </c>
      <c r="V81" s="46">
        <f t="shared" si="34"/>
        <v>13308421.333381277</v>
      </c>
    </row>
    <row r="82" spans="1:25" ht="51" customHeight="1">
      <c r="A82" s="83"/>
      <c r="B82" s="97" t="s">
        <v>290</v>
      </c>
      <c r="C82" s="315" t="s">
        <v>287</v>
      </c>
      <c r="D82" s="199" t="s">
        <v>20</v>
      </c>
      <c r="E82" s="231">
        <v>20</v>
      </c>
      <c r="F82" s="231">
        <v>20</v>
      </c>
      <c r="G82" s="220">
        <v>20</v>
      </c>
      <c r="H82" s="220">
        <v>20</v>
      </c>
      <c r="I82" s="220">
        <v>20</v>
      </c>
      <c r="J82" s="46">
        <v>43138.04</v>
      </c>
      <c r="K82" s="46">
        <v>21881.31578556</v>
      </c>
      <c r="L82" s="46">
        <v>20321.599999999999</v>
      </c>
      <c r="M82" s="46">
        <f t="shared" si="33"/>
        <v>85340.95578556</v>
      </c>
      <c r="N82" s="46">
        <f>G82*J82</f>
        <v>862760.8</v>
      </c>
      <c r="O82" s="46">
        <f>G82*K82</f>
        <v>437626.3157112</v>
      </c>
      <c r="P82" s="240"/>
      <c r="Q82" s="46">
        <f>G82*L82</f>
        <v>406432</v>
      </c>
      <c r="R82" s="46"/>
      <c r="S82" s="46"/>
      <c r="T82" s="46">
        <f>SUM(N82:Q82)</f>
        <v>1706819.1157112001</v>
      </c>
      <c r="U82" s="46">
        <f>T82</f>
        <v>1706819.1157112001</v>
      </c>
      <c r="V82" s="46">
        <f>U82</f>
        <v>1706819.1157112001</v>
      </c>
    </row>
    <row r="83" spans="1:25" ht="54" customHeight="1">
      <c r="A83" s="88"/>
      <c r="B83" s="97" t="s">
        <v>275</v>
      </c>
      <c r="C83" s="316"/>
      <c r="D83" s="86" t="s">
        <v>20</v>
      </c>
      <c r="E83" s="231">
        <v>23</v>
      </c>
      <c r="F83" s="231">
        <v>23</v>
      </c>
      <c r="G83" s="220">
        <v>23</v>
      </c>
      <c r="H83" s="220">
        <v>23</v>
      </c>
      <c r="I83" s="220">
        <v>23</v>
      </c>
      <c r="J83" s="46">
        <v>34198.17</v>
      </c>
      <c r="K83" s="46">
        <v>21881.31578556</v>
      </c>
      <c r="L83" s="46">
        <v>20321.599999999999</v>
      </c>
      <c r="M83" s="46">
        <f t="shared" si="33"/>
        <v>76401.08578555999</v>
      </c>
      <c r="N83" s="46">
        <f>G83*J83</f>
        <v>786557.90999999992</v>
      </c>
      <c r="O83" s="46">
        <f>G83*K83-1</f>
        <v>503269.26306788001</v>
      </c>
      <c r="P83" s="240"/>
      <c r="Q83" s="46">
        <f>G83*L83</f>
        <v>467396.8</v>
      </c>
      <c r="R83" s="46"/>
      <c r="S83" s="46"/>
      <c r="T83" s="46">
        <f>SUM(N83:Q83)</f>
        <v>1757223.9730678799</v>
      </c>
      <c r="U83" s="46">
        <f>H83*M83</f>
        <v>1757224.9730678797</v>
      </c>
      <c r="V83" s="46">
        <f>U83</f>
        <v>1757224.9730678797</v>
      </c>
    </row>
    <row r="84" spans="1:25" ht="110.4">
      <c r="A84" s="88"/>
      <c r="B84" s="97" t="s">
        <v>277</v>
      </c>
      <c r="C84" s="93" t="s">
        <v>291</v>
      </c>
      <c r="D84" s="86" t="s">
        <v>20</v>
      </c>
      <c r="E84" s="231">
        <v>65</v>
      </c>
      <c r="F84" s="231">
        <v>65</v>
      </c>
      <c r="G84" s="220">
        <v>65</v>
      </c>
      <c r="H84" s="220">
        <v>65</v>
      </c>
      <c r="I84" s="220">
        <v>65</v>
      </c>
      <c r="J84" s="263">
        <v>64585.825591182365</v>
      </c>
      <c r="K84" s="46">
        <v>21881.31578556</v>
      </c>
      <c r="L84" s="46">
        <v>20321.599999999999</v>
      </c>
      <c r="M84" s="46">
        <f t="shared" si="33"/>
        <v>106788.74137674237</v>
      </c>
      <c r="N84" s="46">
        <f>G84*J84-0.26</f>
        <v>4198078.4034268539</v>
      </c>
      <c r="O84" s="46">
        <f>G84*K84-0.1</f>
        <v>1422285.4260614</v>
      </c>
      <c r="P84" s="240"/>
      <c r="Q84" s="46">
        <f>G84*L84+0.53</f>
        <v>1320904.53</v>
      </c>
      <c r="R84" s="46"/>
      <c r="S84" s="46"/>
      <c r="T84" s="46">
        <f>SUM(N84:Q84)</f>
        <v>6941268.3594882544</v>
      </c>
      <c r="U84" s="46">
        <f>T84</f>
        <v>6941268.3594882544</v>
      </c>
      <c r="V84" s="46">
        <f>U84</f>
        <v>6941268.3594882544</v>
      </c>
    </row>
    <row r="85" spans="1:25" s="204" customFormat="1">
      <c r="A85" s="49"/>
      <c r="B85" s="234" t="s">
        <v>225</v>
      </c>
      <c r="C85" s="219" t="s">
        <v>219</v>
      </c>
      <c r="D85" s="228" t="s">
        <v>20</v>
      </c>
      <c r="E85" s="239">
        <v>12</v>
      </c>
      <c r="F85" s="239">
        <v>12</v>
      </c>
      <c r="G85" s="220">
        <v>12</v>
      </c>
      <c r="H85" s="220">
        <v>12</v>
      </c>
      <c r="I85" s="220">
        <v>12</v>
      </c>
      <c r="J85" s="46"/>
      <c r="K85" s="46"/>
      <c r="L85" s="46"/>
      <c r="M85" s="46">
        <f t="shared" si="33"/>
        <v>0</v>
      </c>
      <c r="N85" s="240"/>
      <c r="O85" s="240"/>
      <c r="P85" s="240"/>
      <c r="Q85" s="46"/>
      <c r="R85" s="46">
        <v>2388760</v>
      </c>
      <c r="S85" s="46"/>
      <c r="T85" s="46">
        <f>R85</f>
        <v>2388760</v>
      </c>
      <c r="U85" s="46">
        <f>R85</f>
        <v>2388760</v>
      </c>
      <c r="V85" s="46">
        <f>R85</f>
        <v>2388760</v>
      </c>
    </row>
    <row r="86" spans="1:25" s="204" customFormat="1">
      <c r="A86" s="49"/>
      <c r="B86" s="234" t="s">
        <v>225</v>
      </c>
      <c r="C86" s="219" t="s">
        <v>226</v>
      </c>
      <c r="D86" s="228" t="s">
        <v>20</v>
      </c>
      <c r="E86" s="231">
        <v>6</v>
      </c>
      <c r="F86" s="231">
        <v>6</v>
      </c>
      <c r="G86" s="220">
        <v>6</v>
      </c>
      <c r="H86" s="220">
        <v>6</v>
      </c>
      <c r="I86" s="220">
        <v>6</v>
      </c>
      <c r="J86" s="46"/>
      <c r="K86" s="46"/>
      <c r="L86" s="46"/>
      <c r="M86" s="46">
        <f t="shared" si="33"/>
        <v>0</v>
      </c>
      <c r="N86" s="240"/>
      <c r="O86" s="240"/>
      <c r="P86" s="240">
        <v>449247</v>
      </c>
      <c r="Q86" s="46"/>
      <c r="R86" s="46"/>
      <c r="S86" s="46"/>
      <c r="T86" s="46">
        <f>P86</f>
        <v>449247</v>
      </c>
      <c r="U86" s="46">
        <f>P86</f>
        <v>449247</v>
      </c>
      <c r="V86" s="46">
        <f>P86</f>
        <v>449247</v>
      </c>
    </row>
    <row r="87" spans="1:25" s="204" customFormat="1" ht="27.6">
      <c r="A87" s="49"/>
      <c r="B87" s="84" t="s">
        <v>299</v>
      </c>
      <c r="C87" s="219" t="s">
        <v>219</v>
      </c>
      <c r="D87" s="250" t="s">
        <v>20</v>
      </c>
      <c r="E87" s="220"/>
      <c r="F87" s="220"/>
      <c r="G87" s="220">
        <v>12</v>
      </c>
      <c r="H87" s="220">
        <v>12</v>
      </c>
      <c r="I87" s="220">
        <v>12</v>
      </c>
      <c r="J87" s="46"/>
      <c r="K87" s="46"/>
      <c r="L87" s="46"/>
      <c r="M87" s="46">
        <f t="shared" si="33"/>
        <v>0</v>
      </c>
      <c r="N87" s="240"/>
      <c r="O87" s="240"/>
      <c r="P87" s="240"/>
      <c r="Q87" s="46"/>
      <c r="R87" s="46">
        <v>141000</v>
      </c>
      <c r="S87" s="46"/>
      <c r="T87" s="46">
        <f>R87</f>
        <v>141000</v>
      </c>
      <c r="U87" s="46"/>
      <c r="V87" s="46"/>
    </row>
    <row r="88" spans="1:25" s="204" customFormat="1" hidden="1">
      <c r="A88" s="50"/>
      <c r="B88" s="234" t="s">
        <v>266</v>
      </c>
      <c r="C88" s="219" t="s">
        <v>226</v>
      </c>
      <c r="D88" s="45"/>
      <c r="E88" s="220"/>
      <c r="F88" s="220"/>
      <c r="G88" s="220"/>
      <c r="H88" s="220"/>
      <c r="I88" s="220"/>
      <c r="J88" s="46"/>
      <c r="K88" s="46"/>
      <c r="L88" s="46"/>
      <c r="M88" s="46">
        <f t="shared" si="33"/>
        <v>0</v>
      </c>
      <c r="N88" s="240"/>
      <c r="O88" s="240"/>
      <c r="P88" s="240"/>
      <c r="Q88" s="46"/>
      <c r="R88" s="46"/>
      <c r="S88" s="46"/>
      <c r="T88" s="46">
        <f>O88</f>
        <v>0</v>
      </c>
      <c r="U88" s="46">
        <f t="shared" ref="U88:V89" si="35">T88</f>
        <v>0</v>
      </c>
      <c r="V88" s="46">
        <f t="shared" si="35"/>
        <v>0</v>
      </c>
    </row>
    <row r="89" spans="1:25" s="204" customFormat="1">
      <c r="A89" s="50"/>
      <c r="B89" s="234" t="s">
        <v>267</v>
      </c>
      <c r="C89" s="219" t="s">
        <v>226</v>
      </c>
      <c r="D89" s="45"/>
      <c r="E89" s="220"/>
      <c r="F89" s="220"/>
      <c r="G89" s="220"/>
      <c r="H89" s="220"/>
      <c r="I89" s="220"/>
      <c r="J89" s="46"/>
      <c r="K89" s="46"/>
      <c r="L89" s="46"/>
      <c r="M89" s="46">
        <f t="shared" si="33"/>
        <v>0</v>
      </c>
      <c r="N89" s="240">
        <v>65101.885113943012</v>
      </c>
      <c r="O89" s="240"/>
      <c r="P89" s="240"/>
      <c r="Q89" s="46"/>
      <c r="R89" s="46"/>
      <c r="S89" s="46"/>
      <c r="T89" s="46">
        <f>N89</f>
        <v>65101.885113943012</v>
      </c>
      <c r="U89" s="46">
        <f t="shared" si="35"/>
        <v>65101.885113943012</v>
      </c>
      <c r="V89" s="46">
        <f t="shared" si="35"/>
        <v>65101.885113943012</v>
      </c>
    </row>
    <row r="90" spans="1:25" ht="43.5" hidden="1" customHeight="1">
      <c r="A90" s="88"/>
      <c r="B90" s="235" t="s">
        <v>258</v>
      </c>
      <c r="C90" s="127" t="s">
        <v>226</v>
      </c>
      <c r="D90" s="199"/>
      <c r="E90" s="87"/>
      <c r="F90" s="87"/>
      <c r="G90" s="220"/>
      <c r="H90" s="220"/>
      <c r="I90" s="220"/>
      <c r="J90" s="46"/>
      <c r="K90" s="46"/>
      <c r="L90" s="46"/>
      <c r="M90" s="46">
        <f t="shared" si="33"/>
        <v>0</v>
      </c>
      <c r="N90" s="240"/>
      <c r="O90" s="240"/>
      <c r="P90" s="240"/>
      <c r="Q90" s="46"/>
      <c r="R90" s="46"/>
      <c r="S90" s="46"/>
      <c r="T90" s="46">
        <f>N90</f>
        <v>0</v>
      </c>
      <c r="U90" s="46">
        <f t="shared" ref="U90:V92" si="36">T90</f>
        <v>0</v>
      </c>
      <c r="V90" s="46">
        <f t="shared" si="36"/>
        <v>0</v>
      </c>
    </row>
    <row r="91" spans="1:25" hidden="1">
      <c r="A91" s="88"/>
      <c r="B91" s="235" t="s">
        <v>261</v>
      </c>
      <c r="C91" s="127"/>
      <c r="D91" s="214"/>
      <c r="E91" s="87"/>
      <c r="F91" s="87"/>
      <c r="G91" s="220"/>
      <c r="H91" s="220"/>
      <c r="I91" s="220"/>
      <c r="J91" s="46"/>
      <c r="K91" s="46"/>
      <c r="L91" s="46"/>
      <c r="M91" s="46">
        <f t="shared" si="33"/>
        <v>0</v>
      </c>
      <c r="N91" s="240"/>
      <c r="O91" s="240"/>
      <c r="P91" s="240"/>
      <c r="Q91" s="46"/>
      <c r="R91" s="46"/>
      <c r="S91" s="46"/>
      <c r="T91" s="46">
        <f>O91</f>
        <v>0</v>
      </c>
      <c r="U91" s="46">
        <f t="shared" si="36"/>
        <v>0</v>
      </c>
      <c r="V91" s="46">
        <f t="shared" si="36"/>
        <v>0</v>
      </c>
    </row>
    <row r="92" spans="1:25" ht="61.5" customHeight="1">
      <c r="A92" s="93" t="s">
        <v>250</v>
      </c>
      <c r="B92" s="199" t="s">
        <v>28</v>
      </c>
      <c r="C92" s="127" t="s">
        <v>219</v>
      </c>
      <c r="D92" s="86" t="s">
        <v>20</v>
      </c>
      <c r="E92" s="231">
        <v>108</v>
      </c>
      <c r="F92" s="231">
        <v>108</v>
      </c>
      <c r="G92" s="220">
        <v>108</v>
      </c>
      <c r="H92" s="220">
        <v>108</v>
      </c>
      <c r="I92" s="220">
        <v>108</v>
      </c>
      <c r="J92" s="46" t="s">
        <v>23</v>
      </c>
      <c r="K92" s="46"/>
      <c r="L92" s="46">
        <v>9670.65</v>
      </c>
      <c r="M92" s="46">
        <f t="shared" si="33"/>
        <v>9670.65</v>
      </c>
      <c r="N92" s="240">
        <f t="shared" ref="N92" si="37">G92*J92</f>
        <v>0</v>
      </c>
      <c r="O92" s="240">
        <f t="shared" ref="O92" si="38">G92*K92</f>
        <v>0</v>
      </c>
      <c r="P92" s="240"/>
      <c r="Q92" s="46">
        <f>G92*L92</f>
        <v>1044430.2</v>
      </c>
      <c r="R92" s="46"/>
      <c r="S92" s="46"/>
      <c r="T92" s="46">
        <f t="shared" si="3"/>
        <v>1044430.2</v>
      </c>
      <c r="U92" s="46">
        <f t="shared" si="36"/>
        <v>1044430.2</v>
      </c>
      <c r="V92" s="46">
        <f t="shared" si="36"/>
        <v>1044430.2</v>
      </c>
    </row>
    <row r="93" spans="1:25" ht="16.5" customHeight="1">
      <c r="A93" s="86"/>
      <c r="B93" s="199" t="s">
        <v>28</v>
      </c>
      <c r="C93" s="127" t="s">
        <v>220</v>
      </c>
      <c r="D93" s="86"/>
      <c r="E93" s="87"/>
      <c r="F93" s="87"/>
      <c r="G93" s="220">
        <v>106</v>
      </c>
      <c r="H93" s="220">
        <v>106</v>
      </c>
      <c r="I93" s="220">
        <v>106</v>
      </c>
      <c r="J93" s="46"/>
      <c r="K93" s="46"/>
      <c r="L93" s="46">
        <v>12750.1</v>
      </c>
      <c r="M93" s="46">
        <f t="shared" si="33"/>
        <v>12750.1</v>
      </c>
      <c r="N93" s="240"/>
      <c r="O93" s="240"/>
      <c r="P93" s="240"/>
      <c r="Q93" s="46"/>
      <c r="R93" s="46"/>
      <c r="S93" s="46">
        <f>L93*G93</f>
        <v>1351510.6</v>
      </c>
      <c r="T93" s="46">
        <f>S93</f>
        <v>1351510.6</v>
      </c>
      <c r="U93" s="46">
        <f>S93</f>
        <v>1351510.6</v>
      </c>
      <c r="V93" s="46">
        <f>S93</f>
        <v>1351510.6</v>
      </c>
    </row>
    <row r="94" spans="1:25">
      <c r="A94" s="189" t="s">
        <v>53</v>
      </c>
      <c r="B94" s="94"/>
      <c r="C94" s="94"/>
      <c r="D94" s="94"/>
      <c r="E94" s="92"/>
      <c r="F94" s="92"/>
      <c r="G94" s="265"/>
      <c r="H94" s="265"/>
      <c r="I94" s="265"/>
      <c r="J94" s="222"/>
      <c r="K94" s="222"/>
      <c r="L94" s="222"/>
      <c r="M94" s="46">
        <f t="shared" si="33"/>
        <v>0</v>
      </c>
      <c r="N94" s="222">
        <f>N95+N106</f>
        <v>8176142.0025651297</v>
      </c>
      <c r="O94" s="222">
        <f>O95+O106</f>
        <v>3654178.99618852</v>
      </c>
      <c r="P94" s="222">
        <f>P95</f>
        <v>762799</v>
      </c>
      <c r="Q94" s="222">
        <f>Q95+Q106+Q101</f>
        <v>5008705.28</v>
      </c>
      <c r="R94" s="222">
        <f>R95+R101</f>
        <v>5616753</v>
      </c>
      <c r="S94" s="222">
        <f>S107</f>
        <v>2091016.4000000001</v>
      </c>
      <c r="T94" s="222">
        <f>T95+T106+T107</f>
        <v>25309594.678753648</v>
      </c>
      <c r="U94" s="222">
        <f t="shared" ref="U94:V94" si="39">U95+U106+U107</f>
        <v>24874838.678753648</v>
      </c>
      <c r="V94" s="222">
        <f t="shared" si="39"/>
        <v>24874838.678753648</v>
      </c>
      <c r="W94" s="80">
        <v>6590205.9400000004</v>
      </c>
      <c r="X94" s="85">
        <f>W94-Q94</f>
        <v>1581500.6600000001</v>
      </c>
      <c r="Y94" s="124">
        <f>X94/I106</f>
        <v>9470.0638323353305</v>
      </c>
    </row>
    <row r="95" spans="1:25" ht="84.75" customHeight="1">
      <c r="A95" s="194" t="s">
        <v>249</v>
      </c>
      <c r="B95" s="84" t="s">
        <v>76</v>
      </c>
      <c r="C95" s="128"/>
      <c r="D95" s="95"/>
      <c r="E95" s="68"/>
      <c r="F95" s="68"/>
      <c r="G95" s="264"/>
      <c r="H95" s="264"/>
      <c r="I95" s="264"/>
      <c r="J95" s="46"/>
      <c r="K95" s="46"/>
      <c r="L95" s="46"/>
      <c r="M95" s="46">
        <f t="shared" si="33"/>
        <v>0</v>
      </c>
      <c r="N95" s="46">
        <f>SUM(N96:N104)</f>
        <v>8176142.0025651297</v>
      </c>
      <c r="O95" s="46">
        <f>SUM(O96:O105)</f>
        <v>3654178.99618852</v>
      </c>
      <c r="P95" s="240">
        <f>P100</f>
        <v>762799</v>
      </c>
      <c r="Q95" s="46">
        <f t="shared" ref="Q95" si="40">SUM(Q96:Q98)</f>
        <v>3393706.73</v>
      </c>
      <c r="R95" s="46">
        <f>R99</f>
        <v>5181997</v>
      </c>
      <c r="S95" s="46"/>
      <c r="T95" s="46">
        <f>SUM(T96:T105)</f>
        <v>21603579.728753649</v>
      </c>
      <c r="U95" s="46">
        <f t="shared" ref="U95:V95" si="41">SUM(U96:U105)</f>
        <v>21168823.728753649</v>
      </c>
      <c r="V95" s="46">
        <f t="shared" si="41"/>
        <v>21168823.728753649</v>
      </c>
    </row>
    <row r="96" spans="1:25" ht="55.5" customHeight="1">
      <c r="A96" s="83"/>
      <c r="B96" s="97" t="s">
        <v>279</v>
      </c>
      <c r="C96" s="325" t="s">
        <v>287</v>
      </c>
      <c r="D96" s="199" t="s">
        <v>20</v>
      </c>
      <c r="E96" s="231">
        <v>31</v>
      </c>
      <c r="F96" s="231">
        <v>31</v>
      </c>
      <c r="G96" s="220">
        <v>31</v>
      </c>
      <c r="H96" s="220">
        <v>31</v>
      </c>
      <c r="I96" s="220">
        <v>31</v>
      </c>
      <c r="J96" s="46">
        <v>43138.04</v>
      </c>
      <c r="K96" s="46">
        <v>21881.31578556</v>
      </c>
      <c r="L96" s="46">
        <v>20321.599999999999</v>
      </c>
      <c r="M96" s="46">
        <f t="shared" si="33"/>
        <v>85340.95578556</v>
      </c>
      <c r="N96" s="46">
        <f>G96*J96</f>
        <v>1337279.24</v>
      </c>
      <c r="O96" s="46">
        <f>G96*K96</f>
        <v>678320.78935235995</v>
      </c>
      <c r="P96" s="240"/>
      <c r="Q96" s="46">
        <f>G96*L96</f>
        <v>629969.6</v>
      </c>
      <c r="R96" s="46"/>
      <c r="S96" s="46"/>
      <c r="T96" s="46">
        <f t="shared" si="3"/>
        <v>2645569.62935236</v>
      </c>
      <c r="U96" s="46">
        <f t="shared" si="14"/>
        <v>2645569.62935236</v>
      </c>
      <c r="V96" s="46">
        <f t="shared" si="15"/>
        <v>2645569.62935236</v>
      </c>
    </row>
    <row r="97" spans="1:25" ht="53.25" customHeight="1">
      <c r="A97" s="88"/>
      <c r="B97" s="97" t="s">
        <v>277</v>
      </c>
      <c r="C97" s="326"/>
      <c r="D97" s="86" t="s">
        <v>20</v>
      </c>
      <c r="E97" s="231">
        <v>64</v>
      </c>
      <c r="F97" s="231">
        <v>64</v>
      </c>
      <c r="G97" s="220">
        <v>64</v>
      </c>
      <c r="H97" s="220">
        <v>64</v>
      </c>
      <c r="I97" s="220">
        <v>64</v>
      </c>
      <c r="J97" s="46">
        <v>34198.17</v>
      </c>
      <c r="K97" s="46">
        <v>21881.31578556</v>
      </c>
      <c r="L97" s="46">
        <v>20321.599999999999</v>
      </c>
      <c r="M97" s="46">
        <f t="shared" si="33"/>
        <v>76401.08578555999</v>
      </c>
      <c r="N97" s="46">
        <f>G97*J97-0.12+1</f>
        <v>2188683.7599999998</v>
      </c>
      <c r="O97" s="46">
        <f>G97*K97</f>
        <v>1400404.21027584</v>
      </c>
      <c r="P97" s="240"/>
      <c r="Q97" s="46">
        <f t="shared" ref="Q97" si="42">G97*L97</f>
        <v>1300582.3999999999</v>
      </c>
      <c r="R97" s="46"/>
      <c r="S97" s="46"/>
      <c r="T97" s="46">
        <f t="shared" si="3"/>
        <v>4889670.3702758402</v>
      </c>
      <c r="U97" s="46">
        <f>T97</f>
        <v>4889670.3702758402</v>
      </c>
      <c r="V97" s="46">
        <f>U97</f>
        <v>4889670.3702758402</v>
      </c>
    </row>
    <row r="98" spans="1:25" ht="110.4">
      <c r="A98" s="88"/>
      <c r="B98" s="97" t="s">
        <v>277</v>
      </c>
      <c r="C98" s="93" t="s">
        <v>289</v>
      </c>
      <c r="D98" s="199" t="s">
        <v>20</v>
      </c>
      <c r="E98" s="231">
        <v>72</v>
      </c>
      <c r="F98" s="231">
        <v>72</v>
      </c>
      <c r="G98" s="220">
        <v>72</v>
      </c>
      <c r="H98" s="220">
        <v>72</v>
      </c>
      <c r="I98" s="220">
        <v>72</v>
      </c>
      <c r="J98" s="263">
        <v>64585.825591182365</v>
      </c>
      <c r="K98" s="46">
        <v>21881.31578556</v>
      </c>
      <c r="L98" s="46">
        <v>20321.599999999999</v>
      </c>
      <c r="M98" s="46">
        <f t="shared" si="33"/>
        <v>106788.74137674237</v>
      </c>
      <c r="N98" s="46">
        <f>G98*J98-0.44</f>
        <v>4650179.0025651297</v>
      </c>
      <c r="O98" s="46">
        <f>G98*K98-0.74</f>
        <v>1575453.99656032</v>
      </c>
      <c r="P98" s="240"/>
      <c r="Q98" s="46">
        <f>G98*L98-0.47</f>
        <v>1463154.73</v>
      </c>
      <c r="R98" s="46"/>
      <c r="S98" s="46"/>
      <c r="T98" s="46">
        <f t="shared" si="3"/>
        <v>7688787.7291254494</v>
      </c>
      <c r="U98" s="46">
        <f>T98</f>
        <v>7688787.7291254494</v>
      </c>
      <c r="V98" s="46">
        <f>U98</f>
        <v>7688787.7291254494</v>
      </c>
      <c r="W98" s="85">
        <f>T98-U98</f>
        <v>0</v>
      </c>
    </row>
    <row r="99" spans="1:25" s="204" customFormat="1">
      <c r="A99" s="49"/>
      <c r="B99" s="233" t="s">
        <v>225</v>
      </c>
      <c r="C99" s="219" t="s">
        <v>219</v>
      </c>
      <c r="D99" s="228" t="s">
        <v>20</v>
      </c>
      <c r="E99" s="239">
        <v>26</v>
      </c>
      <c r="F99" s="239">
        <v>26</v>
      </c>
      <c r="G99" s="220">
        <v>26</v>
      </c>
      <c r="H99" s="220">
        <v>26</v>
      </c>
      <c r="I99" s="220">
        <v>26</v>
      </c>
      <c r="J99" s="46"/>
      <c r="K99" s="46"/>
      <c r="L99" s="46"/>
      <c r="M99" s="46">
        <f t="shared" si="33"/>
        <v>0</v>
      </c>
      <c r="N99" s="240"/>
      <c r="O99" s="240"/>
      <c r="P99" s="240"/>
      <c r="Q99" s="46"/>
      <c r="R99" s="46">
        <v>5181997</v>
      </c>
      <c r="S99" s="46"/>
      <c r="T99" s="46">
        <f>R99</f>
        <v>5181997</v>
      </c>
      <c r="U99" s="46">
        <f>R99</f>
        <v>5181997</v>
      </c>
      <c r="V99" s="46">
        <f>R99</f>
        <v>5181997</v>
      </c>
    </row>
    <row r="100" spans="1:25" s="204" customFormat="1">
      <c r="A100" s="49"/>
      <c r="B100" s="233" t="s">
        <v>225</v>
      </c>
      <c r="C100" s="219" t="s">
        <v>226</v>
      </c>
      <c r="D100" s="228" t="s">
        <v>20</v>
      </c>
      <c r="E100" s="231">
        <v>9</v>
      </c>
      <c r="F100" s="231">
        <v>9</v>
      </c>
      <c r="G100" s="220">
        <v>9</v>
      </c>
      <c r="H100" s="220">
        <v>9</v>
      </c>
      <c r="I100" s="220">
        <v>9</v>
      </c>
      <c r="J100" s="46"/>
      <c r="K100" s="46"/>
      <c r="L100" s="46"/>
      <c r="M100" s="46">
        <f t="shared" si="33"/>
        <v>0</v>
      </c>
      <c r="N100" s="240"/>
      <c r="O100" s="240"/>
      <c r="P100" s="240">
        <v>762799</v>
      </c>
      <c r="Q100" s="46"/>
      <c r="R100" s="46"/>
      <c r="S100" s="46"/>
      <c r="T100" s="46">
        <f>P100</f>
        <v>762799</v>
      </c>
      <c r="U100" s="46">
        <f>P100</f>
        <v>762799</v>
      </c>
      <c r="V100" s="46">
        <f>P100</f>
        <v>762799</v>
      </c>
    </row>
    <row r="101" spans="1:25" s="204" customFormat="1" ht="27.6">
      <c r="A101" s="49"/>
      <c r="B101" s="84" t="s">
        <v>299</v>
      </c>
      <c r="C101" s="219" t="s">
        <v>219</v>
      </c>
      <c r="D101" s="50"/>
      <c r="E101" s="220"/>
      <c r="F101" s="220"/>
      <c r="G101" s="220">
        <v>26</v>
      </c>
      <c r="H101" s="220">
        <v>26</v>
      </c>
      <c r="I101" s="220">
        <v>26</v>
      </c>
      <c r="J101" s="46"/>
      <c r="K101" s="46"/>
      <c r="L101" s="46"/>
      <c r="M101" s="46">
        <f t="shared" si="33"/>
        <v>0</v>
      </c>
      <c r="N101" s="240"/>
      <c r="O101" s="240"/>
      <c r="P101" s="240"/>
      <c r="Q101" s="46"/>
      <c r="R101" s="46">
        <v>434756</v>
      </c>
      <c r="S101" s="46"/>
      <c r="T101" s="46">
        <f>R101</f>
        <v>434756</v>
      </c>
      <c r="U101" s="46"/>
      <c r="V101" s="46"/>
    </row>
    <row r="102" spans="1:25" s="204" customFormat="1" ht="13.5" hidden="1" customHeight="1">
      <c r="A102" s="50"/>
      <c r="B102" s="233"/>
      <c r="C102" s="219" t="s">
        <v>226</v>
      </c>
      <c r="D102" s="45"/>
      <c r="E102" s="220"/>
      <c r="F102" s="220"/>
      <c r="G102" s="220"/>
      <c r="H102" s="220"/>
      <c r="I102" s="220"/>
      <c r="J102" s="46"/>
      <c r="K102" s="46"/>
      <c r="L102" s="46"/>
      <c r="M102" s="46">
        <f t="shared" si="33"/>
        <v>0</v>
      </c>
      <c r="N102" s="240"/>
      <c r="O102" s="240"/>
      <c r="P102" s="240"/>
      <c r="Q102" s="46"/>
      <c r="R102" s="46"/>
      <c r="S102" s="46"/>
      <c r="T102" s="46">
        <f>O102</f>
        <v>0</v>
      </c>
      <c r="U102" s="46">
        <f t="shared" ref="U102:V103" si="43">T102</f>
        <v>0</v>
      </c>
      <c r="V102" s="46">
        <f t="shared" si="43"/>
        <v>0</v>
      </c>
    </row>
    <row r="103" spans="1:25" s="204" customFormat="1" hidden="1">
      <c r="A103" s="50"/>
      <c r="B103" s="233"/>
      <c r="C103" s="219" t="s">
        <v>226</v>
      </c>
      <c r="D103" s="45"/>
      <c r="E103" s="220"/>
      <c r="F103" s="220"/>
      <c r="G103" s="220"/>
      <c r="H103" s="220"/>
      <c r="I103" s="220"/>
      <c r="J103" s="46"/>
      <c r="K103" s="46"/>
      <c r="L103" s="46"/>
      <c r="M103" s="46">
        <f t="shared" si="33"/>
        <v>0</v>
      </c>
      <c r="N103" s="240"/>
      <c r="O103" s="240"/>
      <c r="P103" s="240"/>
      <c r="Q103" s="46"/>
      <c r="R103" s="46"/>
      <c r="S103" s="46"/>
      <c r="T103" s="46">
        <f>N103</f>
        <v>0</v>
      </c>
      <c r="U103" s="46">
        <f t="shared" si="43"/>
        <v>0</v>
      </c>
      <c r="V103" s="46">
        <f t="shared" si="43"/>
        <v>0</v>
      </c>
    </row>
    <row r="104" spans="1:25" ht="45.75" hidden="1" customHeight="1">
      <c r="A104" s="88"/>
      <c r="B104" s="128"/>
      <c r="C104" s="127" t="s">
        <v>226</v>
      </c>
      <c r="D104" s="199"/>
      <c r="E104" s="87"/>
      <c r="F104" s="87"/>
      <c r="G104" s="220"/>
      <c r="H104" s="220"/>
      <c r="I104" s="220"/>
      <c r="J104" s="46"/>
      <c r="K104" s="46"/>
      <c r="L104" s="46"/>
      <c r="M104" s="46">
        <f t="shared" si="33"/>
        <v>0</v>
      </c>
      <c r="N104" s="240"/>
      <c r="O104" s="240"/>
      <c r="P104" s="240"/>
      <c r="Q104" s="46"/>
      <c r="R104" s="46"/>
      <c r="S104" s="46"/>
      <c r="T104" s="46">
        <f>N104</f>
        <v>0</v>
      </c>
      <c r="U104" s="46">
        <f t="shared" ref="U104:V106" si="44">T104</f>
        <v>0</v>
      </c>
      <c r="V104" s="46">
        <f t="shared" si="44"/>
        <v>0</v>
      </c>
    </row>
    <row r="105" spans="1:25" hidden="1">
      <c r="A105" s="88"/>
      <c r="B105" s="128"/>
      <c r="C105" s="127"/>
      <c r="D105" s="214"/>
      <c r="E105" s="87"/>
      <c r="F105" s="87"/>
      <c r="G105" s="220"/>
      <c r="H105" s="220"/>
      <c r="I105" s="220"/>
      <c r="J105" s="46"/>
      <c r="K105" s="46"/>
      <c r="L105" s="46"/>
      <c r="M105" s="46">
        <f t="shared" si="33"/>
        <v>0</v>
      </c>
      <c r="N105" s="240"/>
      <c r="O105" s="240"/>
      <c r="P105" s="240"/>
      <c r="Q105" s="46"/>
      <c r="R105" s="46"/>
      <c r="S105" s="46"/>
      <c r="T105" s="46">
        <f>O105</f>
        <v>0</v>
      </c>
      <c r="U105" s="46">
        <f t="shared" si="44"/>
        <v>0</v>
      </c>
      <c r="V105" s="46">
        <f t="shared" si="44"/>
        <v>0</v>
      </c>
    </row>
    <row r="106" spans="1:25" ht="60" customHeight="1">
      <c r="A106" s="194" t="s">
        <v>250</v>
      </c>
      <c r="B106" s="199" t="s">
        <v>28</v>
      </c>
      <c r="C106" s="127" t="s">
        <v>219</v>
      </c>
      <c r="D106" s="86" t="s">
        <v>20</v>
      </c>
      <c r="E106" s="231">
        <f>E98+E97+E96</f>
        <v>167</v>
      </c>
      <c r="F106" s="231">
        <f t="shared" ref="F106:I106" si="45">F98+F97+F96</f>
        <v>167</v>
      </c>
      <c r="G106" s="220">
        <f t="shared" si="45"/>
        <v>167</v>
      </c>
      <c r="H106" s="220">
        <f t="shared" si="45"/>
        <v>167</v>
      </c>
      <c r="I106" s="220">
        <f t="shared" si="45"/>
        <v>167</v>
      </c>
      <c r="J106" s="46" t="s">
        <v>23</v>
      </c>
      <c r="K106" s="46"/>
      <c r="L106" s="46">
        <v>9670.65</v>
      </c>
      <c r="M106" s="46">
        <f t="shared" si="33"/>
        <v>9670.65</v>
      </c>
      <c r="N106" s="240">
        <f t="shared" si="18"/>
        <v>0</v>
      </c>
      <c r="O106" s="240">
        <f t="shared" ref="O106" si="46">G106*K106</f>
        <v>0</v>
      </c>
      <c r="P106" s="240"/>
      <c r="Q106" s="46">
        <f>G106*L106</f>
        <v>1614998.55</v>
      </c>
      <c r="R106" s="46"/>
      <c r="S106" s="46"/>
      <c r="T106" s="46">
        <f t="shared" si="3"/>
        <v>1614998.55</v>
      </c>
      <c r="U106" s="46">
        <f t="shared" si="44"/>
        <v>1614998.55</v>
      </c>
      <c r="V106" s="46">
        <f t="shared" si="44"/>
        <v>1614998.55</v>
      </c>
    </row>
    <row r="107" spans="1:25">
      <c r="A107" s="86"/>
      <c r="B107" s="199" t="s">
        <v>28</v>
      </c>
      <c r="C107" s="127" t="s">
        <v>220</v>
      </c>
      <c r="D107" s="86"/>
      <c r="E107" s="87"/>
      <c r="F107" s="87"/>
      <c r="G107" s="220">
        <v>164</v>
      </c>
      <c r="H107" s="220">
        <v>164</v>
      </c>
      <c r="I107" s="220">
        <v>164</v>
      </c>
      <c r="J107" s="46"/>
      <c r="K107" s="46"/>
      <c r="L107" s="46">
        <v>12750.1</v>
      </c>
      <c r="M107" s="46">
        <f t="shared" si="33"/>
        <v>12750.1</v>
      </c>
      <c r="N107" s="240"/>
      <c r="O107" s="240"/>
      <c r="P107" s="240"/>
      <c r="Q107" s="46"/>
      <c r="R107" s="46"/>
      <c r="S107" s="46">
        <f>L107*G107</f>
        <v>2091016.4000000001</v>
      </c>
      <c r="T107" s="46">
        <f>S107:S108</f>
        <v>2091016.4000000001</v>
      </c>
      <c r="U107" s="46">
        <f>S107</f>
        <v>2091016.4000000001</v>
      </c>
      <c r="V107" s="46">
        <f>S107</f>
        <v>2091016.4000000001</v>
      </c>
    </row>
    <row r="108" spans="1:25">
      <c r="A108" s="189" t="s">
        <v>57</v>
      </c>
      <c r="B108" s="94"/>
      <c r="C108" s="94"/>
      <c r="D108" s="94"/>
      <c r="E108" s="92"/>
      <c r="F108" s="92"/>
      <c r="G108" s="265"/>
      <c r="H108" s="265"/>
      <c r="I108" s="265"/>
      <c r="J108" s="222"/>
      <c r="K108" s="222"/>
      <c r="L108" s="222"/>
      <c r="M108" s="46">
        <f t="shared" si="33"/>
        <v>0</v>
      </c>
      <c r="N108" s="222">
        <f>N109+N121</f>
        <v>6499291.9988802085</v>
      </c>
      <c r="O108" s="222">
        <f>O109+O121</f>
        <v>2581995.0026960801</v>
      </c>
      <c r="P108" s="241">
        <f>P109</f>
        <v>651161</v>
      </c>
      <c r="Q108" s="222">
        <f>Q109+Q121+Q116</f>
        <v>3539085.03</v>
      </c>
      <c r="R108" s="222">
        <f>R109+R116</f>
        <v>2598068</v>
      </c>
      <c r="S108" s="222">
        <f>S122</f>
        <v>1504511.8</v>
      </c>
      <c r="T108" s="222">
        <f>T109+T121+T122</f>
        <v>17374112.831576291</v>
      </c>
      <c r="U108" s="222">
        <f>U109+U121+U122</f>
        <v>17173456.831576291</v>
      </c>
      <c r="V108" s="222">
        <f>V109+V121+V122</f>
        <v>17173456.831576291</v>
      </c>
      <c r="W108" s="80">
        <v>3824437.07</v>
      </c>
      <c r="X108" s="85">
        <f>W108-Q108</f>
        <v>285352.04000000004</v>
      </c>
      <c r="Y108" s="80">
        <f>X108/I121</f>
        <v>2418.2376271186445</v>
      </c>
    </row>
    <row r="109" spans="1:25" ht="87" customHeight="1">
      <c r="A109" s="194" t="s">
        <v>249</v>
      </c>
      <c r="B109" s="84" t="s">
        <v>76</v>
      </c>
      <c r="C109" s="128"/>
      <c r="D109" s="95"/>
      <c r="E109" s="68"/>
      <c r="F109" s="68"/>
      <c r="G109" s="264"/>
      <c r="H109" s="264"/>
      <c r="I109" s="264"/>
      <c r="J109" s="46"/>
      <c r="K109" s="46"/>
      <c r="L109" s="46"/>
      <c r="M109" s="46">
        <f t="shared" si="33"/>
        <v>0</v>
      </c>
      <c r="N109" s="46">
        <f>SUM(N110:N119)</f>
        <v>6499291.9988802085</v>
      </c>
      <c r="O109" s="46">
        <f>SUM(O110:O120)</f>
        <v>2581995.0026960801</v>
      </c>
      <c r="P109" s="240">
        <f>P115</f>
        <v>651161</v>
      </c>
      <c r="Q109" s="46">
        <f>SUM(Q110:Q112)</f>
        <v>2397948.7999999998</v>
      </c>
      <c r="R109" s="46">
        <f>R114</f>
        <v>2397412</v>
      </c>
      <c r="S109" s="46"/>
      <c r="T109" s="46">
        <f>SUM(T110:T120)</f>
        <v>14728464.80157629</v>
      </c>
      <c r="U109" s="46">
        <f t="shared" ref="U109:V109" si="47">SUM(U110:U120)</f>
        <v>14527808.80157629</v>
      </c>
      <c r="V109" s="46">
        <f t="shared" si="47"/>
        <v>14527808.80157629</v>
      </c>
    </row>
    <row r="110" spans="1:25" ht="108.75" customHeight="1">
      <c r="A110" s="83"/>
      <c r="B110" s="97" t="s">
        <v>277</v>
      </c>
      <c r="C110" s="236" t="s">
        <v>287</v>
      </c>
      <c r="D110" s="199" t="s">
        <v>20</v>
      </c>
      <c r="E110" s="231">
        <v>45</v>
      </c>
      <c r="F110" s="87">
        <v>45</v>
      </c>
      <c r="G110" s="220">
        <v>45</v>
      </c>
      <c r="H110" s="220">
        <v>45</v>
      </c>
      <c r="I110" s="220">
        <v>45</v>
      </c>
      <c r="J110" s="46">
        <v>34198.17</v>
      </c>
      <c r="K110" s="46">
        <v>21881.31578556</v>
      </c>
      <c r="L110" s="46">
        <v>20321.599999999999</v>
      </c>
      <c r="M110" s="46">
        <f t="shared" si="33"/>
        <v>76401.08578555999</v>
      </c>
      <c r="N110" s="46">
        <f>G110*J110-0.05</f>
        <v>1538917.5999999999</v>
      </c>
      <c r="O110" s="46">
        <f>G110*K110-0.21</f>
        <v>984659.00035020011</v>
      </c>
      <c r="P110" s="240"/>
      <c r="Q110" s="46">
        <f>G110*L110</f>
        <v>914471.99999999988</v>
      </c>
      <c r="R110" s="46"/>
      <c r="S110" s="46"/>
      <c r="T110" s="46">
        <f t="shared" si="3"/>
        <v>3438048.6003502002</v>
      </c>
      <c r="U110" s="46">
        <f>T110</f>
        <v>3438048.6003502002</v>
      </c>
      <c r="V110" s="46">
        <f>U110</f>
        <v>3438048.6003502002</v>
      </c>
    </row>
    <row r="111" spans="1:25" ht="110.4">
      <c r="A111" s="83"/>
      <c r="B111" s="97" t="s">
        <v>277</v>
      </c>
      <c r="C111" s="93" t="s">
        <v>282</v>
      </c>
      <c r="D111" s="199" t="s">
        <v>20</v>
      </c>
      <c r="E111" s="237">
        <v>73</v>
      </c>
      <c r="F111" s="231">
        <v>73</v>
      </c>
      <c r="G111" s="220">
        <v>73</v>
      </c>
      <c r="H111" s="220">
        <v>73</v>
      </c>
      <c r="I111" s="220">
        <v>73</v>
      </c>
      <c r="J111" s="263">
        <v>64585.825591182365</v>
      </c>
      <c r="K111" s="46">
        <v>21881.31578556</v>
      </c>
      <c r="L111" s="46">
        <v>20321.599999999999</v>
      </c>
      <c r="M111" s="46">
        <f t="shared" si="33"/>
        <v>106788.74137674237</v>
      </c>
      <c r="N111" s="46">
        <f>G111*J111-0.27</f>
        <v>4714764.9981563129</v>
      </c>
      <c r="O111" s="46">
        <f>G111*K111-0.05</f>
        <v>1597336.00234588</v>
      </c>
      <c r="P111" s="240"/>
      <c r="Q111" s="46">
        <f>G111*L111</f>
        <v>1483476.7999999998</v>
      </c>
      <c r="R111" s="46"/>
      <c r="S111" s="46"/>
      <c r="T111" s="46">
        <f>SUM(N111:Q111)</f>
        <v>7795577.8005021932</v>
      </c>
      <c r="U111" s="46">
        <f>T111</f>
        <v>7795577.8005021932</v>
      </c>
      <c r="V111" s="46">
        <f>U111</f>
        <v>7795577.8005021932</v>
      </c>
    </row>
    <row r="112" spans="1:25" ht="79.5" customHeight="1">
      <c r="A112" s="229"/>
      <c r="B112" s="97" t="s">
        <v>181</v>
      </c>
      <c r="C112" s="229" t="s">
        <v>295</v>
      </c>
      <c r="D112" s="238"/>
      <c r="E112" s="231">
        <v>45</v>
      </c>
      <c r="F112" s="231">
        <v>45</v>
      </c>
      <c r="G112" s="220">
        <v>45</v>
      </c>
      <c r="H112" s="220">
        <v>45</v>
      </c>
      <c r="I112" s="220">
        <v>45</v>
      </c>
      <c r="J112" s="263">
        <v>1554.8</v>
      </c>
      <c r="K112" s="46"/>
      <c r="L112" s="46"/>
      <c r="M112" s="46">
        <f t="shared" si="33"/>
        <v>1554.8</v>
      </c>
      <c r="N112" s="46">
        <f>G112*J112</f>
        <v>69966</v>
      </c>
      <c r="O112" s="46">
        <f>G112*K112</f>
        <v>0</v>
      </c>
      <c r="P112" s="240"/>
      <c r="Q112" s="46">
        <f>G112*L112</f>
        <v>0</v>
      </c>
      <c r="R112" s="46"/>
      <c r="S112" s="46"/>
      <c r="T112" s="46">
        <f>SUM(N112:Q112)</f>
        <v>69966</v>
      </c>
      <c r="U112" s="46">
        <f>H112*M112</f>
        <v>69966</v>
      </c>
      <c r="V112" s="46">
        <f>I112*M112</f>
        <v>69966</v>
      </c>
    </row>
    <row r="113" spans="1:25" ht="79.5" customHeight="1">
      <c r="A113" s="229"/>
      <c r="B113" s="97" t="s">
        <v>181</v>
      </c>
      <c r="C113" s="229" t="s">
        <v>296</v>
      </c>
      <c r="D113" s="238"/>
      <c r="E113" s="231">
        <v>73</v>
      </c>
      <c r="F113" s="231">
        <v>73</v>
      </c>
      <c r="G113" s="220">
        <v>73</v>
      </c>
      <c r="H113" s="220">
        <v>73</v>
      </c>
      <c r="I113" s="220">
        <v>73</v>
      </c>
      <c r="J113" s="263">
        <v>2073.06</v>
      </c>
      <c r="K113" s="46">
        <v>21881.31578556</v>
      </c>
      <c r="L113" s="46"/>
      <c r="M113" s="46">
        <f t="shared" si="33"/>
        <v>23954.375785560002</v>
      </c>
      <c r="N113" s="46">
        <f>G113*J113</f>
        <v>151333.38</v>
      </c>
      <c r="O113" s="46"/>
      <c r="P113" s="240"/>
      <c r="Q113" s="46"/>
      <c r="R113" s="46"/>
      <c r="S113" s="46"/>
      <c r="T113" s="46">
        <f>SUM(N113:Q113)</f>
        <v>151333.38</v>
      </c>
      <c r="U113" s="46">
        <f>T113</f>
        <v>151333.38</v>
      </c>
      <c r="V113" s="46">
        <f>U113</f>
        <v>151333.38</v>
      </c>
    </row>
    <row r="114" spans="1:25" s="204" customFormat="1">
      <c r="A114" s="42"/>
      <c r="B114" s="233" t="s">
        <v>225</v>
      </c>
      <c r="C114" s="219" t="s">
        <v>219</v>
      </c>
      <c r="D114" s="228" t="s">
        <v>20</v>
      </c>
      <c r="E114" s="239">
        <v>12</v>
      </c>
      <c r="F114" s="239">
        <v>12</v>
      </c>
      <c r="G114" s="220">
        <v>12</v>
      </c>
      <c r="H114" s="220">
        <v>12</v>
      </c>
      <c r="I114" s="220">
        <v>12</v>
      </c>
      <c r="J114" s="46"/>
      <c r="K114" s="46"/>
      <c r="L114" s="46"/>
      <c r="M114" s="46">
        <f t="shared" si="33"/>
        <v>0</v>
      </c>
      <c r="N114" s="240"/>
      <c r="O114" s="240"/>
      <c r="P114" s="240"/>
      <c r="Q114" s="46"/>
      <c r="R114" s="46">
        <v>2397412</v>
      </c>
      <c r="S114" s="46"/>
      <c r="T114" s="46">
        <f>R114</f>
        <v>2397412</v>
      </c>
      <c r="U114" s="46">
        <f>R114</f>
        <v>2397412</v>
      </c>
      <c r="V114" s="46">
        <f>R114</f>
        <v>2397412</v>
      </c>
    </row>
    <row r="115" spans="1:25" s="204" customFormat="1">
      <c r="A115" s="42"/>
      <c r="B115" s="233" t="s">
        <v>225</v>
      </c>
      <c r="C115" s="219" t="s">
        <v>226</v>
      </c>
      <c r="D115" s="228" t="s">
        <v>20</v>
      </c>
      <c r="E115" s="231">
        <v>8</v>
      </c>
      <c r="F115" s="231">
        <v>8</v>
      </c>
      <c r="G115" s="220">
        <v>8</v>
      </c>
      <c r="H115" s="220">
        <v>8</v>
      </c>
      <c r="I115" s="220">
        <v>8</v>
      </c>
      <c r="J115" s="46"/>
      <c r="K115" s="46"/>
      <c r="L115" s="46"/>
      <c r="M115" s="46">
        <f t="shared" si="33"/>
        <v>0</v>
      </c>
      <c r="N115" s="240"/>
      <c r="O115" s="240"/>
      <c r="P115" s="240">
        <v>651161</v>
      </c>
      <c r="Q115" s="46"/>
      <c r="R115" s="46"/>
      <c r="S115" s="46"/>
      <c r="T115" s="46">
        <f>P115</f>
        <v>651161</v>
      </c>
      <c r="U115" s="46">
        <f>P115</f>
        <v>651161</v>
      </c>
      <c r="V115" s="46">
        <f>P115</f>
        <v>651161</v>
      </c>
    </row>
    <row r="116" spans="1:25" s="204" customFormat="1" ht="27.6">
      <c r="A116" s="42"/>
      <c r="B116" s="84" t="s">
        <v>299</v>
      </c>
      <c r="C116" s="219" t="s">
        <v>219</v>
      </c>
      <c r="D116" s="44"/>
      <c r="E116" s="220"/>
      <c r="F116" s="220"/>
      <c r="G116" s="220">
        <v>12</v>
      </c>
      <c r="H116" s="220">
        <v>12</v>
      </c>
      <c r="I116" s="220">
        <v>12</v>
      </c>
      <c r="J116" s="46"/>
      <c r="K116" s="46"/>
      <c r="L116" s="46"/>
      <c r="M116" s="46">
        <f t="shared" si="33"/>
        <v>0</v>
      </c>
      <c r="N116" s="240"/>
      <c r="O116" s="240"/>
      <c r="P116" s="240"/>
      <c r="Q116" s="46"/>
      <c r="R116" s="46">
        <v>200656</v>
      </c>
      <c r="S116" s="46"/>
      <c r="T116" s="46">
        <f>R116</f>
        <v>200656</v>
      </c>
      <c r="U116" s="46"/>
      <c r="V116" s="46"/>
    </row>
    <row r="117" spans="1:25" s="204" customFormat="1" hidden="1">
      <c r="A117" s="50"/>
      <c r="B117" s="233"/>
      <c r="C117" s="219" t="s">
        <v>226</v>
      </c>
      <c r="D117" s="45"/>
      <c r="E117" s="220"/>
      <c r="F117" s="220"/>
      <c r="G117" s="220"/>
      <c r="H117" s="220"/>
      <c r="I117" s="220"/>
      <c r="J117" s="46"/>
      <c r="K117" s="46"/>
      <c r="L117" s="46"/>
      <c r="M117" s="46">
        <f t="shared" si="33"/>
        <v>0</v>
      </c>
      <c r="N117" s="240"/>
      <c r="O117" s="240"/>
      <c r="P117" s="240"/>
      <c r="Q117" s="46"/>
      <c r="R117" s="46"/>
      <c r="S117" s="46"/>
      <c r="T117" s="46">
        <f>O117</f>
        <v>0</v>
      </c>
      <c r="U117" s="46">
        <f t="shared" ref="U117:V118" si="48">T117</f>
        <v>0</v>
      </c>
      <c r="V117" s="46">
        <f t="shared" si="48"/>
        <v>0</v>
      </c>
    </row>
    <row r="118" spans="1:25" s="204" customFormat="1">
      <c r="A118" s="50"/>
      <c r="B118" s="233" t="s">
        <v>267</v>
      </c>
      <c r="C118" s="219" t="s">
        <v>226</v>
      </c>
      <c r="D118" s="45"/>
      <c r="E118" s="220"/>
      <c r="F118" s="220"/>
      <c r="G118" s="220"/>
      <c r="H118" s="220"/>
      <c r="I118" s="220"/>
      <c r="J118" s="46"/>
      <c r="K118" s="46"/>
      <c r="L118" s="46"/>
      <c r="M118" s="46">
        <f t="shared" si="33"/>
        <v>0</v>
      </c>
      <c r="N118" s="240">
        <v>24310.020723895861</v>
      </c>
      <c r="O118" s="240"/>
      <c r="P118" s="240"/>
      <c r="Q118" s="46"/>
      <c r="R118" s="46"/>
      <c r="S118" s="46"/>
      <c r="T118" s="46">
        <f>N118</f>
        <v>24310.020723895861</v>
      </c>
      <c r="U118" s="46">
        <f t="shared" si="48"/>
        <v>24310.020723895861</v>
      </c>
      <c r="V118" s="46">
        <f t="shared" si="48"/>
        <v>24310.020723895861</v>
      </c>
    </row>
    <row r="119" spans="1:25" ht="42" hidden="1" customHeight="1">
      <c r="A119" s="83"/>
      <c r="B119" s="128"/>
      <c r="C119" s="127" t="s">
        <v>226</v>
      </c>
      <c r="D119" s="199"/>
      <c r="E119" s="87"/>
      <c r="F119" s="87"/>
      <c r="G119" s="220"/>
      <c r="H119" s="220"/>
      <c r="I119" s="220"/>
      <c r="J119" s="46"/>
      <c r="K119" s="46"/>
      <c r="L119" s="46"/>
      <c r="M119" s="46">
        <f t="shared" si="33"/>
        <v>0</v>
      </c>
      <c r="N119" s="240"/>
      <c r="O119" s="240"/>
      <c r="P119" s="240"/>
      <c r="Q119" s="46"/>
      <c r="R119" s="46"/>
      <c r="S119" s="46"/>
      <c r="T119" s="46">
        <f>N119</f>
        <v>0</v>
      </c>
      <c r="U119" s="46">
        <f>T119</f>
        <v>0</v>
      </c>
      <c r="V119" s="46">
        <f>U119</f>
        <v>0</v>
      </c>
    </row>
    <row r="120" spans="1:25" hidden="1">
      <c r="A120" s="83"/>
      <c r="B120" s="128"/>
      <c r="C120" s="127"/>
      <c r="D120" s="214"/>
      <c r="E120" s="87"/>
      <c r="F120" s="87"/>
      <c r="G120" s="220"/>
      <c r="H120" s="220"/>
      <c r="I120" s="220"/>
      <c r="J120" s="46"/>
      <c r="K120" s="46"/>
      <c r="L120" s="46"/>
      <c r="M120" s="46">
        <f t="shared" si="33"/>
        <v>0</v>
      </c>
      <c r="N120" s="240"/>
      <c r="O120" s="240"/>
      <c r="P120" s="240"/>
      <c r="Q120" s="46"/>
      <c r="R120" s="46"/>
      <c r="S120" s="46"/>
      <c r="T120" s="46">
        <f>O120</f>
        <v>0</v>
      </c>
      <c r="U120" s="46">
        <f>O120</f>
        <v>0</v>
      </c>
      <c r="V120" s="46">
        <f>U120</f>
        <v>0</v>
      </c>
    </row>
    <row r="121" spans="1:25" ht="55.2">
      <c r="A121" s="194" t="s">
        <v>250</v>
      </c>
      <c r="B121" s="199" t="s">
        <v>28</v>
      </c>
      <c r="C121" s="127" t="s">
        <v>219</v>
      </c>
      <c r="D121" s="86" t="s">
        <v>20</v>
      </c>
      <c r="E121" s="231">
        <v>118</v>
      </c>
      <c r="F121" s="231">
        <v>118</v>
      </c>
      <c r="G121" s="220">
        <v>118</v>
      </c>
      <c r="H121" s="220">
        <v>118</v>
      </c>
      <c r="I121" s="220">
        <v>118</v>
      </c>
      <c r="J121" s="46" t="s">
        <v>23</v>
      </c>
      <c r="K121" s="46"/>
      <c r="L121" s="46">
        <v>9670.65</v>
      </c>
      <c r="M121" s="46">
        <f t="shared" si="33"/>
        <v>9670.65</v>
      </c>
      <c r="N121" s="240">
        <f t="shared" ref="N121" si="49">G121*J121</f>
        <v>0</v>
      </c>
      <c r="O121" s="240">
        <f t="shared" ref="O121" si="50">G121*K121</f>
        <v>0</v>
      </c>
      <c r="P121" s="240"/>
      <c r="Q121" s="46">
        <f>G121*L121-0.47</f>
        <v>1141136.23</v>
      </c>
      <c r="R121" s="46"/>
      <c r="S121" s="46"/>
      <c r="T121" s="46">
        <f t="shared" si="3"/>
        <v>1141136.23</v>
      </c>
      <c r="U121" s="46">
        <f>T121</f>
        <v>1141136.23</v>
      </c>
      <c r="V121" s="46">
        <f>U121</f>
        <v>1141136.23</v>
      </c>
    </row>
    <row r="122" spans="1:25" ht="18" customHeight="1">
      <c r="A122" s="86"/>
      <c r="B122" s="199" t="s">
        <v>28</v>
      </c>
      <c r="C122" s="127" t="s">
        <v>220</v>
      </c>
      <c r="D122" s="86"/>
      <c r="E122" s="87"/>
      <c r="F122" s="87"/>
      <c r="G122" s="220">
        <v>118</v>
      </c>
      <c r="H122" s="220">
        <v>118</v>
      </c>
      <c r="I122" s="220">
        <v>118</v>
      </c>
      <c r="J122" s="46"/>
      <c r="K122" s="46"/>
      <c r="L122" s="46">
        <v>12750.1</v>
      </c>
      <c r="M122" s="46">
        <f t="shared" si="33"/>
        <v>12750.1</v>
      </c>
      <c r="N122" s="240"/>
      <c r="O122" s="240"/>
      <c r="P122" s="240"/>
      <c r="Q122" s="46"/>
      <c r="R122" s="46"/>
      <c r="S122" s="46">
        <f>L122*G121</f>
        <v>1504511.8</v>
      </c>
      <c r="T122" s="46">
        <f>S122</f>
        <v>1504511.8</v>
      </c>
      <c r="U122" s="46">
        <f>S122</f>
        <v>1504511.8</v>
      </c>
      <c r="V122" s="46">
        <f>S122</f>
        <v>1504511.8</v>
      </c>
    </row>
    <row r="123" spans="1:25" ht="17.25" customHeight="1">
      <c r="A123" s="189" t="s">
        <v>61</v>
      </c>
      <c r="B123" s="94"/>
      <c r="C123" s="94"/>
      <c r="D123" s="94"/>
      <c r="E123" s="92"/>
      <c r="F123" s="92"/>
      <c r="G123" s="265"/>
      <c r="H123" s="265"/>
      <c r="I123" s="265"/>
      <c r="J123" s="222"/>
      <c r="K123" s="222"/>
      <c r="L123" s="222"/>
      <c r="M123" s="46">
        <f t="shared" si="33"/>
        <v>0</v>
      </c>
      <c r="N123" s="222">
        <f>N124+N136</f>
        <v>16830952.001004454</v>
      </c>
      <c r="O123" s="222">
        <f>O124+O136</f>
        <v>5251515.9985344</v>
      </c>
      <c r="P123" s="222">
        <f>P124</f>
        <v>1167137</v>
      </c>
      <c r="Q123" s="222">
        <f>Q124+Q136+Q131</f>
        <v>7198139.5299999993</v>
      </c>
      <c r="R123" s="222">
        <f>R124+R131</f>
        <v>4840969</v>
      </c>
      <c r="S123" s="222">
        <f>S137</f>
        <v>3021773.7</v>
      </c>
      <c r="T123" s="222">
        <f>T124+T136+T137</f>
        <v>38310487.229538858</v>
      </c>
      <c r="U123" s="222">
        <f>U124+U136+U137</f>
        <v>37937600.229538858</v>
      </c>
      <c r="V123" s="222">
        <f>V124+V136+V137</f>
        <v>37937600.229538858</v>
      </c>
      <c r="W123" s="80">
        <v>7955680.4199999999</v>
      </c>
      <c r="X123" s="85">
        <f>W123-Q123</f>
        <v>757540.8900000006</v>
      </c>
      <c r="Y123" s="80">
        <f>X123/I136</f>
        <v>3156.4203750000024</v>
      </c>
    </row>
    <row r="124" spans="1:25" ht="83.25" customHeight="1">
      <c r="A124" s="194" t="s">
        <v>249</v>
      </c>
      <c r="B124" s="84" t="s">
        <v>76</v>
      </c>
      <c r="C124" s="128"/>
      <c r="D124" s="95"/>
      <c r="E124" s="68"/>
      <c r="F124" s="68"/>
      <c r="G124" s="264"/>
      <c r="H124" s="264"/>
      <c r="I124" s="264"/>
      <c r="J124" s="46"/>
      <c r="K124" s="46"/>
      <c r="L124" s="46"/>
      <c r="M124" s="46">
        <f t="shared" si="33"/>
        <v>0</v>
      </c>
      <c r="N124" s="46">
        <f>SUM(N125:N134)</f>
        <v>16830952.001004454</v>
      </c>
      <c r="O124" s="46">
        <f>SUM(O125:O135)</f>
        <v>5251515.9985344</v>
      </c>
      <c r="P124" s="46">
        <f>P130</f>
        <v>1167137</v>
      </c>
      <c r="Q124" s="46">
        <f>SUM(Q125:Q128)</f>
        <v>4877184</v>
      </c>
      <c r="R124" s="46">
        <f>R129</f>
        <v>4468082</v>
      </c>
      <c r="S124" s="46"/>
      <c r="T124" s="46">
        <f>SUM(T125:T135)</f>
        <v>32967757.999538857</v>
      </c>
      <c r="U124" s="46">
        <f t="shared" ref="U124:V124" si="51">SUM(U125:U135)</f>
        <v>32594870.999538857</v>
      </c>
      <c r="V124" s="46">
        <f t="shared" si="51"/>
        <v>32594870.999538857</v>
      </c>
    </row>
    <row r="125" spans="1:25" ht="96.6">
      <c r="A125" s="83"/>
      <c r="B125" s="97" t="s">
        <v>279</v>
      </c>
      <c r="C125" s="93" t="s">
        <v>287</v>
      </c>
      <c r="D125" s="199" t="s">
        <v>20</v>
      </c>
      <c r="E125" s="231">
        <v>35</v>
      </c>
      <c r="F125" s="87">
        <v>35</v>
      </c>
      <c r="G125" s="220">
        <v>35</v>
      </c>
      <c r="H125" s="220">
        <v>35</v>
      </c>
      <c r="I125" s="220">
        <v>35</v>
      </c>
      <c r="J125" s="46">
        <v>43138.04</v>
      </c>
      <c r="K125" s="46">
        <v>21881.31578556</v>
      </c>
      <c r="L125" s="46">
        <v>20321.599999999999</v>
      </c>
      <c r="M125" s="46">
        <f t="shared" si="33"/>
        <v>85340.95578556</v>
      </c>
      <c r="N125" s="46">
        <f>G125*J125-1</f>
        <v>1509830.4000000001</v>
      </c>
      <c r="O125" s="46">
        <f>G125*K125</f>
        <v>765846.05249459995</v>
      </c>
      <c r="P125" s="46"/>
      <c r="Q125" s="46">
        <f>G125*L125</f>
        <v>711256</v>
      </c>
      <c r="R125" s="46"/>
      <c r="S125" s="46"/>
      <c r="T125" s="46">
        <f>SUM(N125:Q125)</f>
        <v>2986932.4524945999</v>
      </c>
      <c r="U125" s="46">
        <f>T125</f>
        <v>2986932.4524945999</v>
      </c>
      <c r="V125" s="46">
        <f>U125</f>
        <v>2986932.4524945999</v>
      </c>
    </row>
    <row r="126" spans="1:25" ht="138">
      <c r="A126" s="88"/>
      <c r="B126" s="97" t="s">
        <v>277</v>
      </c>
      <c r="C126" s="93" t="s">
        <v>292</v>
      </c>
      <c r="D126" s="86" t="s">
        <v>20</v>
      </c>
      <c r="E126" s="231">
        <v>10</v>
      </c>
      <c r="F126" s="87">
        <v>10</v>
      </c>
      <c r="G126" s="220">
        <v>10</v>
      </c>
      <c r="H126" s="220">
        <v>10</v>
      </c>
      <c r="I126" s="220">
        <v>10</v>
      </c>
      <c r="J126" s="46">
        <v>229832.84</v>
      </c>
      <c r="K126" s="46">
        <v>21881.31578556</v>
      </c>
      <c r="L126" s="46">
        <v>20321.599999999999</v>
      </c>
      <c r="M126" s="46">
        <f t="shared" si="33"/>
        <v>272035.75578556</v>
      </c>
      <c r="N126" s="46">
        <f>G126*J126</f>
        <v>2298328.4</v>
      </c>
      <c r="O126" s="46">
        <f>G126*K126</f>
        <v>218813.1578556</v>
      </c>
      <c r="P126" s="46"/>
      <c r="Q126" s="46">
        <f t="shared" ref="Q126:Q128" si="52">G126*L126</f>
        <v>203216</v>
      </c>
      <c r="R126" s="46"/>
      <c r="S126" s="46"/>
      <c r="T126" s="46">
        <f t="shared" si="3"/>
        <v>2720357.5578556</v>
      </c>
      <c r="U126" s="46">
        <f t="shared" si="14"/>
        <v>2720357.5578556</v>
      </c>
      <c r="V126" s="46">
        <f t="shared" si="15"/>
        <v>2720357.5578556</v>
      </c>
    </row>
    <row r="127" spans="1:25" ht="110.4">
      <c r="A127" s="88"/>
      <c r="B127" s="97" t="s">
        <v>277</v>
      </c>
      <c r="C127" s="226" t="s">
        <v>289</v>
      </c>
      <c r="D127" s="199" t="s">
        <v>20</v>
      </c>
      <c r="E127" s="231">
        <v>195</v>
      </c>
      <c r="F127" s="231">
        <v>195</v>
      </c>
      <c r="G127" s="220">
        <v>195</v>
      </c>
      <c r="H127" s="220">
        <v>195</v>
      </c>
      <c r="I127" s="220">
        <v>195</v>
      </c>
      <c r="J127" s="263">
        <v>64585.825591182365</v>
      </c>
      <c r="K127" s="46">
        <v>21881.31578556</v>
      </c>
      <c r="L127" s="46">
        <v>20321.599999999999</v>
      </c>
      <c r="M127" s="46">
        <f t="shared" si="33"/>
        <v>106788.74137674237</v>
      </c>
      <c r="N127" s="46">
        <f>G127*J127+0.49</f>
        <v>12594236.480280561</v>
      </c>
      <c r="O127" s="46">
        <f>G127*K127+0.21</f>
        <v>4266856.7881842004</v>
      </c>
      <c r="P127" s="46"/>
      <c r="Q127" s="46">
        <f t="shared" si="52"/>
        <v>3962711.9999999995</v>
      </c>
      <c r="R127" s="46"/>
      <c r="S127" s="46"/>
      <c r="T127" s="46">
        <f t="shared" si="3"/>
        <v>20823805.268464763</v>
      </c>
      <c r="U127" s="46">
        <f>T127</f>
        <v>20823805.268464763</v>
      </c>
      <c r="V127" s="46">
        <f>U127</f>
        <v>20823805.268464763</v>
      </c>
    </row>
    <row r="128" spans="1:25" ht="69">
      <c r="A128" s="83"/>
      <c r="B128" s="97" t="s">
        <v>294</v>
      </c>
      <c r="C128" s="93" t="s">
        <v>293</v>
      </c>
      <c r="D128" s="199" t="s">
        <v>20</v>
      </c>
      <c r="E128" s="231">
        <v>195</v>
      </c>
      <c r="F128" s="231">
        <v>195</v>
      </c>
      <c r="G128" s="220">
        <v>195</v>
      </c>
      <c r="H128" s="220">
        <v>195</v>
      </c>
      <c r="I128" s="220">
        <v>195</v>
      </c>
      <c r="J128" s="46">
        <v>2073.06</v>
      </c>
      <c r="K128" s="46"/>
      <c r="L128" s="46"/>
      <c r="M128" s="46">
        <f t="shared" si="33"/>
        <v>2073.06</v>
      </c>
      <c r="N128" s="46">
        <f t="shared" ref="N128" si="53">G128*J128</f>
        <v>404246.7</v>
      </c>
      <c r="O128" s="46">
        <f t="shared" ref="O128:O136" si="54">G128*K128</f>
        <v>0</v>
      </c>
      <c r="P128" s="46"/>
      <c r="Q128" s="46">
        <f t="shared" si="52"/>
        <v>0</v>
      </c>
      <c r="R128" s="46"/>
      <c r="S128" s="46"/>
      <c r="T128" s="46">
        <f t="shared" si="3"/>
        <v>404246.7</v>
      </c>
      <c r="U128" s="46">
        <f t="shared" si="14"/>
        <v>404246.7</v>
      </c>
      <c r="V128" s="46">
        <f t="shared" si="15"/>
        <v>404246.7</v>
      </c>
    </row>
    <row r="129" spans="1:25" s="204" customFormat="1">
      <c r="A129" s="42"/>
      <c r="B129" s="233" t="s">
        <v>225</v>
      </c>
      <c r="C129" s="219" t="s">
        <v>219</v>
      </c>
      <c r="D129" s="50" t="s">
        <v>20</v>
      </c>
      <c r="E129" s="239">
        <v>23</v>
      </c>
      <c r="F129" s="239">
        <v>23</v>
      </c>
      <c r="G129" s="220">
        <v>23</v>
      </c>
      <c r="H129" s="220">
        <v>23</v>
      </c>
      <c r="I129" s="220">
        <v>23</v>
      </c>
      <c r="J129" s="46"/>
      <c r="K129" s="46"/>
      <c r="L129" s="46"/>
      <c r="M129" s="46">
        <f t="shared" si="33"/>
        <v>0</v>
      </c>
      <c r="N129" s="46"/>
      <c r="O129" s="46"/>
      <c r="P129" s="46"/>
      <c r="Q129" s="46"/>
      <c r="R129" s="46">
        <v>4468082</v>
      </c>
      <c r="S129" s="46"/>
      <c r="T129" s="46">
        <f>R129</f>
        <v>4468082</v>
      </c>
      <c r="U129" s="46">
        <f>R129</f>
        <v>4468082</v>
      </c>
      <c r="V129" s="46">
        <f>R129</f>
        <v>4468082</v>
      </c>
    </row>
    <row r="130" spans="1:25" s="204" customFormat="1">
      <c r="A130" s="42"/>
      <c r="B130" s="233" t="s">
        <v>225</v>
      </c>
      <c r="C130" s="219" t="s">
        <v>226</v>
      </c>
      <c r="D130" s="50" t="s">
        <v>20</v>
      </c>
      <c r="E130" s="231">
        <v>10</v>
      </c>
      <c r="F130" s="231">
        <v>10</v>
      </c>
      <c r="G130" s="220">
        <v>10</v>
      </c>
      <c r="H130" s="220">
        <v>10</v>
      </c>
      <c r="I130" s="220">
        <v>10</v>
      </c>
      <c r="J130" s="46"/>
      <c r="K130" s="46"/>
      <c r="L130" s="46"/>
      <c r="M130" s="46">
        <f t="shared" si="33"/>
        <v>0</v>
      </c>
      <c r="N130" s="46"/>
      <c r="O130" s="46"/>
      <c r="P130" s="46">
        <v>1167137</v>
      </c>
      <c r="Q130" s="46"/>
      <c r="R130" s="46"/>
      <c r="S130" s="46"/>
      <c r="T130" s="46">
        <f>P130</f>
        <v>1167137</v>
      </c>
      <c r="U130" s="46">
        <f>P130</f>
        <v>1167137</v>
      </c>
      <c r="V130" s="46">
        <f>P130</f>
        <v>1167137</v>
      </c>
    </row>
    <row r="131" spans="1:25" s="204" customFormat="1" ht="35.4" customHeight="1">
      <c r="A131" s="42"/>
      <c r="B131" s="84" t="s">
        <v>299</v>
      </c>
      <c r="C131" s="219" t="s">
        <v>219</v>
      </c>
      <c r="D131" s="251" t="s">
        <v>20</v>
      </c>
      <c r="E131" s="220"/>
      <c r="F131" s="220"/>
      <c r="G131" s="220">
        <v>23</v>
      </c>
      <c r="H131" s="220">
        <v>23</v>
      </c>
      <c r="I131" s="220">
        <v>23</v>
      </c>
      <c r="J131" s="46"/>
      <c r="K131" s="46"/>
      <c r="L131" s="46"/>
      <c r="M131" s="46">
        <f t="shared" si="33"/>
        <v>0</v>
      </c>
      <c r="N131" s="240"/>
      <c r="O131" s="240"/>
      <c r="P131" s="240"/>
      <c r="Q131" s="46"/>
      <c r="R131" s="46">
        <v>372887</v>
      </c>
      <c r="S131" s="46"/>
      <c r="T131" s="46">
        <f>R131</f>
        <v>372887</v>
      </c>
      <c r="U131" s="46"/>
      <c r="V131" s="46"/>
    </row>
    <row r="132" spans="1:25" s="204" customFormat="1" hidden="1">
      <c r="A132" s="50"/>
      <c r="B132" s="233" t="s">
        <v>266</v>
      </c>
      <c r="C132" s="219" t="s">
        <v>226</v>
      </c>
      <c r="D132" s="45"/>
      <c r="E132" s="220"/>
      <c r="F132" s="220"/>
      <c r="G132" s="220"/>
      <c r="H132" s="220"/>
      <c r="I132" s="220"/>
      <c r="J132" s="46"/>
      <c r="K132" s="46"/>
      <c r="L132" s="46"/>
      <c r="M132" s="46">
        <f t="shared" si="33"/>
        <v>0</v>
      </c>
      <c r="N132" s="240"/>
      <c r="O132" s="240"/>
      <c r="P132" s="240"/>
      <c r="Q132" s="46"/>
      <c r="R132" s="46"/>
      <c r="S132" s="46"/>
      <c r="T132" s="46">
        <f>O132</f>
        <v>0</v>
      </c>
      <c r="U132" s="46">
        <f t="shared" ref="U132:V133" si="55">T132</f>
        <v>0</v>
      </c>
      <c r="V132" s="46">
        <f t="shared" si="55"/>
        <v>0</v>
      </c>
    </row>
    <row r="133" spans="1:25" s="204" customFormat="1" hidden="1">
      <c r="A133" s="50"/>
      <c r="B133" s="233" t="s">
        <v>267</v>
      </c>
      <c r="C133" s="219" t="s">
        <v>226</v>
      </c>
      <c r="D133" s="45"/>
      <c r="E133" s="220"/>
      <c r="F133" s="220"/>
      <c r="G133" s="220"/>
      <c r="H133" s="220"/>
      <c r="I133" s="220"/>
      <c r="J133" s="46"/>
      <c r="K133" s="46"/>
      <c r="L133" s="46"/>
      <c r="M133" s="46">
        <f t="shared" si="33"/>
        <v>0</v>
      </c>
      <c r="N133" s="240">
        <v>24310.020723895861</v>
      </c>
      <c r="O133" s="240"/>
      <c r="P133" s="240"/>
      <c r="Q133" s="46"/>
      <c r="R133" s="46"/>
      <c r="S133" s="46"/>
      <c r="T133" s="46">
        <f>N133</f>
        <v>24310.020723895861</v>
      </c>
      <c r="U133" s="46">
        <f t="shared" si="55"/>
        <v>24310.020723895861</v>
      </c>
      <c r="V133" s="46">
        <f t="shared" si="55"/>
        <v>24310.020723895861</v>
      </c>
    </row>
    <row r="134" spans="1:25" ht="42" hidden="1" customHeight="1">
      <c r="A134" s="83"/>
      <c r="B134" s="128" t="s">
        <v>258</v>
      </c>
      <c r="C134" s="127" t="s">
        <v>226</v>
      </c>
      <c r="D134" s="199"/>
      <c r="E134" s="87"/>
      <c r="F134" s="87"/>
      <c r="G134" s="220"/>
      <c r="H134" s="220"/>
      <c r="I134" s="220"/>
      <c r="J134" s="46"/>
      <c r="K134" s="46"/>
      <c r="L134" s="46"/>
      <c r="M134" s="46">
        <f t="shared" si="33"/>
        <v>0</v>
      </c>
      <c r="N134" s="240"/>
      <c r="O134" s="240"/>
      <c r="P134" s="240"/>
      <c r="Q134" s="46"/>
      <c r="R134" s="46"/>
      <c r="S134" s="46"/>
      <c r="T134" s="46">
        <f>N134</f>
        <v>0</v>
      </c>
      <c r="U134" s="46">
        <f t="shared" ref="U134:V136" si="56">T134</f>
        <v>0</v>
      </c>
      <c r="V134" s="46">
        <f t="shared" si="56"/>
        <v>0</v>
      </c>
    </row>
    <row r="135" spans="1:25" hidden="1">
      <c r="A135" s="83"/>
      <c r="B135" s="128" t="s">
        <v>261</v>
      </c>
      <c r="C135" s="127"/>
      <c r="D135" s="214"/>
      <c r="E135" s="87"/>
      <c r="F135" s="87"/>
      <c r="G135" s="220"/>
      <c r="H135" s="220"/>
      <c r="I135" s="220"/>
      <c r="J135" s="46"/>
      <c r="K135" s="46"/>
      <c r="L135" s="46"/>
      <c r="M135" s="46">
        <f t="shared" si="33"/>
        <v>0</v>
      </c>
      <c r="N135" s="240"/>
      <c r="O135" s="240"/>
      <c r="P135" s="240"/>
      <c r="Q135" s="46"/>
      <c r="R135" s="46"/>
      <c r="S135" s="46"/>
      <c r="T135" s="46">
        <f>O135</f>
        <v>0</v>
      </c>
      <c r="U135" s="46">
        <f t="shared" si="56"/>
        <v>0</v>
      </c>
      <c r="V135" s="46">
        <f t="shared" si="56"/>
        <v>0</v>
      </c>
    </row>
    <row r="136" spans="1:25" ht="61.5" customHeight="1">
      <c r="A136" s="194" t="s">
        <v>250</v>
      </c>
      <c r="B136" s="199" t="s">
        <v>28</v>
      </c>
      <c r="C136" s="127" t="s">
        <v>219</v>
      </c>
      <c r="D136" s="86" t="s">
        <v>20</v>
      </c>
      <c r="E136" s="231">
        <f>E127+E126+E125</f>
        <v>240</v>
      </c>
      <c r="F136" s="231">
        <f>F127+F126+F125</f>
        <v>240</v>
      </c>
      <c r="G136" s="220">
        <f>(E136*8+F136*4)/12</f>
        <v>240</v>
      </c>
      <c r="H136" s="220">
        <f>H127+H126+H125</f>
        <v>240</v>
      </c>
      <c r="I136" s="220">
        <f>I127+I126+I125</f>
        <v>240</v>
      </c>
      <c r="J136" s="46" t="s">
        <v>23</v>
      </c>
      <c r="K136" s="46"/>
      <c r="L136" s="46">
        <v>9670.65</v>
      </c>
      <c r="M136" s="46">
        <f t="shared" si="33"/>
        <v>9670.65</v>
      </c>
      <c r="N136" s="240">
        <f>G136*J136</f>
        <v>0</v>
      </c>
      <c r="O136" s="240">
        <f t="shared" si="54"/>
        <v>0</v>
      </c>
      <c r="P136" s="240"/>
      <c r="Q136" s="46">
        <f>G136*L136-0.47</f>
        <v>2320955.5299999998</v>
      </c>
      <c r="R136" s="46"/>
      <c r="S136" s="46"/>
      <c r="T136" s="46">
        <f>Q136</f>
        <v>2320955.5299999998</v>
      </c>
      <c r="U136" s="46">
        <f t="shared" si="56"/>
        <v>2320955.5299999998</v>
      </c>
      <c r="V136" s="46">
        <f t="shared" si="56"/>
        <v>2320955.5299999998</v>
      </c>
    </row>
    <row r="137" spans="1:25">
      <c r="A137" s="86"/>
      <c r="B137" s="199" t="s">
        <v>28</v>
      </c>
      <c r="C137" s="127" t="s">
        <v>220</v>
      </c>
      <c r="D137" s="86"/>
      <c r="E137" s="87"/>
      <c r="F137" s="87"/>
      <c r="G137" s="220">
        <v>237</v>
      </c>
      <c r="H137" s="220">
        <v>237</v>
      </c>
      <c r="I137" s="220">
        <v>237</v>
      </c>
      <c r="J137" s="46"/>
      <c r="K137" s="46"/>
      <c r="L137" s="46">
        <v>12750.1</v>
      </c>
      <c r="M137" s="46">
        <f t="shared" si="33"/>
        <v>12750.1</v>
      </c>
      <c r="N137" s="240"/>
      <c r="O137" s="240"/>
      <c r="P137" s="240"/>
      <c r="Q137" s="46"/>
      <c r="R137" s="46"/>
      <c r="S137" s="46">
        <f>L137*G137</f>
        <v>3021773.7</v>
      </c>
      <c r="T137" s="46">
        <f>S137</f>
        <v>3021773.7</v>
      </c>
      <c r="U137" s="46">
        <f>S137</f>
        <v>3021773.7</v>
      </c>
      <c r="V137" s="46">
        <f>S137</f>
        <v>3021773.7</v>
      </c>
    </row>
    <row r="138" spans="1:25">
      <c r="A138" s="189" t="s">
        <v>65</v>
      </c>
      <c r="B138" s="94"/>
      <c r="C138" s="94"/>
      <c r="D138" s="94"/>
      <c r="E138" s="92"/>
      <c r="F138" s="92"/>
      <c r="G138" s="265"/>
      <c r="H138" s="265"/>
      <c r="I138" s="265"/>
      <c r="J138" s="222"/>
      <c r="K138" s="222"/>
      <c r="L138" s="222"/>
      <c r="M138" s="46">
        <f t="shared" si="33"/>
        <v>0</v>
      </c>
      <c r="N138" s="222">
        <f>N139+N148</f>
        <v>8033000.0047094189</v>
      </c>
      <c r="O138" s="222">
        <f>O139+O148</f>
        <v>2975858.9968361603</v>
      </c>
      <c r="P138" s="268">
        <f>P139</f>
        <v>327235</v>
      </c>
      <c r="Q138" s="222">
        <f>Q139+Q148-0.01+Q144</f>
        <v>4078945.52</v>
      </c>
      <c r="R138" s="222">
        <f>R139+R144</f>
        <v>2546550</v>
      </c>
      <c r="S138" s="222">
        <f>S149</f>
        <v>1734013.6</v>
      </c>
      <c r="T138" s="222">
        <f>T139+T148+T149</f>
        <v>19695603.131545581</v>
      </c>
      <c r="U138" s="222">
        <f>U139+U148+U149</f>
        <v>19494947.131545581</v>
      </c>
      <c r="V138" s="222">
        <f>V139+V148+V149</f>
        <v>19494947.131545581</v>
      </c>
      <c r="W138" s="80">
        <v>4231396.84</v>
      </c>
      <c r="X138" s="85">
        <f>W138-Q138</f>
        <v>152451.31999999983</v>
      </c>
      <c r="Y138" s="80">
        <f>X138/I148</f>
        <v>1120.9655882352929</v>
      </c>
    </row>
    <row r="139" spans="1:25" ht="85.5" customHeight="1">
      <c r="A139" s="194" t="s">
        <v>249</v>
      </c>
      <c r="B139" s="84" t="s">
        <v>76</v>
      </c>
      <c r="C139" s="128"/>
      <c r="D139" s="95"/>
      <c r="E139" s="68"/>
      <c r="F139" s="68"/>
      <c r="G139" s="264"/>
      <c r="H139" s="264"/>
      <c r="I139" s="264"/>
      <c r="J139" s="46"/>
      <c r="K139" s="46"/>
      <c r="L139" s="46"/>
      <c r="M139" s="46">
        <f t="shared" si="33"/>
        <v>0</v>
      </c>
      <c r="N139" s="46">
        <f>SUM(N140:N146)</f>
        <v>8033000.0047094189</v>
      </c>
      <c r="O139" s="46">
        <f>SUM(O140:O147)</f>
        <v>2975858.9968361603</v>
      </c>
      <c r="P139" s="269">
        <f>P143</f>
        <v>327235</v>
      </c>
      <c r="Q139" s="46">
        <f>SUM(Q140:Q141)</f>
        <v>2763737.59</v>
      </c>
      <c r="R139" s="46">
        <f>R142</f>
        <v>2345894</v>
      </c>
      <c r="S139" s="46"/>
      <c r="T139" s="46">
        <f>SUM(T140:T147)</f>
        <v>16646381.591545578</v>
      </c>
      <c r="U139" s="46">
        <f>SUM(U140:U147)</f>
        <v>16445725.591545578</v>
      </c>
      <c r="V139" s="46">
        <f t="shared" ref="V139" si="57">SUM(V140:V147)</f>
        <v>16445725.591545578</v>
      </c>
    </row>
    <row r="140" spans="1:25" ht="96.6">
      <c r="A140" s="83"/>
      <c r="B140" s="97" t="s">
        <v>279</v>
      </c>
      <c r="C140" s="93" t="s">
        <v>283</v>
      </c>
      <c r="D140" s="86" t="s">
        <v>20</v>
      </c>
      <c r="E140" s="231">
        <v>35</v>
      </c>
      <c r="F140" s="231">
        <v>35</v>
      </c>
      <c r="G140" s="220">
        <v>35</v>
      </c>
      <c r="H140" s="220">
        <v>35</v>
      </c>
      <c r="I140" s="220">
        <v>35</v>
      </c>
      <c r="J140" s="46">
        <v>43138.04</v>
      </c>
      <c r="K140" s="46">
        <v>21881.31578556</v>
      </c>
      <c r="L140" s="46">
        <v>20321.599999999999</v>
      </c>
      <c r="M140" s="46">
        <f t="shared" si="33"/>
        <v>85340.95578556</v>
      </c>
      <c r="N140" s="46">
        <f>G140*J140</f>
        <v>1509831.4000000001</v>
      </c>
      <c r="O140" s="46">
        <f>G140*K140+0.05</f>
        <v>765846.1024946</v>
      </c>
      <c r="P140" s="269"/>
      <c r="Q140" s="46">
        <f>G140*L140</f>
        <v>711256</v>
      </c>
      <c r="R140" s="46"/>
      <c r="S140" s="46"/>
      <c r="T140" s="46">
        <f>N140+O140+P140+Q140+R140</f>
        <v>2986933.5024946001</v>
      </c>
      <c r="U140" s="46">
        <f>T140</f>
        <v>2986933.5024946001</v>
      </c>
      <c r="V140" s="46">
        <f>U140</f>
        <v>2986933.5024946001</v>
      </c>
      <c r="W140" s="85">
        <f>U140-T140</f>
        <v>0</v>
      </c>
    </row>
    <row r="141" spans="1:25" ht="108" customHeight="1">
      <c r="A141" s="88"/>
      <c r="B141" s="97" t="s">
        <v>277</v>
      </c>
      <c r="C141" s="93" t="s">
        <v>297</v>
      </c>
      <c r="D141" s="86" t="s">
        <v>20</v>
      </c>
      <c r="E141" s="231">
        <v>101</v>
      </c>
      <c r="F141" s="231">
        <v>101</v>
      </c>
      <c r="G141" s="220">
        <v>101</v>
      </c>
      <c r="H141" s="220">
        <v>101</v>
      </c>
      <c r="I141" s="220">
        <v>101</v>
      </c>
      <c r="J141" s="46">
        <v>64585.825591182365</v>
      </c>
      <c r="K141" s="46">
        <v>21881.31578556</v>
      </c>
      <c r="L141" s="46">
        <v>20321.599999999999</v>
      </c>
      <c r="M141" s="46">
        <f t="shared" si="33"/>
        <v>106788.74137674237</v>
      </c>
      <c r="N141" s="46">
        <f>G141*J141+0.22</f>
        <v>6523168.6047094185</v>
      </c>
      <c r="O141" s="46">
        <f t="shared" ref="O141:O148" si="58">G141*K141</f>
        <v>2210012.8943415601</v>
      </c>
      <c r="P141" s="269"/>
      <c r="Q141" s="46">
        <f>G141*L141-0.01</f>
        <v>2052481.5899999999</v>
      </c>
      <c r="R141" s="46"/>
      <c r="S141" s="46"/>
      <c r="T141" s="46">
        <f t="shared" ref="T141" si="59">N141+O141+P141+Q141+R141</f>
        <v>10785663.089050978</v>
      </c>
      <c r="U141" s="46">
        <f>T141</f>
        <v>10785663.089050978</v>
      </c>
      <c r="V141" s="46">
        <f>U141</f>
        <v>10785663.089050978</v>
      </c>
    </row>
    <row r="142" spans="1:25" s="204" customFormat="1">
      <c r="A142" s="49"/>
      <c r="B142" s="233" t="s">
        <v>225</v>
      </c>
      <c r="C142" s="219" t="s">
        <v>219</v>
      </c>
      <c r="D142" s="50" t="s">
        <v>20</v>
      </c>
      <c r="E142" s="239">
        <v>12</v>
      </c>
      <c r="F142" s="239">
        <v>12</v>
      </c>
      <c r="G142" s="220">
        <v>12</v>
      </c>
      <c r="H142" s="220">
        <v>12</v>
      </c>
      <c r="I142" s="220">
        <v>12</v>
      </c>
      <c r="J142" s="46"/>
      <c r="K142" s="46"/>
      <c r="L142" s="46"/>
      <c r="M142" s="46">
        <f t="shared" si="33"/>
        <v>0</v>
      </c>
      <c r="N142" s="240"/>
      <c r="O142" s="240"/>
      <c r="P142" s="269"/>
      <c r="Q142" s="46"/>
      <c r="R142" s="46">
        <v>2345894</v>
      </c>
      <c r="S142" s="46"/>
      <c r="T142" s="46">
        <f>R142</f>
        <v>2345894</v>
      </c>
      <c r="U142" s="46">
        <f>R142</f>
        <v>2345894</v>
      </c>
      <c r="V142" s="46">
        <f>R142</f>
        <v>2345894</v>
      </c>
    </row>
    <row r="143" spans="1:25" s="204" customFormat="1">
      <c r="A143" s="49"/>
      <c r="B143" s="233" t="s">
        <v>225</v>
      </c>
      <c r="C143" s="219" t="s">
        <v>226</v>
      </c>
      <c r="D143" s="50" t="s">
        <v>20</v>
      </c>
      <c r="E143" s="231">
        <v>5</v>
      </c>
      <c r="F143" s="231">
        <v>5</v>
      </c>
      <c r="G143" s="220">
        <v>5</v>
      </c>
      <c r="H143" s="220">
        <v>5</v>
      </c>
      <c r="I143" s="220">
        <v>5</v>
      </c>
      <c r="J143" s="46"/>
      <c r="K143" s="46"/>
      <c r="L143" s="46"/>
      <c r="M143" s="46">
        <f t="shared" si="33"/>
        <v>0</v>
      </c>
      <c r="N143" s="240"/>
      <c r="O143" s="240"/>
      <c r="P143" s="269">
        <v>327235</v>
      </c>
      <c r="Q143" s="46"/>
      <c r="R143" s="46"/>
      <c r="S143" s="46"/>
      <c r="T143" s="46">
        <f>P143</f>
        <v>327235</v>
      </c>
      <c r="U143" s="46">
        <f>P143</f>
        <v>327235</v>
      </c>
      <c r="V143" s="46">
        <f>P143</f>
        <v>327235</v>
      </c>
    </row>
    <row r="144" spans="1:25" s="204" customFormat="1" ht="32.4" customHeight="1">
      <c r="A144" s="49"/>
      <c r="B144" s="84" t="s">
        <v>299</v>
      </c>
      <c r="C144" s="219" t="s">
        <v>219</v>
      </c>
      <c r="D144" s="50"/>
      <c r="E144" s="220"/>
      <c r="F144" s="220"/>
      <c r="G144" s="220">
        <v>12</v>
      </c>
      <c r="H144" s="220">
        <v>12</v>
      </c>
      <c r="I144" s="220">
        <v>12</v>
      </c>
      <c r="J144" s="46"/>
      <c r="K144" s="46"/>
      <c r="L144" s="46"/>
      <c r="M144" s="46">
        <f t="shared" si="33"/>
        <v>0</v>
      </c>
      <c r="N144" s="240"/>
      <c r="O144" s="240"/>
      <c r="P144" s="240"/>
      <c r="Q144" s="46"/>
      <c r="R144" s="46">
        <v>200656</v>
      </c>
      <c r="S144" s="46"/>
      <c r="T144" s="46">
        <f>R144</f>
        <v>200656</v>
      </c>
      <c r="U144" s="46"/>
      <c r="V144" s="46"/>
    </row>
    <row r="145" spans="1:25" s="204" customFormat="1" hidden="1">
      <c r="A145" s="50"/>
      <c r="B145" s="233" t="s">
        <v>266</v>
      </c>
      <c r="C145" s="219" t="s">
        <v>226</v>
      </c>
      <c r="D145" s="45"/>
      <c r="E145" s="220"/>
      <c r="F145" s="220"/>
      <c r="G145" s="220"/>
      <c r="H145" s="220"/>
      <c r="I145" s="220"/>
      <c r="J145" s="46"/>
      <c r="K145" s="46"/>
      <c r="L145" s="46"/>
      <c r="M145" s="46">
        <f t="shared" ref="M145:M176" si="60">J145+K145+L145</f>
        <v>0</v>
      </c>
      <c r="N145" s="240"/>
      <c r="O145" s="240"/>
      <c r="P145" s="240"/>
      <c r="Q145" s="46"/>
      <c r="R145" s="46"/>
      <c r="S145" s="46"/>
      <c r="T145" s="46">
        <f>O145</f>
        <v>0</v>
      </c>
      <c r="U145" s="46">
        <f t="shared" ref="U145:V147" si="61">T145</f>
        <v>0</v>
      </c>
      <c r="V145" s="46">
        <f t="shared" si="61"/>
        <v>0</v>
      </c>
    </row>
    <row r="146" spans="1:25" ht="44.25" hidden="1" customHeight="1">
      <c r="A146" s="88"/>
      <c r="B146" s="128" t="s">
        <v>258</v>
      </c>
      <c r="C146" s="127" t="s">
        <v>226</v>
      </c>
      <c r="D146" s="199"/>
      <c r="E146" s="87"/>
      <c r="F146" s="87"/>
      <c r="G146" s="220"/>
      <c r="H146" s="220"/>
      <c r="I146" s="220"/>
      <c r="J146" s="46"/>
      <c r="K146" s="46"/>
      <c r="L146" s="46"/>
      <c r="M146" s="46">
        <f t="shared" si="60"/>
        <v>0</v>
      </c>
      <c r="N146" s="240"/>
      <c r="O146" s="240"/>
      <c r="P146" s="240"/>
      <c r="Q146" s="46"/>
      <c r="R146" s="46"/>
      <c r="S146" s="46"/>
      <c r="T146" s="46">
        <f>N146</f>
        <v>0</v>
      </c>
      <c r="U146" s="46">
        <f t="shared" si="61"/>
        <v>0</v>
      </c>
      <c r="V146" s="46">
        <f t="shared" si="61"/>
        <v>0</v>
      </c>
    </row>
    <row r="147" spans="1:25" hidden="1">
      <c r="A147" s="88"/>
      <c r="B147" s="128" t="s">
        <v>261</v>
      </c>
      <c r="C147" s="127"/>
      <c r="D147" s="214"/>
      <c r="E147" s="87"/>
      <c r="F147" s="87"/>
      <c r="G147" s="220"/>
      <c r="H147" s="220"/>
      <c r="I147" s="220"/>
      <c r="J147" s="46"/>
      <c r="K147" s="46"/>
      <c r="L147" s="46"/>
      <c r="M147" s="46">
        <f t="shared" si="60"/>
        <v>0</v>
      </c>
      <c r="N147" s="240"/>
      <c r="O147" s="240"/>
      <c r="P147" s="240"/>
      <c r="Q147" s="46"/>
      <c r="R147" s="46"/>
      <c r="S147" s="46"/>
      <c r="T147" s="46">
        <f>O147</f>
        <v>0</v>
      </c>
      <c r="U147" s="46">
        <f t="shared" si="61"/>
        <v>0</v>
      </c>
      <c r="V147" s="46">
        <f t="shared" si="61"/>
        <v>0</v>
      </c>
    </row>
    <row r="148" spans="1:25" ht="55.2">
      <c r="A148" s="194" t="s">
        <v>250</v>
      </c>
      <c r="B148" s="199" t="s">
        <v>28</v>
      </c>
      <c r="C148" s="127" t="s">
        <v>219</v>
      </c>
      <c r="D148" s="86" t="s">
        <v>20</v>
      </c>
      <c r="E148" s="231">
        <v>136</v>
      </c>
      <c r="F148" s="231">
        <v>136</v>
      </c>
      <c r="G148" s="220">
        <v>136</v>
      </c>
      <c r="H148" s="220">
        <v>136</v>
      </c>
      <c r="I148" s="220">
        <v>136</v>
      </c>
      <c r="J148" s="46" t="s">
        <v>23</v>
      </c>
      <c r="K148" s="46"/>
      <c r="L148" s="46">
        <v>9670.65</v>
      </c>
      <c r="M148" s="46">
        <f t="shared" si="60"/>
        <v>9670.65</v>
      </c>
      <c r="N148" s="240">
        <f t="shared" ref="N148" si="62">G148*J148</f>
        <v>0</v>
      </c>
      <c r="O148" s="240">
        <f t="shared" si="58"/>
        <v>0</v>
      </c>
      <c r="P148" s="240"/>
      <c r="Q148" s="46">
        <f>G148*L148-0.46</f>
        <v>1315207.94</v>
      </c>
      <c r="R148" s="46"/>
      <c r="S148" s="46"/>
      <c r="T148" s="46">
        <f t="shared" si="3"/>
        <v>1315207.94</v>
      </c>
      <c r="U148" s="46">
        <f>T148</f>
        <v>1315207.94</v>
      </c>
      <c r="V148" s="46">
        <f>U148</f>
        <v>1315207.94</v>
      </c>
    </row>
    <row r="149" spans="1:25">
      <c r="A149" s="86"/>
      <c r="B149" s="199" t="s">
        <v>28</v>
      </c>
      <c r="C149" s="127" t="s">
        <v>220</v>
      </c>
      <c r="D149" s="86"/>
      <c r="E149" s="87"/>
      <c r="F149" s="87"/>
      <c r="G149" s="220">
        <v>136</v>
      </c>
      <c r="H149" s="220">
        <v>136</v>
      </c>
      <c r="I149" s="220">
        <v>136</v>
      </c>
      <c r="J149" s="46"/>
      <c r="K149" s="46"/>
      <c r="L149" s="46">
        <v>12750.1</v>
      </c>
      <c r="M149" s="46">
        <f t="shared" si="60"/>
        <v>12750.1</v>
      </c>
      <c r="N149" s="240"/>
      <c r="O149" s="240"/>
      <c r="P149" s="240"/>
      <c r="Q149" s="46"/>
      <c r="R149" s="46"/>
      <c r="S149" s="46">
        <f>L149*G148</f>
        <v>1734013.6</v>
      </c>
      <c r="T149" s="46">
        <f>S149</f>
        <v>1734013.6</v>
      </c>
      <c r="U149" s="46">
        <f>S149</f>
        <v>1734013.6</v>
      </c>
      <c r="V149" s="46">
        <f>S149</f>
        <v>1734013.6</v>
      </c>
    </row>
    <row r="150" spans="1:25">
      <c r="A150" s="189" t="s">
        <v>68</v>
      </c>
      <c r="B150" s="94"/>
      <c r="C150" s="94"/>
      <c r="D150" s="94"/>
      <c r="E150" s="92"/>
      <c r="F150" s="92"/>
      <c r="G150" s="265"/>
      <c r="H150" s="265"/>
      <c r="I150" s="265"/>
      <c r="J150" s="222"/>
      <c r="K150" s="222"/>
      <c r="L150" s="222"/>
      <c r="M150" s="46">
        <f t="shared" si="60"/>
        <v>0</v>
      </c>
      <c r="N150" s="222">
        <f>N151+N162</f>
        <v>7445265.0011966778</v>
      </c>
      <c r="O150" s="222">
        <f>O151+O162</f>
        <v>3041505.0041928403</v>
      </c>
      <c r="P150" s="241">
        <f>P151</f>
        <v>976928</v>
      </c>
      <c r="Q150" s="222">
        <f>Q151+Q162+Q157</f>
        <v>4168922.2699999996</v>
      </c>
      <c r="R150" s="222">
        <f>R151+R157</f>
        <v>3117788</v>
      </c>
      <c r="S150" s="222">
        <f>S163</f>
        <v>1746763.7</v>
      </c>
      <c r="T150" s="222">
        <f>T151+T162+T163</f>
        <v>20497171.975389518</v>
      </c>
      <c r="U150" s="222">
        <f>U151+U162+U163</f>
        <v>20254709.975389518</v>
      </c>
      <c r="V150" s="222">
        <f>V151+V162+V163</f>
        <v>20254709.975389518</v>
      </c>
      <c r="W150" s="80">
        <v>4402020.6100000003</v>
      </c>
      <c r="X150" s="85">
        <f>W150-Q150</f>
        <v>233098.34000000078</v>
      </c>
      <c r="Y150" s="80">
        <f>X150/I162</f>
        <v>1676.9664748201494</v>
      </c>
    </row>
    <row r="151" spans="1:25" ht="94.95" customHeight="1">
      <c r="A151" s="194" t="s">
        <v>249</v>
      </c>
      <c r="B151" s="84" t="s">
        <v>76</v>
      </c>
      <c r="C151" s="128"/>
      <c r="D151" s="95"/>
      <c r="E151" s="68"/>
      <c r="F151" s="68"/>
      <c r="G151" s="264"/>
      <c r="H151" s="264"/>
      <c r="I151" s="264"/>
      <c r="J151" s="46"/>
      <c r="K151" s="46"/>
      <c r="L151" s="46"/>
      <c r="M151" s="46">
        <f t="shared" si="60"/>
        <v>0</v>
      </c>
      <c r="N151" s="46">
        <f>SUM(N152:N160)</f>
        <v>7445265.0011966778</v>
      </c>
      <c r="O151" s="46">
        <f>SUM(O152:O161)</f>
        <v>3041505.0041928403</v>
      </c>
      <c r="P151" s="240">
        <f>P156</f>
        <v>976928</v>
      </c>
      <c r="Q151" s="46">
        <f>SUM(Q152:Q154)</f>
        <v>2824702.3999999994</v>
      </c>
      <c r="R151" s="46">
        <f>R155</f>
        <v>2875326</v>
      </c>
      <c r="S151" s="46"/>
      <c r="T151" s="46">
        <f>SUM(T152:T161)</f>
        <v>17406188.405389518</v>
      </c>
      <c r="U151" s="46">
        <f t="shared" ref="U151:V151" si="63">SUM(U152:U161)</f>
        <v>17163726.405389518</v>
      </c>
      <c r="V151" s="46">
        <f t="shared" si="63"/>
        <v>17163726.405389518</v>
      </c>
      <c r="Y151" s="85"/>
    </row>
    <row r="152" spans="1:25" ht="49.5" customHeight="1">
      <c r="A152" s="83"/>
      <c r="B152" s="97" t="s">
        <v>279</v>
      </c>
      <c r="C152" s="315" t="s">
        <v>283</v>
      </c>
      <c r="D152" s="199" t="s">
        <v>20</v>
      </c>
      <c r="E152" s="231">
        <v>38</v>
      </c>
      <c r="F152" s="231">
        <v>38</v>
      </c>
      <c r="G152" s="220">
        <v>38</v>
      </c>
      <c r="H152" s="220">
        <v>38</v>
      </c>
      <c r="I152" s="220">
        <v>38</v>
      </c>
      <c r="J152" s="46">
        <v>43138.04</v>
      </c>
      <c r="K152" s="46">
        <v>21881.31578556</v>
      </c>
      <c r="L152" s="46">
        <v>20321.599999999999</v>
      </c>
      <c r="M152" s="46">
        <f t="shared" si="60"/>
        <v>85340.95578556</v>
      </c>
      <c r="N152" s="46">
        <f>G152*J152</f>
        <v>1639245.52</v>
      </c>
      <c r="O152" s="46">
        <f>G152*K152</f>
        <v>831489.99985128001</v>
      </c>
      <c r="P152" s="240"/>
      <c r="Q152" s="46">
        <f>G152*L152</f>
        <v>772220.79999999993</v>
      </c>
      <c r="R152" s="46"/>
      <c r="S152" s="46"/>
      <c r="T152" s="46">
        <f t="shared" si="3"/>
        <v>3242956.3198512797</v>
      </c>
      <c r="U152" s="46">
        <f t="shared" si="14"/>
        <v>3242956.3198512802</v>
      </c>
      <c r="V152" s="46">
        <f t="shared" si="15"/>
        <v>3242956.3198512802</v>
      </c>
    </row>
    <row r="153" spans="1:25" ht="54.75" customHeight="1">
      <c r="A153" s="88"/>
      <c r="B153" s="97" t="s">
        <v>277</v>
      </c>
      <c r="C153" s="316"/>
      <c r="D153" s="86" t="s">
        <v>20</v>
      </c>
      <c r="E153" s="231">
        <v>25</v>
      </c>
      <c r="F153" s="231">
        <v>25</v>
      </c>
      <c r="G153" s="220">
        <v>25</v>
      </c>
      <c r="H153" s="220">
        <v>25</v>
      </c>
      <c r="I153" s="220">
        <v>25</v>
      </c>
      <c r="J153" s="46">
        <v>34198.17</v>
      </c>
      <c r="K153" s="46">
        <v>21881.31578556</v>
      </c>
      <c r="L153" s="46">
        <v>20321.599999999999</v>
      </c>
      <c r="M153" s="46">
        <f t="shared" si="60"/>
        <v>76401.08578555999</v>
      </c>
      <c r="N153" s="46">
        <f t="shared" ref="N153:N162" si="64">G153*J153</f>
        <v>854954.25</v>
      </c>
      <c r="O153" s="46">
        <f>G153*K153</f>
        <v>547032.89463900006</v>
      </c>
      <c r="P153" s="240"/>
      <c r="Q153" s="46">
        <f t="shared" ref="Q153" si="65">G153*L153</f>
        <v>508039.99999999994</v>
      </c>
      <c r="R153" s="46"/>
      <c r="S153" s="46"/>
      <c r="T153" s="46">
        <f t="shared" si="3"/>
        <v>1910027.1446390001</v>
      </c>
      <c r="U153" s="46">
        <f t="shared" si="14"/>
        <v>1910027.1446389998</v>
      </c>
      <c r="V153" s="46">
        <f t="shared" si="15"/>
        <v>1910027.1446389998</v>
      </c>
    </row>
    <row r="154" spans="1:25" ht="133.5" customHeight="1">
      <c r="A154" s="88"/>
      <c r="B154" s="97" t="s">
        <v>277</v>
      </c>
      <c r="C154" s="93" t="s">
        <v>282</v>
      </c>
      <c r="D154" s="199" t="s">
        <v>20</v>
      </c>
      <c r="E154" s="231">
        <v>76</v>
      </c>
      <c r="F154" s="231">
        <v>76</v>
      </c>
      <c r="G154" s="220">
        <v>76</v>
      </c>
      <c r="H154" s="220">
        <v>76</v>
      </c>
      <c r="I154" s="220">
        <v>76</v>
      </c>
      <c r="J154" s="46">
        <v>64585.825591182365</v>
      </c>
      <c r="K154" s="46">
        <v>21881.31578556</v>
      </c>
      <c r="L154" s="46">
        <v>20321.599999999999</v>
      </c>
      <c r="M154" s="46">
        <f t="shared" si="60"/>
        <v>106788.74137674237</v>
      </c>
      <c r="N154" s="46">
        <f>G154*J154-0.05</f>
        <v>4908522.6949298596</v>
      </c>
      <c r="O154" s="46">
        <f>G154*K154+2.11</f>
        <v>1662982.1097025601</v>
      </c>
      <c r="P154" s="240"/>
      <c r="Q154" s="46">
        <f>G154*L154</f>
        <v>1544441.5999999999</v>
      </c>
      <c r="R154" s="46"/>
      <c r="S154" s="46"/>
      <c r="T154" s="46">
        <f t="shared" si="3"/>
        <v>8115946.4046324193</v>
      </c>
      <c r="U154" s="46">
        <f>T154</f>
        <v>8115946.4046324193</v>
      </c>
      <c r="V154" s="46">
        <f>U154</f>
        <v>8115946.4046324193</v>
      </c>
    </row>
    <row r="155" spans="1:25" s="204" customFormat="1">
      <c r="A155" s="49"/>
      <c r="B155" s="218" t="s">
        <v>225</v>
      </c>
      <c r="C155" s="219" t="s">
        <v>219</v>
      </c>
      <c r="D155" s="228" t="s">
        <v>20</v>
      </c>
      <c r="E155" s="239">
        <v>15</v>
      </c>
      <c r="F155" s="239">
        <v>15</v>
      </c>
      <c r="G155" s="220">
        <v>15</v>
      </c>
      <c r="H155" s="220">
        <v>15</v>
      </c>
      <c r="I155" s="220">
        <v>15</v>
      </c>
      <c r="J155" s="46"/>
      <c r="K155" s="46"/>
      <c r="L155" s="46"/>
      <c r="M155" s="46">
        <f t="shared" si="60"/>
        <v>0</v>
      </c>
      <c r="N155" s="240"/>
      <c r="O155" s="240"/>
      <c r="P155" s="240"/>
      <c r="Q155" s="46"/>
      <c r="R155" s="46">
        <v>2875326</v>
      </c>
      <c r="S155" s="46"/>
      <c r="T155" s="46">
        <f>R155</f>
        <v>2875326</v>
      </c>
      <c r="U155" s="46">
        <f>R155</f>
        <v>2875326</v>
      </c>
      <c r="V155" s="46">
        <f>R155</f>
        <v>2875326</v>
      </c>
    </row>
    <row r="156" spans="1:25" s="204" customFormat="1">
      <c r="A156" s="49"/>
      <c r="B156" s="218" t="s">
        <v>225</v>
      </c>
      <c r="C156" s="219" t="s">
        <v>226</v>
      </c>
      <c r="D156" s="228" t="s">
        <v>20</v>
      </c>
      <c r="E156" s="231">
        <v>10</v>
      </c>
      <c r="F156" s="231">
        <v>10</v>
      </c>
      <c r="G156" s="220">
        <v>10</v>
      </c>
      <c r="H156" s="220">
        <v>10</v>
      </c>
      <c r="I156" s="220">
        <v>10</v>
      </c>
      <c r="J156" s="46"/>
      <c r="K156" s="46"/>
      <c r="L156" s="46"/>
      <c r="M156" s="46">
        <f t="shared" si="60"/>
        <v>0</v>
      </c>
      <c r="N156" s="240"/>
      <c r="O156" s="240"/>
      <c r="P156" s="240">
        <v>976928</v>
      </c>
      <c r="Q156" s="46"/>
      <c r="R156" s="46"/>
      <c r="S156" s="46"/>
      <c r="T156" s="46">
        <f>P156</f>
        <v>976928</v>
      </c>
      <c r="U156" s="46">
        <f t="shared" ref="U156:V162" si="66">T156</f>
        <v>976928</v>
      </c>
      <c r="V156" s="46">
        <f t="shared" si="66"/>
        <v>976928</v>
      </c>
    </row>
    <row r="157" spans="1:25" s="204" customFormat="1" ht="27.6">
      <c r="A157" s="49"/>
      <c r="B157" s="84" t="s">
        <v>299</v>
      </c>
      <c r="C157" s="219" t="s">
        <v>219</v>
      </c>
      <c r="D157" s="250" t="s">
        <v>20</v>
      </c>
      <c r="E157" s="220"/>
      <c r="F157" s="220"/>
      <c r="G157" s="220">
        <v>15</v>
      </c>
      <c r="H157" s="220">
        <v>15</v>
      </c>
      <c r="I157" s="220">
        <v>15</v>
      </c>
      <c r="J157" s="46"/>
      <c r="K157" s="46"/>
      <c r="L157" s="46"/>
      <c r="M157" s="46">
        <f t="shared" si="60"/>
        <v>0</v>
      </c>
      <c r="N157" s="240"/>
      <c r="O157" s="240"/>
      <c r="P157" s="240"/>
      <c r="Q157" s="46"/>
      <c r="R157" s="46">
        <v>242462</v>
      </c>
      <c r="S157" s="46"/>
      <c r="T157" s="46">
        <f>R157</f>
        <v>242462</v>
      </c>
      <c r="U157" s="46"/>
      <c r="V157" s="46"/>
    </row>
    <row r="158" spans="1:25" s="204" customFormat="1" hidden="1">
      <c r="A158" s="50"/>
      <c r="B158" s="218"/>
      <c r="C158" s="219" t="s">
        <v>226</v>
      </c>
      <c r="D158" s="45"/>
      <c r="E158" s="220"/>
      <c r="F158" s="220"/>
      <c r="G158" s="220"/>
      <c r="H158" s="220"/>
      <c r="I158" s="220"/>
      <c r="J158" s="46"/>
      <c r="K158" s="46"/>
      <c r="L158" s="46"/>
      <c r="M158" s="46">
        <f t="shared" si="60"/>
        <v>0</v>
      </c>
      <c r="N158" s="240"/>
      <c r="O158" s="240"/>
      <c r="P158" s="240"/>
      <c r="Q158" s="46"/>
      <c r="R158" s="46"/>
      <c r="S158" s="46"/>
      <c r="T158" s="46">
        <f>O158</f>
        <v>0</v>
      </c>
      <c r="U158" s="46">
        <f t="shared" ref="U158:V159" si="67">T158</f>
        <v>0</v>
      </c>
      <c r="V158" s="46">
        <f t="shared" si="67"/>
        <v>0</v>
      </c>
    </row>
    <row r="159" spans="1:25" s="204" customFormat="1">
      <c r="A159" s="50"/>
      <c r="B159" s="233" t="s">
        <v>267</v>
      </c>
      <c r="C159" s="219" t="s">
        <v>226</v>
      </c>
      <c r="D159" s="45"/>
      <c r="E159" s="220"/>
      <c r="F159" s="220"/>
      <c r="G159" s="220"/>
      <c r="H159" s="220"/>
      <c r="I159" s="220"/>
      <c r="J159" s="46"/>
      <c r="K159" s="46"/>
      <c r="L159" s="46"/>
      <c r="M159" s="46">
        <f t="shared" si="60"/>
        <v>0</v>
      </c>
      <c r="N159" s="240">
        <v>42542.536266817762</v>
      </c>
      <c r="O159" s="240"/>
      <c r="P159" s="240"/>
      <c r="Q159" s="46"/>
      <c r="R159" s="46"/>
      <c r="S159" s="46"/>
      <c r="T159" s="46">
        <f>N159</f>
        <v>42542.536266817762</v>
      </c>
      <c r="U159" s="46">
        <f t="shared" si="67"/>
        <v>42542.536266817762</v>
      </c>
      <c r="V159" s="46">
        <f t="shared" si="67"/>
        <v>42542.536266817762</v>
      </c>
    </row>
    <row r="160" spans="1:25" ht="45.75" hidden="1" customHeight="1">
      <c r="A160" s="88"/>
      <c r="B160" s="128" t="s">
        <v>258</v>
      </c>
      <c r="C160" s="127" t="s">
        <v>226</v>
      </c>
      <c r="D160" s="199"/>
      <c r="E160" s="87"/>
      <c r="F160" s="87"/>
      <c r="G160" s="220"/>
      <c r="H160" s="220"/>
      <c r="I160" s="220"/>
      <c r="J160" s="46"/>
      <c r="K160" s="46"/>
      <c r="L160" s="46"/>
      <c r="M160" s="46">
        <f t="shared" si="60"/>
        <v>0</v>
      </c>
      <c r="N160" s="240"/>
      <c r="O160" s="240"/>
      <c r="P160" s="240"/>
      <c r="Q160" s="46"/>
      <c r="R160" s="46"/>
      <c r="S160" s="46"/>
      <c r="T160" s="46">
        <f>N160</f>
        <v>0</v>
      </c>
      <c r="U160" s="46">
        <f t="shared" si="66"/>
        <v>0</v>
      </c>
      <c r="V160" s="46">
        <f t="shared" si="66"/>
        <v>0</v>
      </c>
    </row>
    <row r="161" spans="1:25" hidden="1">
      <c r="A161" s="88"/>
      <c r="B161" s="128" t="s">
        <v>261</v>
      </c>
      <c r="C161" s="127"/>
      <c r="D161" s="214"/>
      <c r="E161" s="87"/>
      <c r="F161" s="87"/>
      <c r="G161" s="220"/>
      <c r="H161" s="220"/>
      <c r="I161" s="220"/>
      <c r="J161" s="46"/>
      <c r="K161" s="46"/>
      <c r="L161" s="46"/>
      <c r="M161" s="46">
        <f t="shared" si="60"/>
        <v>0</v>
      </c>
      <c r="N161" s="240"/>
      <c r="O161" s="240"/>
      <c r="P161" s="240"/>
      <c r="Q161" s="46"/>
      <c r="R161" s="46"/>
      <c r="S161" s="46"/>
      <c r="T161" s="46">
        <f>O161</f>
        <v>0</v>
      </c>
      <c r="U161" s="46">
        <f>T161</f>
        <v>0</v>
      </c>
      <c r="V161" s="46">
        <f>U161</f>
        <v>0</v>
      </c>
    </row>
    <row r="162" spans="1:25" ht="64.5" customHeight="1">
      <c r="A162" s="194" t="s">
        <v>250</v>
      </c>
      <c r="B162" s="199" t="s">
        <v>28</v>
      </c>
      <c r="C162" s="127" t="s">
        <v>219</v>
      </c>
      <c r="D162" s="86" t="s">
        <v>20</v>
      </c>
      <c r="E162" s="231">
        <f>E154+E153+E152</f>
        <v>139</v>
      </c>
      <c r="F162" s="231">
        <f>F154+F153+F152</f>
        <v>139</v>
      </c>
      <c r="G162" s="220">
        <f t="shared" ref="G162" si="68">(E162*8+F162*4)/12</f>
        <v>139</v>
      </c>
      <c r="H162" s="220">
        <f>H154+H153+H152</f>
        <v>139</v>
      </c>
      <c r="I162" s="220">
        <f>I154+I153+I152</f>
        <v>139</v>
      </c>
      <c r="J162" s="46" t="s">
        <v>23</v>
      </c>
      <c r="K162" s="46"/>
      <c r="L162" s="46">
        <v>9670.65</v>
      </c>
      <c r="M162" s="46">
        <f t="shared" si="60"/>
        <v>9670.65</v>
      </c>
      <c r="N162" s="240">
        <f t="shared" si="64"/>
        <v>0</v>
      </c>
      <c r="O162" s="240">
        <f t="shared" ref="O162" si="69">G162*K162</f>
        <v>0</v>
      </c>
      <c r="P162" s="240"/>
      <c r="Q162" s="46">
        <f>G162*L162-0.48</f>
        <v>1344219.8699999999</v>
      </c>
      <c r="R162" s="46"/>
      <c r="S162" s="46"/>
      <c r="T162" s="46">
        <f t="shared" si="3"/>
        <v>1344219.8699999999</v>
      </c>
      <c r="U162" s="46">
        <f t="shared" si="66"/>
        <v>1344219.8699999999</v>
      </c>
      <c r="V162" s="46">
        <f t="shared" si="66"/>
        <v>1344219.8699999999</v>
      </c>
    </row>
    <row r="163" spans="1:25" ht="14.25" customHeight="1">
      <c r="A163" s="86"/>
      <c r="B163" s="199" t="s">
        <v>28</v>
      </c>
      <c r="C163" s="127" t="s">
        <v>220</v>
      </c>
      <c r="D163" s="86"/>
      <c r="E163" s="87"/>
      <c r="F163" s="87"/>
      <c r="G163" s="220">
        <v>137</v>
      </c>
      <c r="H163" s="220">
        <v>137</v>
      </c>
      <c r="I163" s="220">
        <v>137</v>
      </c>
      <c r="J163" s="46"/>
      <c r="K163" s="46"/>
      <c r="L163" s="46">
        <v>12750.1</v>
      </c>
      <c r="M163" s="46">
        <f t="shared" si="60"/>
        <v>12750.1</v>
      </c>
      <c r="N163" s="240"/>
      <c r="O163" s="240"/>
      <c r="P163" s="240"/>
      <c r="Q163" s="46"/>
      <c r="R163" s="46"/>
      <c r="S163" s="46">
        <f>L163*G163</f>
        <v>1746763.7</v>
      </c>
      <c r="T163" s="46">
        <f>S163</f>
        <v>1746763.7</v>
      </c>
      <c r="U163" s="46">
        <f>S163</f>
        <v>1746763.7</v>
      </c>
      <c r="V163" s="46">
        <f>S163</f>
        <v>1746763.7</v>
      </c>
    </row>
    <row r="164" spans="1:25" s="96" customFormat="1">
      <c r="A164" s="189" t="s">
        <v>71</v>
      </c>
      <c r="B164" s="94"/>
      <c r="C164" s="94"/>
      <c r="D164" s="94"/>
      <c r="E164" s="92"/>
      <c r="F164" s="92"/>
      <c r="G164" s="265"/>
      <c r="H164" s="265"/>
      <c r="I164" s="265"/>
      <c r="J164" s="222"/>
      <c r="K164" s="222"/>
      <c r="L164" s="222"/>
      <c r="M164" s="46">
        <f t="shared" si="60"/>
        <v>0</v>
      </c>
      <c r="N164" s="222">
        <f>N165+N175</f>
        <v>14950409.004859921</v>
      </c>
      <c r="O164" s="222">
        <f>O165+O175</f>
        <v>5360922.9974622</v>
      </c>
      <c r="P164" s="241">
        <f>P165</f>
        <v>1083079</v>
      </c>
      <c r="Q164" s="222">
        <f>Q165+Q175+Q172</f>
        <v>7008700</v>
      </c>
      <c r="R164" s="222">
        <f>R165+R170</f>
        <v>5520700</v>
      </c>
      <c r="S164" s="222">
        <f>S176</f>
        <v>3034523.8000000003</v>
      </c>
      <c r="T164" s="222">
        <f>T165+T175+T176</f>
        <v>36958334.802322119</v>
      </c>
      <c r="U164" s="222">
        <f t="shared" ref="U164:V164" si="70">U165+U175+U176</f>
        <v>36521934.802322119</v>
      </c>
      <c r="V164" s="222">
        <f t="shared" si="70"/>
        <v>36521934.802322119</v>
      </c>
      <c r="W164" s="96">
        <v>7690295.2300000004</v>
      </c>
      <c r="X164" s="197">
        <f>W164-Q164</f>
        <v>681595.23000000045</v>
      </c>
      <c r="Y164" s="96">
        <f>X164/I175</f>
        <v>2782.0213469387772</v>
      </c>
    </row>
    <row r="165" spans="1:25" ht="85.5" customHeight="1">
      <c r="A165" s="194" t="s">
        <v>249</v>
      </c>
      <c r="B165" s="84" t="s">
        <v>76</v>
      </c>
      <c r="C165" s="128"/>
      <c r="D165" s="95"/>
      <c r="E165" s="68"/>
      <c r="F165" s="68"/>
      <c r="G165" s="264"/>
      <c r="H165" s="264"/>
      <c r="I165" s="264"/>
      <c r="J165" s="46"/>
      <c r="K165" s="46"/>
      <c r="L165" s="46"/>
      <c r="M165" s="46">
        <f t="shared" si="60"/>
        <v>0</v>
      </c>
      <c r="N165" s="46">
        <f>SUM(N166:N173)</f>
        <v>14950409.004859921</v>
      </c>
      <c r="O165" s="46">
        <f>SUM(O166:O174)</f>
        <v>5360922.9974622</v>
      </c>
      <c r="P165" s="240">
        <f>P169</f>
        <v>1083079</v>
      </c>
      <c r="Q165" s="46">
        <f>SUM(Q166:Q167)</f>
        <v>4639390.8499999996</v>
      </c>
      <c r="R165" s="46">
        <f>R168</f>
        <v>5084300</v>
      </c>
      <c r="S165" s="46"/>
      <c r="T165" s="46">
        <f>SUM(T166:T174)</f>
        <v>31554501.85232212</v>
      </c>
      <c r="U165" s="46">
        <f t="shared" ref="U165:V165" si="71">SUM(U166:U174)</f>
        <v>31118101.85232212</v>
      </c>
      <c r="V165" s="46">
        <f t="shared" si="71"/>
        <v>31118101.85232212</v>
      </c>
    </row>
    <row r="166" spans="1:25" ht="96.6">
      <c r="A166" s="83"/>
      <c r="B166" s="97" t="s">
        <v>279</v>
      </c>
      <c r="C166" s="93" t="s">
        <v>287</v>
      </c>
      <c r="D166" s="199" t="s">
        <v>20</v>
      </c>
      <c r="E166" s="231">
        <v>42</v>
      </c>
      <c r="F166" s="231">
        <v>42</v>
      </c>
      <c r="G166" s="220">
        <v>42</v>
      </c>
      <c r="H166" s="220">
        <v>42</v>
      </c>
      <c r="I166" s="220">
        <v>42</v>
      </c>
      <c r="J166" s="46">
        <v>43138.04</v>
      </c>
      <c r="K166" s="46">
        <v>21881.31578556</v>
      </c>
      <c r="L166" s="46">
        <v>18936.29</v>
      </c>
      <c r="M166" s="46">
        <f t="shared" si="60"/>
        <v>83955.645785560002</v>
      </c>
      <c r="N166" s="46">
        <f>G166*J166</f>
        <v>1811797.68</v>
      </c>
      <c r="O166" s="46">
        <f>G166*K166</f>
        <v>919015.26299352001</v>
      </c>
      <c r="P166" s="240"/>
      <c r="Q166" s="46">
        <f>G166*L166</f>
        <v>795324.18</v>
      </c>
      <c r="R166" s="46"/>
      <c r="S166" s="46"/>
      <c r="T166" s="46">
        <f t="shared" ref="T166:T175" si="72">SUM(N166:Q166)</f>
        <v>3526137.12299352</v>
      </c>
      <c r="U166" s="46">
        <f t="shared" ref="U166" si="73">H166*M166</f>
        <v>3526137.12299352</v>
      </c>
      <c r="V166" s="46">
        <f t="shared" ref="V166" si="74">I166*M166</f>
        <v>3526137.12299352</v>
      </c>
    </row>
    <row r="167" spans="1:25" ht="138.75" customHeight="1">
      <c r="A167" s="88"/>
      <c r="B167" s="97" t="s">
        <v>277</v>
      </c>
      <c r="C167" s="93" t="s">
        <v>289</v>
      </c>
      <c r="D167" s="199" t="s">
        <v>20</v>
      </c>
      <c r="E167" s="231">
        <v>203</v>
      </c>
      <c r="F167" s="231">
        <v>203</v>
      </c>
      <c r="G167" s="220">
        <v>203</v>
      </c>
      <c r="H167" s="220">
        <v>203</v>
      </c>
      <c r="I167" s="220">
        <v>203</v>
      </c>
      <c r="J167" s="263">
        <v>64585.825591182365</v>
      </c>
      <c r="K167" s="46">
        <v>21881.31578556</v>
      </c>
      <c r="L167" s="46">
        <v>18936.29</v>
      </c>
      <c r="M167" s="46">
        <f t="shared" si="60"/>
        <v>105403.43137674237</v>
      </c>
      <c r="N167" s="46">
        <f>G167*J167</f>
        <v>13110922.59501002</v>
      </c>
      <c r="O167" s="46">
        <f>G167*K167+0.63</f>
        <v>4441907.7344686799</v>
      </c>
      <c r="P167" s="240"/>
      <c r="Q167" s="46">
        <f>G167*L167-0.2</f>
        <v>3844066.67</v>
      </c>
      <c r="R167" s="46"/>
      <c r="S167" s="46"/>
      <c r="T167" s="46">
        <f t="shared" si="72"/>
        <v>21396896.999478698</v>
      </c>
      <c r="U167" s="46">
        <f>T167</f>
        <v>21396896.999478698</v>
      </c>
      <c r="V167" s="46">
        <f>U167</f>
        <v>21396896.999478698</v>
      </c>
    </row>
    <row r="168" spans="1:25" s="204" customFormat="1">
      <c r="A168" s="49"/>
      <c r="B168" s="233" t="s">
        <v>225</v>
      </c>
      <c r="C168" s="219" t="s">
        <v>219</v>
      </c>
      <c r="D168" s="228" t="s">
        <v>20</v>
      </c>
      <c r="E168" s="239">
        <v>27</v>
      </c>
      <c r="F168" s="239">
        <v>27</v>
      </c>
      <c r="G168" s="220">
        <v>27</v>
      </c>
      <c r="H168" s="220">
        <v>27</v>
      </c>
      <c r="I168" s="220">
        <v>27</v>
      </c>
      <c r="J168" s="46"/>
      <c r="K168" s="46"/>
      <c r="L168" s="46"/>
      <c r="M168" s="46">
        <f t="shared" si="60"/>
        <v>0</v>
      </c>
      <c r="N168" s="240"/>
      <c r="O168" s="240"/>
      <c r="P168" s="240"/>
      <c r="Q168" s="46"/>
      <c r="R168" s="46">
        <v>5084300</v>
      </c>
      <c r="S168" s="46"/>
      <c r="T168" s="46">
        <f>R168</f>
        <v>5084300</v>
      </c>
      <c r="U168" s="46">
        <f>R168</f>
        <v>5084300</v>
      </c>
      <c r="V168" s="46">
        <f>R168</f>
        <v>5084300</v>
      </c>
    </row>
    <row r="169" spans="1:25" s="204" customFormat="1">
      <c r="A169" s="49"/>
      <c r="B169" s="233" t="s">
        <v>225</v>
      </c>
      <c r="C169" s="219" t="s">
        <v>226</v>
      </c>
      <c r="D169" s="228" t="s">
        <v>20</v>
      </c>
      <c r="E169" s="231">
        <v>15</v>
      </c>
      <c r="F169" s="231">
        <v>15</v>
      </c>
      <c r="G169" s="220">
        <v>15</v>
      </c>
      <c r="H169" s="220">
        <v>15</v>
      </c>
      <c r="I169" s="220">
        <v>15</v>
      </c>
      <c r="J169" s="46"/>
      <c r="K169" s="46"/>
      <c r="L169" s="46"/>
      <c r="M169" s="46">
        <f t="shared" si="60"/>
        <v>0</v>
      </c>
      <c r="N169" s="240"/>
      <c r="O169" s="240"/>
      <c r="P169" s="240">
        <v>1083079</v>
      </c>
      <c r="Q169" s="46"/>
      <c r="R169" s="46"/>
      <c r="S169" s="46"/>
      <c r="T169" s="46">
        <f>P169</f>
        <v>1083079</v>
      </c>
      <c r="U169" s="46">
        <f>P169</f>
        <v>1083079</v>
      </c>
      <c r="V169" s="46">
        <f>P169</f>
        <v>1083079</v>
      </c>
    </row>
    <row r="170" spans="1:25" s="204" customFormat="1" ht="27.6">
      <c r="A170" s="50"/>
      <c r="B170" s="84" t="s">
        <v>299</v>
      </c>
      <c r="C170" s="219" t="s">
        <v>219</v>
      </c>
      <c r="D170" s="250" t="s">
        <v>20</v>
      </c>
      <c r="E170" s="220"/>
      <c r="F170" s="220"/>
      <c r="G170" s="220">
        <v>27</v>
      </c>
      <c r="H170" s="220">
        <v>27</v>
      </c>
      <c r="I170" s="220">
        <v>27</v>
      </c>
      <c r="J170" s="46"/>
      <c r="K170" s="46"/>
      <c r="L170" s="46"/>
      <c r="M170" s="46">
        <f t="shared" si="60"/>
        <v>0</v>
      </c>
      <c r="N170" s="240"/>
      <c r="O170" s="240"/>
      <c r="P170" s="240"/>
      <c r="Q170" s="46"/>
      <c r="R170" s="46">
        <v>436400</v>
      </c>
      <c r="S170" s="46"/>
      <c r="T170" s="46">
        <f>R170</f>
        <v>436400</v>
      </c>
      <c r="U170" s="46"/>
      <c r="V170" s="46"/>
    </row>
    <row r="171" spans="1:25" s="204" customFormat="1">
      <c r="A171" s="50"/>
      <c r="B171" s="233" t="s">
        <v>267</v>
      </c>
      <c r="C171" s="219" t="s">
        <v>226</v>
      </c>
      <c r="D171" s="45"/>
      <c r="E171" s="220"/>
      <c r="F171" s="220"/>
      <c r="G171" s="220"/>
      <c r="H171" s="220"/>
      <c r="I171" s="220"/>
      <c r="J171" s="46"/>
      <c r="K171" s="46"/>
      <c r="L171" s="46"/>
      <c r="M171" s="46">
        <f t="shared" si="60"/>
        <v>0</v>
      </c>
      <c r="N171" s="46">
        <v>27688.729849900606</v>
      </c>
      <c r="O171" s="240"/>
      <c r="P171" s="240"/>
      <c r="Q171" s="46"/>
      <c r="R171" s="46"/>
      <c r="S171" s="46"/>
      <c r="T171" s="46">
        <f>N171</f>
        <v>27688.729849900606</v>
      </c>
      <c r="U171" s="46">
        <f t="shared" ref="U171:V172" si="75">T171</f>
        <v>27688.729849900606</v>
      </c>
      <c r="V171" s="46">
        <f t="shared" si="75"/>
        <v>27688.729849900606</v>
      </c>
    </row>
    <row r="172" spans="1:25" s="204" customFormat="1" hidden="1">
      <c r="A172" s="49"/>
      <c r="B172" s="233" t="s">
        <v>266</v>
      </c>
      <c r="C172" s="219" t="s">
        <v>219</v>
      </c>
      <c r="D172" s="50"/>
      <c r="E172" s="220"/>
      <c r="F172" s="220"/>
      <c r="G172" s="220"/>
      <c r="H172" s="220"/>
      <c r="I172" s="220"/>
      <c r="J172" s="46"/>
      <c r="K172" s="46"/>
      <c r="L172" s="46"/>
      <c r="M172" s="46">
        <f t="shared" si="60"/>
        <v>0</v>
      </c>
      <c r="N172" s="240"/>
      <c r="O172" s="240"/>
      <c r="P172" s="240"/>
      <c r="Q172" s="46"/>
      <c r="R172" s="46"/>
      <c r="S172" s="46"/>
      <c r="T172" s="46">
        <f>Q172</f>
        <v>0</v>
      </c>
      <c r="U172" s="46">
        <f t="shared" si="75"/>
        <v>0</v>
      </c>
      <c r="V172" s="46">
        <f t="shared" si="75"/>
        <v>0</v>
      </c>
    </row>
    <row r="173" spans="1:25" ht="43.5" hidden="1" customHeight="1">
      <c r="A173" s="88"/>
      <c r="B173" s="128" t="s">
        <v>258</v>
      </c>
      <c r="C173" s="127" t="s">
        <v>226</v>
      </c>
      <c r="D173" s="199"/>
      <c r="E173" s="87"/>
      <c r="F173" s="87"/>
      <c r="G173" s="220"/>
      <c r="H173" s="220"/>
      <c r="I173" s="220"/>
      <c r="J173" s="46"/>
      <c r="K173" s="46"/>
      <c r="L173" s="46"/>
      <c r="M173" s="46">
        <f t="shared" si="60"/>
        <v>0</v>
      </c>
      <c r="N173" s="240"/>
      <c r="O173" s="240"/>
      <c r="P173" s="240"/>
      <c r="Q173" s="46"/>
      <c r="R173" s="46"/>
      <c r="S173" s="46"/>
      <c r="T173" s="46">
        <f>N173</f>
        <v>0</v>
      </c>
      <c r="U173" s="46">
        <f>T173</f>
        <v>0</v>
      </c>
      <c r="V173" s="46">
        <f>U173</f>
        <v>0</v>
      </c>
    </row>
    <row r="174" spans="1:25" ht="18.75" hidden="1" customHeight="1">
      <c r="A174" s="88"/>
      <c r="B174" s="128" t="s">
        <v>261</v>
      </c>
      <c r="C174" s="127"/>
      <c r="D174" s="214"/>
      <c r="E174" s="87"/>
      <c r="F174" s="87"/>
      <c r="G174" s="220"/>
      <c r="H174" s="220"/>
      <c r="I174" s="220"/>
      <c r="J174" s="46"/>
      <c r="K174" s="46"/>
      <c r="L174" s="46"/>
      <c r="M174" s="46">
        <f t="shared" si="60"/>
        <v>0</v>
      </c>
      <c r="N174" s="240"/>
      <c r="O174" s="240"/>
      <c r="P174" s="240"/>
      <c r="Q174" s="46"/>
      <c r="R174" s="46"/>
      <c r="S174" s="46"/>
      <c r="T174" s="46">
        <f>O174</f>
        <v>0</v>
      </c>
      <c r="U174" s="46">
        <f>T174</f>
        <v>0</v>
      </c>
      <c r="V174" s="46">
        <f>U174</f>
        <v>0</v>
      </c>
    </row>
    <row r="175" spans="1:25" ht="62.25" customHeight="1">
      <c r="A175" s="194" t="s">
        <v>250</v>
      </c>
      <c r="B175" s="199" t="s">
        <v>28</v>
      </c>
      <c r="C175" s="127" t="s">
        <v>219</v>
      </c>
      <c r="D175" s="86" t="s">
        <v>20</v>
      </c>
      <c r="E175" s="231">
        <v>245</v>
      </c>
      <c r="F175" s="231">
        <v>245</v>
      </c>
      <c r="G175" s="220">
        <v>245</v>
      </c>
      <c r="H175" s="220">
        <v>245</v>
      </c>
      <c r="I175" s="220">
        <v>245</v>
      </c>
      <c r="J175" s="46" t="s">
        <v>23</v>
      </c>
      <c r="K175" s="46"/>
      <c r="L175" s="46">
        <v>9670.65</v>
      </c>
      <c r="M175" s="46">
        <f t="shared" si="60"/>
        <v>9670.65</v>
      </c>
      <c r="N175" s="240">
        <f t="shared" ref="N175" si="76">G175*J175</f>
        <v>0</v>
      </c>
      <c r="O175" s="240">
        <f t="shared" ref="O175" si="77">G175*K175</f>
        <v>0</v>
      </c>
      <c r="P175" s="240"/>
      <c r="Q175" s="46">
        <f>G175*L175-0.1</f>
        <v>2369309.15</v>
      </c>
      <c r="R175" s="46"/>
      <c r="S175" s="46"/>
      <c r="T175" s="46">
        <f t="shared" si="72"/>
        <v>2369309.15</v>
      </c>
      <c r="U175" s="46">
        <f>H175*M175-0.1</f>
        <v>2369309.15</v>
      </c>
      <c r="V175" s="46">
        <f>U175</f>
        <v>2369309.15</v>
      </c>
    </row>
    <row r="176" spans="1:25">
      <c r="A176" s="86"/>
      <c r="B176" s="199" t="s">
        <v>28</v>
      </c>
      <c r="C176" s="127" t="s">
        <v>220</v>
      </c>
      <c r="D176" s="86"/>
      <c r="E176" s="87"/>
      <c r="F176" s="87"/>
      <c r="G176" s="220">
        <v>238</v>
      </c>
      <c r="H176" s="220">
        <v>238</v>
      </c>
      <c r="I176" s="220">
        <v>238</v>
      </c>
      <c r="J176" s="46"/>
      <c r="K176" s="46"/>
      <c r="L176" s="46">
        <v>12750.1</v>
      </c>
      <c r="M176" s="46">
        <f t="shared" si="60"/>
        <v>12750.1</v>
      </c>
      <c r="N176" s="240"/>
      <c r="O176" s="240"/>
      <c r="P176" s="240"/>
      <c r="Q176" s="46"/>
      <c r="R176" s="46"/>
      <c r="S176" s="46">
        <f>L176*G176</f>
        <v>3034523.8000000003</v>
      </c>
      <c r="T176" s="46">
        <f>S176</f>
        <v>3034523.8000000003</v>
      </c>
      <c r="U176" s="46">
        <f>S176</f>
        <v>3034523.8000000003</v>
      </c>
      <c r="V176" s="46">
        <f>S176</f>
        <v>3034523.8000000003</v>
      </c>
    </row>
    <row r="177" spans="1:22">
      <c r="A177" s="311" t="s">
        <v>233</v>
      </c>
      <c r="B177" s="312"/>
      <c r="C177" s="312"/>
      <c r="D177" s="312"/>
      <c r="E177" s="312"/>
      <c r="F177" s="312"/>
      <c r="G177" s="312"/>
      <c r="H177" s="312"/>
      <c r="I177" s="312"/>
      <c r="J177" s="312"/>
      <c r="K177" s="312"/>
      <c r="L177" s="312"/>
      <c r="M177" s="313"/>
      <c r="N177" s="266">
        <f>N14+N27+N38+N52+N66+N80+N94+N108+N123+N138+N150+N164-0.01</f>
        <v>104931600</v>
      </c>
      <c r="O177" s="223">
        <f t="shared" ref="O177:R177" si="78">O14+O27+O38+O52+O66+O80+O94+O108+O123+O138+O150+O164</f>
        <v>38379826.997872241</v>
      </c>
      <c r="P177" s="270">
        <f>P14+P27+P38+P52+P66+P80+P94+P108+P123+P138+P150+P164+2</f>
        <v>9464373.0068832021</v>
      </c>
      <c r="Q177" s="223">
        <f>Q14+Q27+Q38+Q52+Q66+Q80+Q94+Q108+Q123+Q138+Q150+Q164+1.02-2</f>
        <v>52267000.080000006</v>
      </c>
      <c r="R177" s="223">
        <f t="shared" si="78"/>
        <v>39387400</v>
      </c>
      <c r="S177" s="223">
        <f>S14+S27+S38+S52+S66+S80+S94+S108+S123+S138+S150+S164</f>
        <v>21968422.300000004</v>
      </c>
      <c r="T177" s="223">
        <f>T14+T27+T38+T52+T66+T80+T94+T108+T123+T138+T150+T164+1</f>
        <v>266398622.38475543</v>
      </c>
      <c r="U177" s="223">
        <f>U14+U27+U38+U52+U66+U80+U94+U108+U123+U138+U150+U164</f>
        <v>263345622.38475543</v>
      </c>
      <c r="V177" s="223">
        <f>V14+V27+V38+V52+V66+V80+V94+V108+V123+V138+V150+V164</f>
        <v>263345622.38475543</v>
      </c>
    </row>
    <row r="178" spans="1:22">
      <c r="A178" s="80" t="s">
        <v>298</v>
      </c>
      <c r="C178" s="186"/>
      <c r="D178" s="186"/>
      <c r="E178" s="186"/>
      <c r="F178" s="186"/>
      <c r="G178" s="224"/>
      <c r="H178" s="224"/>
      <c r="I178" s="224"/>
      <c r="J178" s="224"/>
      <c r="K178" s="224"/>
      <c r="L178" s="224"/>
      <c r="M178" s="224"/>
      <c r="N178" s="217"/>
      <c r="O178" s="217"/>
      <c r="P178" s="217"/>
      <c r="Q178" s="217"/>
      <c r="R178" s="217"/>
      <c r="S178" s="224"/>
      <c r="T178" s="224"/>
      <c r="U178" s="224"/>
      <c r="V178" s="224"/>
    </row>
    <row r="179" spans="1:22">
      <c r="A179" s="80" t="s">
        <v>178</v>
      </c>
      <c r="P179" s="211"/>
    </row>
    <row r="180" spans="1:22">
      <c r="T180" s="225"/>
    </row>
    <row r="182" spans="1:22">
      <c r="N182" s="211"/>
      <c r="O182" s="211"/>
      <c r="Q182" s="211"/>
      <c r="R182" s="211"/>
    </row>
    <row r="183" spans="1:22">
      <c r="T183" s="211"/>
    </row>
    <row r="184" spans="1:22">
      <c r="Q184" s="211"/>
    </row>
    <row r="185" spans="1:22">
      <c r="Q185" s="211"/>
    </row>
  </sheetData>
  <mergeCells count="13">
    <mergeCell ref="C152:C153"/>
    <mergeCell ref="A177:M177"/>
    <mergeCell ref="A7:V7"/>
    <mergeCell ref="J10:M10"/>
    <mergeCell ref="N10:V10"/>
    <mergeCell ref="E11:G11"/>
    <mergeCell ref="N11:T11"/>
    <mergeCell ref="N12:T12"/>
    <mergeCell ref="C68:C69"/>
    <mergeCell ref="C16:C18"/>
    <mergeCell ref="C54:C55"/>
    <mergeCell ref="C82:C83"/>
    <mergeCell ref="C96:C97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V33"/>
  <sheetViews>
    <sheetView topLeftCell="A3" workbookViewId="0">
      <pane xSplit="24228" topLeftCell="J1"/>
      <selection activeCell="N18" sqref="N18:O18"/>
      <selection pane="topRight" activeCell="J8" sqref="J1:J1048576"/>
    </sheetView>
  </sheetViews>
  <sheetFormatPr defaultColWidth="9.109375" defaultRowHeight="13.8"/>
  <cols>
    <col min="1" max="1" width="19.44140625" style="186" customWidth="1"/>
    <col min="2" max="2" width="26.33203125" style="186" customWidth="1"/>
    <col min="3" max="3" width="16.88671875" style="186" customWidth="1"/>
    <col min="4" max="4" width="12.21875" style="186" customWidth="1"/>
    <col min="5" max="5" width="18.33203125" style="186" hidden="1" customWidth="1"/>
    <col min="6" max="6" width="13.33203125" style="186" hidden="1" customWidth="1"/>
    <col min="7" max="7" width="14" style="186" customWidth="1"/>
    <col min="8" max="9" width="12.6640625" style="186" customWidth="1"/>
    <col min="10" max="10" width="17.33203125" style="186" customWidth="1"/>
    <col min="11" max="11" width="16" style="186" customWidth="1"/>
    <col min="12" max="12" width="21.33203125" style="186" customWidth="1"/>
    <col min="13" max="13" width="13.5546875" style="186" customWidth="1"/>
    <col min="14" max="14" width="16.6640625" style="186" customWidth="1"/>
    <col min="15" max="16" width="15.44140625" style="186" customWidth="1"/>
    <col min="17" max="19" width="14.6640625" style="186" customWidth="1"/>
    <col min="20" max="20" width="14.33203125" style="186" customWidth="1"/>
    <col min="21" max="21" width="14.109375" style="186" customWidth="1"/>
    <col min="22" max="22" width="14.88671875" style="186" bestFit="1" customWidth="1"/>
    <col min="23" max="23" width="15.33203125" style="186" customWidth="1"/>
    <col min="24" max="24" width="13.5546875" style="186" bestFit="1" customWidth="1"/>
    <col min="25" max="25" width="9.44140625" style="186" bestFit="1" customWidth="1"/>
    <col min="26" max="16384" width="9.109375" style="186"/>
  </cols>
  <sheetData>
    <row r="1" spans="1:22" hidden="1">
      <c r="K1" s="117" t="s">
        <v>314</v>
      </c>
      <c r="T1" s="117"/>
    </row>
    <row r="2" spans="1:22" hidden="1">
      <c r="K2" s="209" t="s">
        <v>315</v>
      </c>
      <c r="L2" s="224"/>
      <c r="T2" s="117"/>
    </row>
    <row r="3" spans="1:22">
      <c r="K3" s="117" t="s">
        <v>175</v>
      </c>
      <c r="T3" s="117"/>
    </row>
    <row r="4" spans="1:22">
      <c r="K4" s="117" t="s">
        <v>320</v>
      </c>
      <c r="T4" s="117"/>
    </row>
    <row r="5" spans="1:22">
      <c r="A5" s="287" t="s">
        <v>207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2">
      <c r="A6" s="247" t="s">
        <v>156</v>
      </c>
    </row>
    <row r="7" spans="1:22" ht="27.6">
      <c r="A7" s="243" t="s">
        <v>3</v>
      </c>
      <c r="B7" s="243" t="s">
        <v>81</v>
      </c>
      <c r="C7" s="243" t="s">
        <v>4</v>
      </c>
      <c r="D7" s="310" t="s">
        <v>5</v>
      </c>
      <c r="E7" s="310"/>
      <c r="F7" s="310"/>
      <c r="G7" s="310"/>
      <c r="H7" s="310"/>
      <c r="I7" s="291" t="s">
        <v>6</v>
      </c>
      <c r="J7" s="291" t="s">
        <v>7</v>
      </c>
      <c r="K7" s="291"/>
      <c r="L7" s="291"/>
    </row>
    <row r="8" spans="1:22" ht="27.6">
      <c r="A8" s="82"/>
      <c r="B8" s="82"/>
      <c r="C8" s="82"/>
      <c r="D8" s="246" t="s">
        <v>183</v>
      </c>
      <c r="E8" s="245" t="s">
        <v>208</v>
      </c>
      <c r="F8" s="243" t="s">
        <v>206</v>
      </c>
      <c r="G8" s="246" t="s">
        <v>205</v>
      </c>
      <c r="H8" s="246" t="s">
        <v>317</v>
      </c>
      <c r="I8" s="291"/>
      <c r="J8" s="246" t="s">
        <v>183</v>
      </c>
      <c r="K8" s="246" t="s">
        <v>205</v>
      </c>
      <c r="L8" s="246" t="s">
        <v>270</v>
      </c>
    </row>
    <row r="9" spans="1:22" ht="41.4">
      <c r="A9" s="83" t="s">
        <v>13</v>
      </c>
      <c r="B9" s="83" t="s">
        <v>14</v>
      </c>
      <c r="C9" s="243" t="s">
        <v>15</v>
      </c>
      <c r="D9" s="83" t="s">
        <v>16</v>
      </c>
      <c r="E9" s="83" t="s">
        <v>16</v>
      </c>
      <c r="F9" s="83" t="s">
        <v>16</v>
      </c>
      <c r="G9" s="83" t="s">
        <v>16</v>
      </c>
      <c r="H9" s="83" t="s">
        <v>16</v>
      </c>
      <c r="I9" s="243" t="s">
        <v>17</v>
      </c>
      <c r="J9" s="243" t="s">
        <v>17</v>
      </c>
      <c r="K9" s="243" t="s">
        <v>17</v>
      </c>
      <c r="L9" s="243" t="s">
        <v>17</v>
      </c>
    </row>
    <row r="10" spans="1:22" ht="82.95" customHeight="1">
      <c r="A10" s="106" t="s">
        <v>157</v>
      </c>
      <c r="B10" s="243" t="s">
        <v>243</v>
      </c>
      <c r="C10" s="82" t="s">
        <v>177</v>
      </c>
      <c r="D10" s="181">
        <v>42405</v>
      </c>
      <c r="E10" s="181">
        <v>42405</v>
      </c>
      <c r="F10" s="181">
        <v>42405</v>
      </c>
      <c r="G10" s="181">
        <v>42405</v>
      </c>
      <c r="H10" s="181">
        <v>42405</v>
      </c>
      <c r="I10" s="75">
        <f>129.06*90.5533%</f>
        <v>116.86808898</v>
      </c>
      <c r="J10" s="75">
        <f>I10*D10</f>
        <v>4955791.3131968994</v>
      </c>
      <c r="K10" s="75">
        <f>I10*G10</f>
        <v>4955791.3131968994</v>
      </c>
      <c r="L10" s="75">
        <f t="shared" ref="L10:L17" si="0">K10</f>
        <v>4955791.3131968994</v>
      </c>
      <c r="M10" s="248"/>
      <c r="N10" s="248"/>
    </row>
    <row r="11" spans="1:22" ht="89.4" customHeight="1">
      <c r="A11" s="106" t="s">
        <v>157</v>
      </c>
      <c r="B11" s="243" t="s">
        <v>244</v>
      </c>
      <c r="C11" s="82" t="s">
        <v>177</v>
      </c>
      <c r="D11" s="181">
        <v>13582</v>
      </c>
      <c r="E11" s="181">
        <v>13582</v>
      </c>
      <c r="F11" s="181">
        <v>13582</v>
      </c>
      <c r="G11" s="181">
        <v>13582</v>
      </c>
      <c r="H11" s="181">
        <v>13582</v>
      </c>
      <c r="I11" s="75">
        <f>173.09*90.5533%</f>
        <v>156.73870696999998</v>
      </c>
      <c r="J11" s="75">
        <f>I11*D11</f>
        <v>2128825.1180665395</v>
      </c>
      <c r="K11" s="75">
        <f t="shared" ref="K11:K17" si="1">J11</f>
        <v>2128825.1180665395</v>
      </c>
      <c r="L11" s="75">
        <f t="shared" si="0"/>
        <v>2128825.1180665395</v>
      </c>
      <c r="M11" s="248"/>
      <c r="N11" s="248"/>
    </row>
    <row r="12" spans="1:22" ht="104.4" customHeight="1">
      <c r="A12" s="106" t="s">
        <v>157</v>
      </c>
      <c r="B12" s="243" t="s">
        <v>245</v>
      </c>
      <c r="C12" s="82" t="s">
        <v>177</v>
      </c>
      <c r="D12" s="181">
        <v>6739</v>
      </c>
      <c r="E12" s="181">
        <v>6739</v>
      </c>
      <c r="F12" s="181">
        <v>6739</v>
      </c>
      <c r="G12" s="181">
        <v>6739</v>
      </c>
      <c r="H12" s="181">
        <v>6739</v>
      </c>
      <c r="I12" s="75">
        <f>169.6*90.5533%</f>
        <v>153.57839679999998</v>
      </c>
      <c r="J12" s="75">
        <f>I12*D12</f>
        <v>1034964.8160351999</v>
      </c>
      <c r="K12" s="75">
        <f t="shared" si="1"/>
        <v>1034964.8160351999</v>
      </c>
      <c r="L12" s="75">
        <f t="shared" si="0"/>
        <v>1034964.8160351999</v>
      </c>
      <c r="M12" s="248"/>
      <c r="N12" s="248"/>
    </row>
    <row r="13" spans="1:22" ht="89.4" customHeight="1">
      <c r="A13" s="106" t="s">
        <v>157</v>
      </c>
      <c r="B13" s="243" t="s">
        <v>246</v>
      </c>
      <c r="C13" s="82" t="s">
        <v>177</v>
      </c>
      <c r="D13" s="181">
        <v>13271</v>
      </c>
      <c r="E13" s="181">
        <v>13271</v>
      </c>
      <c r="F13" s="181">
        <v>13271</v>
      </c>
      <c r="G13" s="181">
        <v>13271</v>
      </c>
      <c r="H13" s="181">
        <v>13271</v>
      </c>
      <c r="I13" s="75">
        <f>227.19*90.5533%</f>
        <v>205.72804226999997</v>
      </c>
      <c r="J13" s="75">
        <f>I13*D13</f>
        <v>2730216.8489651699</v>
      </c>
      <c r="K13" s="75">
        <f t="shared" si="1"/>
        <v>2730216.8489651699</v>
      </c>
      <c r="L13" s="75">
        <f t="shared" si="0"/>
        <v>2730216.8489651699</v>
      </c>
      <c r="M13" s="248"/>
      <c r="N13" s="248"/>
    </row>
    <row r="14" spans="1:22" ht="94.2" customHeight="1">
      <c r="A14" s="106"/>
      <c r="B14" s="243" t="s">
        <v>247</v>
      </c>
      <c r="C14" s="82" t="s">
        <v>177</v>
      </c>
      <c r="D14" s="181">
        <v>49974</v>
      </c>
      <c r="E14" s="181">
        <v>49974</v>
      </c>
      <c r="F14" s="181">
        <v>49974</v>
      </c>
      <c r="G14" s="181">
        <v>49974</v>
      </c>
      <c r="H14" s="181">
        <v>49974</v>
      </c>
      <c r="I14" s="75">
        <f>170.168*90.5533%</f>
        <v>154.09273954399998</v>
      </c>
      <c r="J14" s="75">
        <f>I14*D14</f>
        <v>7700630.5659718551</v>
      </c>
      <c r="K14" s="75">
        <f t="shared" si="1"/>
        <v>7700630.5659718551</v>
      </c>
      <c r="L14" s="75">
        <f t="shared" si="0"/>
        <v>7700630.5659718551</v>
      </c>
      <c r="M14" s="248"/>
      <c r="N14" s="248"/>
      <c r="O14" s="248"/>
    </row>
    <row r="15" spans="1:22" ht="42.6" customHeight="1">
      <c r="A15" s="106" t="s">
        <v>252</v>
      </c>
      <c r="B15" s="243" t="s">
        <v>236</v>
      </c>
      <c r="C15" s="82"/>
      <c r="D15" s="181">
        <f>SUM(D10:D14)</f>
        <v>125971</v>
      </c>
      <c r="E15" s="181">
        <f t="shared" ref="E15:L15" si="2">SUM(E10:E14)</f>
        <v>125971</v>
      </c>
      <c r="F15" s="181">
        <f t="shared" si="2"/>
        <v>125971</v>
      </c>
      <c r="G15" s="181">
        <f t="shared" si="2"/>
        <v>125971</v>
      </c>
      <c r="H15" s="181">
        <f t="shared" si="2"/>
        <v>125971</v>
      </c>
      <c r="I15" s="75">
        <f>J15/H15</f>
        <v>147.2595173669786</v>
      </c>
      <c r="J15" s="75">
        <f>SUM(J10:J14)</f>
        <v>18550428.662235662</v>
      </c>
      <c r="K15" s="75">
        <f t="shared" si="2"/>
        <v>18550428.662235662</v>
      </c>
      <c r="L15" s="75">
        <f t="shared" si="2"/>
        <v>18550428.662235662</v>
      </c>
      <c r="M15" s="248"/>
      <c r="N15" s="248"/>
      <c r="O15" s="248"/>
    </row>
    <row r="16" spans="1:22" ht="54.6" customHeight="1">
      <c r="A16" s="106" t="s">
        <v>157</v>
      </c>
      <c r="B16" s="243" t="s">
        <v>251</v>
      </c>
      <c r="C16" s="82" t="s">
        <v>235</v>
      </c>
      <c r="D16" s="181">
        <v>1</v>
      </c>
      <c r="E16" s="181">
        <v>1</v>
      </c>
      <c r="F16" s="181">
        <v>1</v>
      </c>
      <c r="G16" s="181">
        <v>1</v>
      </c>
      <c r="H16" s="181">
        <v>1</v>
      </c>
      <c r="I16" s="75">
        <f>110286.73*90.5533%-0.69</f>
        <v>99867.583477089982</v>
      </c>
      <c r="J16" s="75">
        <f>D16*I16</f>
        <v>99867.583477089982</v>
      </c>
      <c r="K16" s="75">
        <f t="shared" si="1"/>
        <v>99867.583477089982</v>
      </c>
      <c r="L16" s="75">
        <f t="shared" si="0"/>
        <v>99867.583477089982</v>
      </c>
      <c r="M16" s="248"/>
      <c r="N16" s="248"/>
      <c r="P16" s="248"/>
    </row>
    <row r="17" spans="1:16" ht="48.6" customHeight="1">
      <c r="A17" s="106"/>
      <c r="B17" s="243" t="s">
        <v>248</v>
      </c>
      <c r="C17" s="82" t="s">
        <v>235</v>
      </c>
      <c r="D17" s="181">
        <v>2</v>
      </c>
      <c r="E17" s="181">
        <v>2</v>
      </c>
      <c r="F17" s="181">
        <v>2</v>
      </c>
      <c r="G17" s="181">
        <v>2</v>
      </c>
      <c r="H17" s="181">
        <v>2</v>
      </c>
      <c r="I17" s="75">
        <f>1551307.77*90.5533%</f>
        <v>1404760.3788914098</v>
      </c>
      <c r="J17" s="75">
        <f>D17*I17</f>
        <v>2809520.7577828197</v>
      </c>
      <c r="K17" s="75">
        <f t="shared" si="1"/>
        <v>2809520.7577828197</v>
      </c>
      <c r="L17" s="75">
        <f t="shared" si="0"/>
        <v>2809520.7577828197</v>
      </c>
      <c r="M17" s="248"/>
      <c r="N17" s="248"/>
      <c r="P17" s="248"/>
    </row>
    <row r="18" spans="1:16" ht="41.4" customHeight="1">
      <c r="A18" s="106" t="s">
        <v>253</v>
      </c>
      <c r="B18" s="243" t="s">
        <v>237</v>
      </c>
      <c r="C18" s="82"/>
      <c r="D18" s="193">
        <f>SUM(D16:D17)</f>
        <v>3</v>
      </c>
      <c r="E18" s="193">
        <f t="shared" ref="E18:H18" si="3">SUM(E16:E17)</f>
        <v>3</v>
      </c>
      <c r="F18" s="193">
        <f t="shared" si="3"/>
        <v>3</v>
      </c>
      <c r="G18" s="193">
        <f t="shared" si="3"/>
        <v>3</v>
      </c>
      <c r="H18" s="193">
        <f t="shared" si="3"/>
        <v>3</v>
      </c>
      <c r="I18" s="193">
        <f>J18/H18</f>
        <v>969796.1137533033</v>
      </c>
      <c r="J18" s="75">
        <f t="shared" ref="J18:L18" si="4">SUM(J16:J17)</f>
        <v>2909388.3412599098</v>
      </c>
      <c r="K18" s="75">
        <f t="shared" si="4"/>
        <v>2909388.3412599098</v>
      </c>
      <c r="L18" s="75">
        <f t="shared" si="4"/>
        <v>2909388.3412599098</v>
      </c>
      <c r="M18" s="248"/>
      <c r="N18" s="217"/>
      <c r="O18" s="224"/>
      <c r="P18" s="248"/>
    </row>
    <row r="19" spans="1:16" ht="22.8" customHeight="1">
      <c r="A19" s="106" t="s">
        <v>157</v>
      </c>
      <c r="B19" s="128" t="s">
        <v>318</v>
      </c>
      <c r="C19" s="180" t="s">
        <v>20</v>
      </c>
      <c r="D19" s="181">
        <v>28</v>
      </c>
      <c r="E19" s="181"/>
      <c r="F19" s="181"/>
      <c r="G19" s="181">
        <v>28</v>
      </c>
      <c r="H19" s="181">
        <v>28</v>
      </c>
      <c r="I19" s="75"/>
      <c r="J19" s="75">
        <v>913445</v>
      </c>
      <c r="K19" s="75"/>
      <c r="L19" s="75"/>
      <c r="M19" s="248"/>
      <c r="P19" s="248"/>
    </row>
    <row r="20" spans="1:16" ht="18" customHeight="1">
      <c r="A20" s="106"/>
      <c r="B20" s="182" t="s">
        <v>316</v>
      </c>
      <c r="C20" s="180" t="s">
        <v>20</v>
      </c>
      <c r="D20" s="181">
        <v>21</v>
      </c>
      <c r="E20" s="181"/>
      <c r="F20" s="181"/>
      <c r="G20" s="181">
        <v>21</v>
      </c>
      <c r="H20" s="181">
        <v>21</v>
      </c>
      <c r="I20" s="75"/>
      <c r="J20" s="75">
        <v>426810</v>
      </c>
      <c r="K20" s="75"/>
      <c r="L20" s="75"/>
      <c r="M20" s="248"/>
      <c r="P20" s="248"/>
    </row>
    <row r="21" spans="1:16">
      <c r="A21" s="180"/>
      <c r="B21" s="182" t="s">
        <v>229</v>
      </c>
      <c r="C21" s="180" t="s">
        <v>20</v>
      </c>
      <c r="D21" s="181">
        <v>21</v>
      </c>
      <c r="E21" s="181">
        <v>20</v>
      </c>
      <c r="F21" s="181">
        <v>20</v>
      </c>
      <c r="G21" s="181">
        <v>21</v>
      </c>
      <c r="H21" s="181">
        <v>21</v>
      </c>
      <c r="I21" s="75"/>
      <c r="J21" s="75">
        <v>4369039</v>
      </c>
      <c r="K21" s="75">
        <f>J21</f>
        <v>4369039</v>
      </c>
      <c r="L21" s="75">
        <f>K21</f>
        <v>4369039</v>
      </c>
      <c r="M21" s="248"/>
    </row>
    <row r="22" spans="1:16">
      <c r="A22" s="311" t="s">
        <v>231</v>
      </c>
      <c r="B22" s="312"/>
      <c r="C22" s="313"/>
      <c r="D22" s="181"/>
      <c r="E22" s="181"/>
      <c r="F22" s="181"/>
      <c r="G22" s="181"/>
      <c r="H22" s="181"/>
      <c r="I22" s="75"/>
      <c r="J22" s="78">
        <f>J15+J18+J19+J20+J21</f>
        <v>27169111.003495574</v>
      </c>
      <c r="K22" s="78">
        <f t="shared" ref="K22:L22" si="5">K15+K18+K19+K20+K21</f>
        <v>25828856.003495574</v>
      </c>
      <c r="L22" s="78">
        <f t="shared" si="5"/>
        <v>25828856.003495574</v>
      </c>
      <c r="M22" s="248"/>
      <c r="N22" s="248"/>
      <c r="O22" s="249"/>
    </row>
    <row r="23" spans="1:16" ht="82.8">
      <c r="A23" s="244" t="s">
        <v>160</v>
      </c>
      <c r="B23" s="243" t="s">
        <v>242</v>
      </c>
      <c r="C23" s="82" t="s">
        <v>177</v>
      </c>
      <c r="D23" s="181">
        <v>37082</v>
      </c>
      <c r="E23" s="181">
        <v>39042</v>
      </c>
      <c r="F23" s="181">
        <v>39042</v>
      </c>
      <c r="G23" s="181">
        <v>37082</v>
      </c>
      <c r="H23" s="181">
        <v>37082</v>
      </c>
      <c r="I23" s="75">
        <f>J23/H23</f>
        <v>96.636724017043306</v>
      </c>
      <c r="J23" s="75">
        <v>3583483</v>
      </c>
      <c r="K23" s="75">
        <f t="shared" ref="K23:L26" si="6">J23</f>
        <v>3583483</v>
      </c>
      <c r="L23" s="75">
        <f t="shared" si="6"/>
        <v>3583483</v>
      </c>
      <c r="M23" s="248"/>
      <c r="N23" s="248"/>
    </row>
    <row r="24" spans="1:16" ht="27.6">
      <c r="A24" s="246" t="s">
        <v>160</v>
      </c>
      <c r="B24" s="128" t="s">
        <v>318</v>
      </c>
      <c r="C24" s="180" t="s">
        <v>20</v>
      </c>
      <c r="D24" s="181">
        <v>6</v>
      </c>
      <c r="E24" s="181">
        <v>6</v>
      </c>
      <c r="F24" s="181">
        <v>6</v>
      </c>
      <c r="G24" s="181">
        <v>6</v>
      </c>
      <c r="H24" s="181">
        <v>6</v>
      </c>
      <c r="I24" s="75"/>
      <c r="J24" s="75">
        <v>195739</v>
      </c>
      <c r="K24" s="215"/>
      <c r="L24" s="215"/>
      <c r="M24" s="248"/>
      <c r="N24" s="248"/>
    </row>
    <row r="25" spans="1:16">
      <c r="A25" s="246"/>
      <c r="B25" s="182" t="s">
        <v>316</v>
      </c>
      <c r="C25" s="180" t="s">
        <v>20</v>
      </c>
      <c r="D25" s="180">
        <v>11</v>
      </c>
      <c r="E25" s="180">
        <v>11</v>
      </c>
      <c r="F25" s="180">
        <v>11</v>
      </c>
      <c r="G25" s="180">
        <v>11</v>
      </c>
      <c r="H25" s="180">
        <v>11</v>
      </c>
      <c r="I25" s="75"/>
      <c r="J25" s="75">
        <v>162590</v>
      </c>
      <c r="K25" s="215"/>
      <c r="L25" s="215"/>
      <c r="M25" s="248"/>
      <c r="N25" s="248"/>
    </row>
    <row r="26" spans="1:16">
      <c r="A26" s="180"/>
      <c r="B26" s="182" t="s">
        <v>229</v>
      </c>
      <c r="C26" s="180" t="s">
        <v>20</v>
      </c>
      <c r="D26" s="180">
        <v>11</v>
      </c>
      <c r="E26" s="180">
        <v>11</v>
      </c>
      <c r="F26" s="180">
        <v>11</v>
      </c>
      <c r="G26" s="180">
        <v>11</v>
      </c>
      <c r="H26" s="180">
        <v>11</v>
      </c>
      <c r="I26" s="180"/>
      <c r="J26" s="215">
        <v>1779661</v>
      </c>
      <c r="K26" s="215">
        <f t="shared" si="6"/>
        <v>1779661</v>
      </c>
      <c r="L26" s="215">
        <f t="shared" si="6"/>
        <v>1779661</v>
      </c>
      <c r="N26" s="248"/>
      <c r="P26" s="248"/>
    </row>
    <row r="27" spans="1:16">
      <c r="A27" s="311" t="s">
        <v>231</v>
      </c>
      <c r="B27" s="312"/>
      <c r="C27" s="313"/>
      <c r="D27" s="180"/>
      <c r="E27" s="180"/>
      <c r="F27" s="180"/>
      <c r="G27" s="180"/>
      <c r="H27" s="180"/>
      <c r="I27" s="180"/>
      <c r="J27" s="183">
        <f>J23+J24+J25+J26</f>
        <v>5721473</v>
      </c>
      <c r="K27" s="183">
        <f t="shared" ref="K27:L27" si="7">K23+K24+K25+K26</f>
        <v>5363144</v>
      </c>
      <c r="L27" s="183">
        <f t="shared" si="7"/>
        <v>5363144</v>
      </c>
    </row>
    <row r="28" spans="1:16">
      <c r="A28" s="311" t="s">
        <v>230</v>
      </c>
      <c r="B28" s="312"/>
      <c r="C28" s="313"/>
      <c r="D28" s="182"/>
      <c r="E28" s="182"/>
      <c r="F28" s="182"/>
      <c r="G28" s="182"/>
      <c r="H28" s="182"/>
      <c r="I28" s="182"/>
      <c r="J28" s="183">
        <f>J22+J27</f>
        <v>32890584.003495574</v>
      </c>
      <c r="K28" s="183">
        <f>K22+K27</f>
        <v>31192000.003495574</v>
      </c>
      <c r="L28" s="183">
        <f>L22+L27</f>
        <v>31192000.003495574</v>
      </c>
    </row>
    <row r="29" spans="1:16">
      <c r="J29" s="248"/>
    </row>
    <row r="30" spans="1:16">
      <c r="M30" s="252"/>
    </row>
    <row r="32" spans="1:16">
      <c r="A32" s="186" t="s">
        <v>234</v>
      </c>
    </row>
    <row r="33" spans="1:1">
      <c r="A33" s="186" t="s">
        <v>178</v>
      </c>
    </row>
  </sheetData>
  <mergeCells count="7">
    <mergeCell ref="A28:C28"/>
    <mergeCell ref="A5:L5"/>
    <mergeCell ref="D7:H7"/>
    <mergeCell ref="I7:I8"/>
    <mergeCell ref="J7:L7"/>
    <mergeCell ref="A22:C22"/>
    <mergeCell ref="A27:C27"/>
  </mergeCells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01.01.2016</vt:lpstr>
      <vt:lpstr>ОБЩИЙ</vt:lpstr>
      <vt:lpstr>ШКОЛЫ</vt:lpstr>
      <vt:lpstr>САДЫ</vt:lpstr>
      <vt:lpstr>ДОП ДДТ +ДЭБС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Студеникина</cp:lastModifiedBy>
  <cp:lastPrinted>2020-02-05T04:58:21Z</cp:lastPrinted>
  <dcterms:created xsi:type="dcterms:W3CDTF">2018-11-21T04:22:49Z</dcterms:created>
  <dcterms:modified xsi:type="dcterms:W3CDTF">2020-02-07T01:53:42Z</dcterms:modified>
</cp:coreProperties>
</file>