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570" windowWidth="15450" windowHeight="9690" tabRatio="598" firstSheet="2" activeTab="2"/>
  </bookViews>
  <sheets>
    <sheet name="01.01.2016" sheetId="1" state="hidden" r:id="rId1"/>
    <sheet name="ОБЩИЙ" sheetId="3" state="hidden" r:id="rId2"/>
    <sheet name="ШКОЛЫ" sheetId="4" r:id="rId3"/>
    <sheet name="САДЫ" sheetId="6" r:id="rId4"/>
    <sheet name="Лист1" sheetId="7" r:id="rId5"/>
    <sheet name="ДОП ДДТ +ДЭБС" sheetId="8" r:id="rId6"/>
  </sheets>
  <calcPr calcId="145621"/>
</workbook>
</file>

<file path=xl/calcChain.xml><?xml version="1.0" encoding="utf-8"?>
<calcChain xmlns="http://schemas.openxmlformats.org/spreadsheetml/2006/main">
  <c r="T170" i="4" l="1"/>
  <c r="U171" i="6"/>
  <c r="V171" i="6"/>
  <c r="L170" i="6"/>
  <c r="V169" i="6"/>
  <c r="U146" i="6"/>
  <c r="V146" i="6" s="1"/>
  <c r="U21" i="6"/>
  <c r="V21" i="6" s="1"/>
  <c r="L169" i="6"/>
  <c r="R171" i="6"/>
  <c r="P172" i="6"/>
  <c r="U172" i="6" s="1"/>
  <c r="V172" i="6" s="1"/>
  <c r="P146" i="6"/>
  <c r="P133" i="6"/>
  <c r="U133" i="6" s="1"/>
  <c r="V133" i="6" s="1"/>
  <c r="P102" i="6"/>
  <c r="U102" i="6" s="1"/>
  <c r="V102" i="6" s="1"/>
  <c r="P88" i="6"/>
  <c r="U88" i="6" s="1"/>
  <c r="V88" i="6" s="1"/>
  <c r="P21" i="6"/>
  <c r="Q100" i="4"/>
  <c r="V100" i="4" s="1"/>
  <c r="Q70" i="4" l="1"/>
  <c r="V70" i="4" s="1"/>
  <c r="U138" i="6"/>
  <c r="V138" i="6" s="1"/>
  <c r="Q144" i="6"/>
  <c r="Q151" i="6"/>
  <c r="R15" i="6"/>
  <c r="R14" i="6" s="1"/>
  <c r="R111" i="6"/>
  <c r="R142" i="6"/>
  <c r="R168" i="6"/>
  <c r="R167" i="6" s="1"/>
  <c r="R154" i="6"/>
  <c r="R153" i="6" s="1"/>
  <c r="R141" i="6"/>
  <c r="R127" i="6"/>
  <c r="R126" i="6"/>
  <c r="R110" i="6"/>
  <c r="R96" i="6"/>
  <c r="R97" i="6"/>
  <c r="R82" i="6"/>
  <c r="R83" i="6"/>
  <c r="R68" i="6"/>
  <c r="R69" i="6"/>
  <c r="R55" i="6"/>
  <c r="R54" i="6" s="1"/>
  <c r="R39" i="6"/>
  <c r="R38" i="6" s="1"/>
  <c r="R28" i="6"/>
  <c r="R27" i="6" s="1"/>
  <c r="T138" i="6"/>
  <c r="Q34" i="6" l="1"/>
  <c r="Q29" i="6"/>
  <c r="Q28" i="6" s="1"/>
  <c r="N29" i="6"/>
  <c r="Q27" i="6" l="1"/>
  <c r="Q16" i="6"/>
  <c r="Q178" i="6"/>
  <c r="Q170" i="6"/>
  <c r="Q165" i="6"/>
  <c r="Q143" i="6"/>
  <c r="Q114" i="6"/>
  <c r="Q98" i="6"/>
  <c r="Q113" i="6"/>
  <c r="Q112" i="6"/>
  <c r="Q100" i="6"/>
  <c r="N86" i="6"/>
  <c r="N85" i="6"/>
  <c r="N84" i="6"/>
  <c r="Q86" i="6"/>
  <c r="Q41" i="6"/>
  <c r="Q42" i="6"/>
  <c r="Q52" i="6"/>
  <c r="Q111" i="6" l="1"/>
  <c r="S166" i="6"/>
  <c r="S152" i="6"/>
  <c r="S140" i="6"/>
  <c r="S125" i="6"/>
  <c r="S109" i="6"/>
  <c r="S95" i="6"/>
  <c r="S81" i="6"/>
  <c r="S67" i="6"/>
  <c r="S53" i="6"/>
  <c r="S35" i="6"/>
  <c r="K34" i="6" l="1"/>
  <c r="K18" i="6"/>
  <c r="O18" i="6" s="1"/>
  <c r="K170" i="6"/>
  <c r="O170" i="6" s="1"/>
  <c r="K169" i="6"/>
  <c r="O169" i="6" s="1"/>
  <c r="K157" i="6"/>
  <c r="O157" i="6" s="1"/>
  <c r="K156" i="6"/>
  <c r="O156" i="6" s="1"/>
  <c r="K155" i="6"/>
  <c r="O155" i="6" s="1"/>
  <c r="K144" i="6"/>
  <c r="O144" i="6" s="1"/>
  <c r="K143" i="6"/>
  <c r="O143" i="6" s="1"/>
  <c r="K131" i="6"/>
  <c r="K130" i="6"/>
  <c r="O130" i="6" s="1"/>
  <c r="K129" i="6"/>
  <c r="O129" i="6" s="1"/>
  <c r="K128" i="6"/>
  <c r="O128" i="6" s="1"/>
  <c r="K116" i="6"/>
  <c r="K114" i="6"/>
  <c r="O114" i="6" s="1"/>
  <c r="K113" i="6"/>
  <c r="O113" i="6" s="1"/>
  <c r="K112" i="6"/>
  <c r="O112" i="6" s="1"/>
  <c r="K100" i="6"/>
  <c r="O100" i="6" s="1"/>
  <c r="K99" i="6"/>
  <c r="O99" i="6" s="1"/>
  <c r="K98" i="6"/>
  <c r="O98" i="6" s="1"/>
  <c r="K86" i="6"/>
  <c r="O86" i="6" s="1"/>
  <c r="K85" i="6"/>
  <c r="O85" i="6" s="1"/>
  <c r="K84" i="6"/>
  <c r="O84" i="6" s="1"/>
  <c r="K73" i="6"/>
  <c r="K72" i="6"/>
  <c r="O72" i="6" s="1"/>
  <c r="K71" i="6"/>
  <c r="O71" i="6" s="1"/>
  <c r="K70" i="6"/>
  <c r="O70" i="6" s="1"/>
  <c r="K58" i="6"/>
  <c r="O58" i="6" s="1"/>
  <c r="K57" i="6"/>
  <c r="O57" i="6" s="1"/>
  <c r="K56" i="6"/>
  <c r="O56" i="6" s="1"/>
  <c r="K44" i="6"/>
  <c r="O44" i="6" s="1"/>
  <c r="K43" i="6"/>
  <c r="O43" i="6" s="1"/>
  <c r="K42" i="6"/>
  <c r="K41" i="6"/>
  <c r="K40" i="6"/>
  <c r="O40" i="6" s="1"/>
  <c r="K29" i="6"/>
  <c r="O29" i="6" s="1"/>
  <c r="T29" i="6" s="1"/>
  <c r="K19" i="6"/>
  <c r="O19" i="6" s="1"/>
  <c r="K17" i="6"/>
  <c r="O17" i="6" s="1"/>
  <c r="K16" i="6"/>
  <c r="O16" i="6" s="1"/>
  <c r="P15" i="6"/>
  <c r="N170" i="6"/>
  <c r="N169" i="6"/>
  <c r="N156" i="6"/>
  <c r="N157" i="6"/>
  <c r="N155" i="6"/>
  <c r="N143" i="6"/>
  <c r="N144" i="6"/>
  <c r="N129" i="6"/>
  <c r="N128" i="6"/>
  <c r="N131" i="6"/>
  <c r="N130" i="6"/>
  <c r="N113" i="6"/>
  <c r="N116" i="6"/>
  <c r="N114" i="6"/>
  <c r="N112" i="6"/>
  <c r="N100" i="6"/>
  <c r="N99" i="6"/>
  <c r="N98" i="6"/>
  <c r="N70" i="6"/>
  <c r="N71" i="6"/>
  <c r="N72" i="6"/>
  <c r="N58" i="6"/>
  <c r="N57" i="6"/>
  <c r="N56" i="6"/>
  <c r="N44" i="6"/>
  <c r="N40" i="6"/>
  <c r="N43" i="6"/>
  <c r="N42" i="6"/>
  <c r="N41" i="6"/>
  <c r="O15" i="6" l="1"/>
  <c r="O127" i="6"/>
  <c r="O28" i="6"/>
  <c r="T112" i="6"/>
  <c r="M112" i="6"/>
  <c r="O142" i="6"/>
  <c r="O168" i="6"/>
  <c r="M42" i="6"/>
  <c r="O42" i="6"/>
  <c r="T42" i="6" s="1"/>
  <c r="O83" i="6"/>
  <c r="O111" i="6"/>
  <c r="O154" i="6"/>
  <c r="M41" i="6"/>
  <c r="O41" i="6"/>
  <c r="T41" i="6" s="1"/>
  <c r="U41" i="6" s="1"/>
  <c r="V41" i="6" s="1"/>
  <c r="N127" i="6"/>
  <c r="N126" i="6" s="1"/>
  <c r="O39" i="6" l="1"/>
  <c r="U112" i="6"/>
  <c r="U42" i="6"/>
  <c r="V42" i="6" s="1"/>
  <c r="N18" i="6"/>
  <c r="N19" i="6"/>
  <c r="N17" i="6"/>
  <c r="N16" i="6"/>
  <c r="V112" i="6" l="1"/>
  <c r="O163" i="4"/>
  <c r="Q19" i="6"/>
  <c r="Q58" i="6" l="1"/>
  <c r="P55" i="6"/>
  <c r="M59" i="6"/>
  <c r="M60" i="6"/>
  <c r="M61" i="6"/>
  <c r="M54" i="6"/>
  <c r="O27" i="6"/>
  <c r="M32" i="6"/>
  <c r="N197" i="4" l="1"/>
  <c r="N198" i="4"/>
  <c r="N168" i="4"/>
  <c r="N169" i="4"/>
  <c r="N133" i="4"/>
  <c r="N134" i="4"/>
  <c r="N102" i="4"/>
  <c r="N101" i="4"/>
  <c r="S73" i="4" l="1"/>
  <c r="N42" i="4"/>
  <c r="N71" i="4"/>
  <c r="I16" i="8"/>
  <c r="I17" i="8"/>
  <c r="I14" i="8"/>
  <c r="I13" i="8"/>
  <c r="I12" i="8"/>
  <c r="I11" i="8"/>
  <c r="I10" i="8"/>
  <c r="J17" i="8"/>
  <c r="I23" i="8" l="1"/>
  <c r="T174" i="4" l="1"/>
  <c r="U174" i="4" s="1"/>
  <c r="N174" i="4"/>
  <c r="R177" i="4"/>
  <c r="R172" i="4"/>
  <c r="R173" i="4"/>
  <c r="R180" i="4"/>
  <c r="R181" i="4"/>
  <c r="R185" i="4"/>
  <c r="R188" i="4"/>
  <c r="R164" i="4"/>
  <c r="R35" i="4"/>
  <c r="O193" i="4" l="1"/>
  <c r="T173" i="6"/>
  <c r="S179" i="6"/>
  <c r="T160" i="6"/>
  <c r="Q157" i="6"/>
  <c r="T147" i="6"/>
  <c r="T134" i="6"/>
  <c r="T116" i="6"/>
  <c r="U116" i="6" s="1"/>
  <c r="V116" i="6" s="1"/>
  <c r="T119" i="6"/>
  <c r="Q124" i="6"/>
  <c r="T103" i="6"/>
  <c r="T89" i="6"/>
  <c r="Q94" i="6"/>
  <c r="T76" i="6"/>
  <c r="Q80" i="6"/>
  <c r="T61" i="6"/>
  <c r="T47" i="6"/>
  <c r="T32" i="6"/>
  <c r="T22" i="6" l="1"/>
  <c r="J27" i="8"/>
  <c r="K26" i="8"/>
  <c r="L26" i="8" s="1"/>
  <c r="K23" i="8"/>
  <c r="K27" i="8" s="1"/>
  <c r="K21" i="8"/>
  <c r="L21" i="8" s="1"/>
  <c r="H18" i="8"/>
  <c r="G18" i="8"/>
  <c r="F18" i="8"/>
  <c r="E18" i="8"/>
  <c r="D18" i="8"/>
  <c r="K17" i="8"/>
  <c r="L17" i="8" s="1"/>
  <c r="J16" i="8"/>
  <c r="J18" i="8" s="1"/>
  <c r="I18" i="8" s="1"/>
  <c r="H15" i="8"/>
  <c r="G15" i="8"/>
  <c r="F15" i="8"/>
  <c r="E15" i="8"/>
  <c r="D15" i="8"/>
  <c r="J14" i="8"/>
  <c r="K14" i="8" s="1"/>
  <c r="L14" i="8" s="1"/>
  <c r="J13" i="8"/>
  <c r="K13" i="8" s="1"/>
  <c r="L13" i="8" s="1"/>
  <c r="J12" i="8"/>
  <c r="K12" i="8" s="1"/>
  <c r="L12" i="8" s="1"/>
  <c r="J11" i="8"/>
  <c r="K11" i="8" s="1"/>
  <c r="L11" i="8" s="1"/>
  <c r="K10" i="8"/>
  <c r="L23" i="8" l="1"/>
  <c r="L27" i="8" s="1"/>
  <c r="K15" i="8"/>
  <c r="L10" i="8"/>
  <c r="L15" i="8" s="1"/>
  <c r="J10" i="8"/>
  <c r="J15" i="8" s="1"/>
  <c r="K16" i="8"/>
  <c r="N18" i="8" l="1"/>
  <c r="J22" i="8"/>
  <c r="J28" i="8" s="1"/>
  <c r="L16" i="8"/>
  <c r="L18" i="8" s="1"/>
  <c r="L22" i="8" s="1"/>
  <c r="L28" i="8" s="1"/>
  <c r="K18" i="8"/>
  <c r="K22" i="8" s="1"/>
  <c r="K28" i="8" s="1"/>
  <c r="I15" i="8"/>
  <c r="P172" i="4" l="1"/>
  <c r="P180" i="4"/>
  <c r="P188" i="4"/>
  <c r="O172" i="4"/>
  <c r="O188" i="4"/>
  <c r="P181" i="4" l="1"/>
  <c r="O181" i="4"/>
  <c r="O180" i="4"/>
  <c r="P177" i="4"/>
  <c r="P173" i="4"/>
  <c r="O173" i="4"/>
  <c r="S200" i="4"/>
  <c r="K185" i="4"/>
  <c r="O177" i="4"/>
  <c r="N177" i="4" s="1"/>
  <c r="T177" i="4" s="1"/>
  <c r="U177" i="4" s="1"/>
  <c r="K177" i="4"/>
  <c r="J177" i="4" s="1"/>
  <c r="O176" i="4"/>
  <c r="N176" i="4" s="1"/>
  <c r="T176" i="4" s="1"/>
  <c r="U176" i="4" s="1"/>
  <c r="J176" i="4"/>
  <c r="N173" i="4" l="1"/>
  <c r="S171" i="4"/>
  <c r="E162" i="4"/>
  <c r="F162" i="4"/>
  <c r="E165" i="4"/>
  <c r="F165" i="4"/>
  <c r="H165" i="4"/>
  <c r="I165" i="4"/>
  <c r="L161" i="4"/>
  <c r="K161" i="4"/>
  <c r="K158" i="4"/>
  <c r="L158" i="4"/>
  <c r="P158" i="4" s="1"/>
  <c r="L157" i="4"/>
  <c r="K157" i="4"/>
  <c r="L154" i="4"/>
  <c r="K154" i="4"/>
  <c r="L149" i="4"/>
  <c r="L148" i="4"/>
  <c r="K149" i="4"/>
  <c r="K148" i="4"/>
  <c r="L145" i="4"/>
  <c r="L137" i="4"/>
  <c r="P137" i="4" s="1"/>
  <c r="K145" i="4"/>
  <c r="K137" i="4"/>
  <c r="O137" i="4" s="1"/>
  <c r="O129" i="4"/>
  <c r="S136" i="4"/>
  <c r="L127" i="4"/>
  <c r="L124" i="4"/>
  <c r="K127" i="4"/>
  <c r="K124" i="4"/>
  <c r="L122" i="4"/>
  <c r="L115" i="4"/>
  <c r="K122" i="4"/>
  <c r="K115" i="4"/>
  <c r="L113" i="4"/>
  <c r="L104" i="4"/>
  <c r="P104" i="4" s="1"/>
  <c r="K113" i="4"/>
  <c r="K104" i="4"/>
  <c r="O104" i="4" s="1"/>
  <c r="O96" i="4"/>
  <c r="O97" i="4" s="1"/>
  <c r="S103" i="4"/>
  <c r="L94" i="4"/>
  <c r="L90" i="4"/>
  <c r="K94" i="4"/>
  <c r="K90" i="4"/>
  <c r="L88" i="4"/>
  <c r="L83" i="4"/>
  <c r="K83" i="4"/>
  <c r="K88" i="4"/>
  <c r="L81" i="4"/>
  <c r="L74" i="4"/>
  <c r="P74" i="4" s="1"/>
  <c r="K81" i="4"/>
  <c r="K74" i="4"/>
  <c r="O74" i="4" s="1"/>
  <c r="O66" i="4"/>
  <c r="K61" i="4"/>
  <c r="K64" i="4"/>
  <c r="L64" i="4"/>
  <c r="L61" i="4"/>
  <c r="L59" i="4"/>
  <c r="L54" i="4"/>
  <c r="K45" i="4"/>
  <c r="O45" i="4" s="1"/>
  <c r="K54" i="4"/>
  <c r="K59" i="4"/>
  <c r="L45" i="4"/>
  <c r="P45" i="4" s="1"/>
  <c r="L52" i="4"/>
  <c r="K52" i="4"/>
  <c r="F36" i="4"/>
  <c r="G36" i="4"/>
  <c r="H36" i="4"/>
  <c r="I36" i="4"/>
  <c r="E36" i="4"/>
  <c r="S44" i="4"/>
  <c r="K35" i="4" l="1"/>
  <c r="O35" i="4" s="1"/>
  <c r="K31" i="4"/>
  <c r="L35" i="4"/>
  <c r="P35" i="4" s="1"/>
  <c r="L31" i="4"/>
  <c r="L22" i="4"/>
  <c r="K24" i="4"/>
  <c r="K29" i="4"/>
  <c r="L24" i="4"/>
  <c r="L29" i="4"/>
  <c r="L12" i="4"/>
  <c r="P12" i="4" s="1"/>
  <c r="K12" i="4"/>
  <c r="O12" i="4" s="1"/>
  <c r="K22" i="4"/>
  <c r="M17" i="6" l="1"/>
  <c r="M18" i="6"/>
  <c r="M19" i="6"/>
  <c r="M23" i="6"/>
  <c r="M24" i="6"/>
  <c r="M20" i="6"/>
  <c r="M21" i="6"/>
  <c r="M22" i="6"/>
  <c r="M25" i="6"/>
  <c r="M26" i="6"/>
  <c r="M27" i="6"/>
  <c r="M28" i="6"/>
  <c r="M29" i="6"/>
  <c r="M34" i="6"/>
  <c r="M35" i="6"/>
  <c r="M33" i="6"/>
  <c r="M36" i="6"/>
  <c r="M37" i="6"/>
  <c r="M38" i="6"/>
  <c r="M39" i="6"/>
  <c r="M40" i="6"/>
  <c r="M43" i="6"/>
  <c r="M44" i="6"/>
  <c r="M48" i="6"/>
  <c r="M50" i="6"/>
  <c r="M51" i="6"/>
  <c r="M53" i="6"/>
  <c r="M55" i="6"/>
  <c r="M56" i="6"/>
  <c r="M57" i="6"/>
  <c r="M58" i="6"/>
  <c r="M62" i="6"/>
  <c r="M63" i="6"/>
  <c r="M64" i="6"/>
  <c r="M65" i="6"/>
  <c r="M66" i="6"/>
  <c r="M67" i="6"/>
  <c r="M68" i="6"/>
  <c r="M69" i="6"/>
  <c r="M70" i="6"/>
  <c r="M71" i="6"/>
  <c r="M72" i="6"/>
  <c r="M73" i="6"/>
  <c r="M74" i="6"/>
  <c r="M75" i="6"/>
  <c r="M76" i="6"/>
  <c r="M77" i="6"/>
  <c r="M78" i="6"/>
  <c r="M79" i="6"/>
  <c r="M80" i="6"/>
  <c r="M81" i="6"/>
  <c r="M82" i="6"/>
  <c r="M83" i="6"/>
  <c r="M84" i="6"/>
  <c r="M85" i="6"/>
  <c r="M86" i="6"/>
  <c r="M87" i="6"/>
  <c r="M88" i="6"/>
  <c r="M89" i="6"/>
  <c r="M90" i="6"/>
  <c r="M91" i="6"/>
  <c r="M92" i="6"/>
  <c r="M93" i="6"/>
  <c r="M94" i="6"/>
  <c r="M95" i="6"/>
  <c r="M96" i="6"/>
  <c r="M97" i="6"/>
  <c r="M98" i="6"/>
  <c r="M99" i="6"/>
  <c r="M100" i="6"/>
  <c r="M101" i="6"/>
  <c r="M102" i="6"/>
  <c r="M103" i="6"/>
  <c r="M104" i="6"/>
  <c r="M105" i="6"/>
  <c r="M106" i="6"/>
  <c r="M107" i="6"/>
  <c r="M108" i="6"/>
  <c r="M109" i="6"/>
  <c r="M110" i="6"/>
  <c r="M111" i="6"/>
  <c r="M113" i="6"/>
  <c r="M114" i="6"/>
  <c r="M115" i="6"/>
  <c r="M116" i="6"/>
  <c r="M117" i="6"/>
  <c r="M118" i="6"/>
  <c r="M119" i="6"/>
  <c r="M120" i="6"/>
  <c r="M121" i="6"/>
  <c r="M122" i="6"/>
  <c r="M123" i="6"/>
  <c r="M124" i="6"/>
  <c r="M125" i="6"/>
  <c r="M126" i="6"/>
  <c r="M127" i="6"/>
  <c r="M128" i="6"/>
  <c r="M129" i="6"/>
  <c r="M130" i="6"/>
  <c r="M131" i="6"/>
  <c r="M132" i="6"/>
  <c r="M133" i="6"/>
  <c r="M134" i="6"/>
  <c r="M135" i="6"/>
  <c r="M136" i="6"/>
  <c r="M137" i="6"/>
  <c r="M138" i="6"/>
  <c r="M139" i="6"/>
  <c r="M140" i="6"/>
  <c r="M141" i="6"/>
  <c r="M142" i="6"/>
  <c r="M143" i="6"/>
  <c r="M144" i="6"/>
  <c r="M145" i="6"/>
  <c r="M146" i="6"/>
  <c r="M147" i="6"/>
  <c r="M148" i="6"/>
  <c r="M149" i="6"/>
  <c r="M150" i="6"/>
  <c r="M151" i="6"/>
  <c r="M152" i="6"/>
  <c r="M153" i="6"/>
  <c r="M154" i="6"/>
  <c r="M155" i="6"/>
  <c r="M156" i="6"/>
  <c r="M157" i="6"/>
  <c r="M158" i="6"/>
  <c r="M159" i="6"/>
  <c r="M160" i="6"/>
  <c r="M161" i="6"/>
  <c r="M162" i="6"/>
  <c r="M163" i="6"/>
  <c r="M164" i="6"/>
  <c r="M165" i="6"/>
  <c r="M166" i="6"/>
  <c r="M167" i="6"/>
  <c r="M168" i="6"/>
  <c r="M169" i="6"/>
  <c r="M170" i="6"/>
  <c r="M171" i="6"/>
  <c r="M172" i="6"/>
  <c r="M173" i="6"/>
  <c r="M174" i="6"/>
  <c r="M175" i="6"/>
  <c r="M176" i="6"/>
  <c r="M177" i="6"/>
  <c r="M178" i="6"/>
  <c r="U178" i="6" s="1"/>
  <c r="V178" i="6" s="1"/>
  <c r="M179" i="6"/>
  <c r="F66" i="6" l="1"/>
  <c r="G66" i="6"/>
  <c r="H66" i="6"/>
  <c r="I66" i="6"/>
  <c r="F23" i="6"/>
  <c r="G23" i="6"/>
  <c r="H23" i="6"/>
  <c r="I23" i="6"/>
  <c r="Q23" i="6" l="1"/>
  <c r="S24" i="6"/>
  <c r="F108" i="6"/>
  <c r="G108" i="6"/>
  <c r="Q108" i="6" s="1"/>
  <c r="H108" i="6"/>
  <c r="I108" i="6"/>
  <c r="N199" i="4" l="1"/>
  <c r="T199" i="4"/>
  <c r="U199" i="4" s="1"/>
  <c r="V171" i="4"/>
  <c r="T135" i="4"/>
  <c r="U135" i="4" s="1"/>
  <c r="N135" i="4"/>
  <c r="T102" i="4"/>
  <c r="U102" i="4" s="1"/>
  <c r="T72" i="4"/>
  <c r="U72" i="4" s="1"/>
  <c r="N72" i="4"/>
  <c r="Q44" i="4"/>
  <c r="V44" i="4"/>
  <c r="T43" i="4"/>
  <c r="U43" i="4" s="1"/>
  <c r="N43" i="4"/>
  <c r="N170" i="4"/>
  <c r="U170" i="4"/>
  <c r="T175" i="6" l="1"/>
  <c r="U175" i="6" s="1"/>
  <c r="V175" i="6" s="1"/>
  <c r="T174" i="6"/>
  <c r="U174" i="6" s="1"/>
  <c r="V174" i="6" s="1"/>
  <c r="T162" i="6"/>
  <c r="U162" i="6" s="1"/>
  <c r="V162" i="6" s="1"/>
  <c r="T161" i="6"/>
  <c r="U161" i="6" s="1"/>
  <c r="V161" i="6" s="1"/>
  <c r="T148" i="6"/>
  <c r="U148" i="6" s="1"/>
  <c r="V148" i="6" s="1"/>
  <c r="U136" i="6"/>
  <c r="V136" i="6" s="1"/>
  <c r="T135" i="6"/>
  <c r="T121" i="6"/>
  <c r="U121" i="6" s="1"/>
  <c r="V121" i="6" s="1"/>
  <c r="T120" i="6"/>
  <c r="U120" i="6" s="1"/>
  <c r="V120" i="6" s="1"/>
  <c r="T105" i="6"/>
  <c r="U105" i="6" s="1"/>
  <c r="V105" i="6" s="1"/>
  <c r="T104" i="6"/>
  <c r="U104" i="6" s="1"/>
  <c r="V104" i="6" s="1"/>
  <c r="U135" i="6" l="1"/>
  <c r="V135" i="6" s="1"/>
  <c r="T91" i="6"/>
  <c r="U91" i="6" s="1"/>
  <c r="V91" i="6" s="1"/>
  <c r="T90" i="6"/>
  <c r="U90" i="6" s="1"/>
  <c r="V90" i="6" s="1"/>
  <c r="T77" i="6"/>
  <c r="U77" i="6" s="1"/>
  <c r="V77" i="6" s="1"/>
  <c r="T63" i="6"/>
  <c r="U63" i="6" s="1"/>
  <c r="V63" i="6" s="1"/>
  <c r="T62" i="6"/>
  <c r="U62" i="6" s="1"/>
  <c r="V62" i="6" s="1"/>
  <c r="T49" i="6"/>
  <c r="U49" i="6" s="1"/>
  <c r="V49" i="6" s="1"/>
  <c r="T48" i="6"/>
  <c r="U48" i="6" s="1"/>
  <c r="V48" i="6" s="1"/>
  <c r="T33" i="6"/>
  <c r="U33" i="6" s="1"/>
  <c r="V33" i="6" s="1"/>
  <c r="T25" i="6"/>
  <c r="U25" i="6" s="1"/>
  <c r="V25" i="6" s="1"/>
  <c r="P14" i="6" l="1"/>
  <c r="N196" i="4" l="1"/>
  <c r="N100" i="4"/>
  <c r="N99" i="4"/>
  <c r="N70" i="4"/>
  <c r="N69" i="4"/>
  <c r="N40" i="4"/>
  <c r="K186" i="4" l="1"/>
  <c r="N132" i="4" l="1"/>
  <c r="J185" i="4"/>
  <c r="T26" i="6"/>
  <c r="U26" i="6" s="1"/>
  <c r="V26" i="6" s="1"/>
  <c r="T37" i="6"/>
  <c r="U37" i="6" s="1"/>
  <c r="V37" i="6" s="1"/>
  <c r="T51" i="6"/>
  <c r="U51" i="6" s="1"/>
  <c r="V51" i="6" s="1"/>
  <c r="T65" i="6"/>
  <c r="U65" i="6" s="1"/>
  <c r="V65" i="6" s="1"/>
  <c r="T79" i="6"/>
  <c r="U79" i="6" s="1"/>
  <c r="V79" i="6" s="1"/>
  <c r="T93" i="6"/>
  <c r="U93" i="6" s="1"/>
  <c r="V93" i="6" s="1"/>
  <c r="T107" i="6"/>
  <c r="U107" i="6" s="1"/>
  <c r="V107" i="6" s="1"/>
  <c r="U123" i="6"/>
  <c r="V123" i="6" s="1"/>
  <c r="T123" i="6"/>
  <c r="T150" i="6"/>
  <c r="U150" i="6" s="1"/>
  <c r="V150" i="6" s="1"/>
  <c r="T164" i="6"/>
  <c r="U164" i="6" s="1"/>
  <c r="V164" i="6" s="1"/>
  <c r="T177" i="6"/>
  <c r="U177" i="6" s="1"/>
  <c r="V177" i="6" s="1"/>
  <c r="T39" i="4"/>
  <c r="U39" i="4" s="1"/>
  <c r="T68" i="4"/>
  <c r="U68" i="4" s="1"/>
  <c r="Q73" i="4"/>
  <c r="Q200" i="4"/>
  <c r="Q171" i="4"/>
  <c r="Q136" i="4"/>
  <c r="Q103" i="4"/>
  <c r="T98" i="4"/>
  <c r="U98" i="4" s="1"/>
  <c r="T131" i="4"/>
  <c r="U131" i="4" s="1"/>
  <c r="T166" i="4"/>
  <c r="U166" i="4" s="1"/>
  <c r="T195" i="4"/>
  <c r="U195" i="4" s="1"/>
  <c r="X204" i="4"/>
  <c r="N195" i="4"/>
  <c r="N39" i="4"/>
  <c r="N68" i="4"/>
  <c r="N98" i="4"/>
  <c r="N131" i="4"/>
  <c r="N166" i="4"/>
  <c r="B16" i="7" l="1"/>
  <c r="B15" i="7"/>
  <c r="B17" i="7" s="1"/>
  <c r="D17" i="7" s="1"/>
  <c r="D9" i="7"/>
  <c r="F8" i="7"/>
  <c r="G8" i="7" s="1"/>
  <c r="F7" i="7"/>
  <c r="G7" i="7" s="1"/>
  <c r="F6" i="7"/>
  <c r="G6" i="7" s="1"/>
  <c r="F5" i="7"/>
  <c r="G5" i="7" s="1"/>
  <c r="F4" i="7"/>
  <c r="G4" i="7" s="1"/>
  <c r="B3" i="7"/>
  <c r="C3" i="7" s="1"/>
  <c r="C9" i="7" s="1"/>
  <c r="N167" i="4"/>
  <c r="N164" i="4"/>
  <c r="T164" i="4" s="1"/>
  <c r="U164" i="4" s="1"/>
  <c r="N35" i="4"/>
  <c r="T163" i="6"/>
  <c r="U163" i="6" s="1"/>
  <c r="V163" i="6" s="1"/>
  <c r="T176" i="6"/>
  <c r="U176" i="6" s="1"/>
  <c r="V176" i="6" s="1"/>
  <c r="T149" i="6"/>
  <c r="U149" i="6" s="1"/>
  <c r="V149" i="6" s="1"/>
  <c r="T137" i="6"/>
  <c r="T122" i="6"/>
  <c r="U122" i="6" s="1"/>
  <c r="V122" i="6" s="1"/>
  <c r="T106" i="6"/>
  <c r="U106" i="6" s="1"/>
  <c r="V106" i="6" s="1"/>
  <c r="T92" i="6"/>
  <c r="U92" i="6" s="1"/>
  <c r="V92" i="6" s="1"/>
  <c r="T78" i="6"/>
  <c r="U78" i="6" s="1"/>
  <c r="V78" i="6" s="1"/>
  <c r="T64" i="6"/>
  <c r="U64" i="6" s="1"/>
  <c r="V64" i="6" s="1"/>
  <c r="T50" i="6"/>
  <c r="U50" i="6" s="1"/>
  <c r="V50" i="6" s="1"/>
  <c r="T36" i="6"/>
  <c r="U36" i="6" s="1"/>
  <c r="V36" i="6" s="1"/>
  <c r="X172" i="4"/>
  <c r="X181" i="4"/>
  <c r="X188" i="4"/>
  <c r="U137" i="6" l="1"/>
  <c r="V137" i="6" s="1"/>
  <c r="X164" i="4"/>
  <c r="R165" i="4"/>
  <c r="F3" i="7"/>
  <c r="G3" i="7" s="1"/>
  <c r="B9" i="7"/>
  <c r="F9" i="7" s="1"/>
  <c r="G9" i="7" s="1"/>
  <c r="Y172" i="4" l="1"/>
  <c r="R192" i="4"/>
  <c r="J35" i="4" l="1"/>
  <c r="T35" i="4" l="1"/>
  <c r="U35" i="4" s="1"/>
  <c r="I200" i="4"/>
  <c r="H200" i="4"/>
  <c r="G200" i="4"/>
  <c r="H162" i="4"/>
  <c r="I162" i="4"/>
  <c r="T159" i="6" l="1"/>
  <c r="U159" i="6" s="1"/>
  <c r="V159" i="6" s="1"/>
  <c r="J66" i="4" l="1"/>
  <c r="V118" i="6" l="1"/>
  <c r="U118" i="6"/>
  <c r="V117" i="6"/>
  <c r="U117" i="6"/>
  <c r="T172" i="6" l="1"/>
  <c r="V158" i="6"/>
  <c r="U158" i="6"/>
  <c r="V145" i="6"/>
  <c r="U145" i="6"/>
  <c r="V132" i="6"/>
  <c r="U132" i="6"/>
  <c r="T132" i="6"/>
  <c r="V101" i="6"/>
  <c r="U101" i="6"/>
  <c r="V87" i="6"/>
  <c r="U87" i="6"/>
  <c r="U75" i="6"/>
  <c r="V75" i="6"/>
  <c r="V74" i="6"/>
  <c r="U74" i="6"/>
  <c r="T74" i="6"/>
  <c r="V46" i="6"/>
  <c r="U46" i="6"/>
  <c r="T46" i="6"/>
  <c r="V60" i="6"/>
  <c r="U60" i="6"/>
  <c r="V59" i="6"/>
  <c r="U59" i="6"/>
  <c r="T59" i="6"/>
  <c r="T60" i="6"/>
  <c r="V45" i="6"/>
  <c r="U45" i="6"/>
  <c r="T45" i="6"/>
  <c r="V31" i="6"/>
  <c r="U31" i="6"/>
  <c r="T31" i="6"/>
  <c r="V30" i="6"/>
  <c r="U30" i="6"/>
  <c r="T30" i="6"/>
  <c r="V20" i="6"/>
  <c r="U20" i="6"/>
  <c r="T21" i="6"/>
  <c r="T20" i="6"/>
  <c r="T196" i="4" l="1"/>
  <c r="U196" i="4" s="1"/>
  <c r="T168" i="4" l="1"/>
  <c r="U168" i="4" s="1"/>
  <c r="T167" i="4"/>
  <c r="U167" i="4" s="1"/>
  <c r="T133" i="4"/>
  <c r="U133" i="4" s="1"/>
  <c r="T132" i="4"/>
  <c r="U132" i="4" s="1"/>
  <c r="U100" i="4"/>
  <c r="T99" i="4"/>
  <c r="U99" i="4" s="1"/>
  <c r="T41" i="4" l="1"/>
  <c r="U41" i="4" s="1"/>
  <c r="T40" i="4"/>
  <c r="U40" i="4" s="1"/>
  <c r="T69" i="4"/>
  <c r="U69" i="4" s="1"/>
  <c r="P154" i="6"/>
  <c r="P168" i="6"/>
  <c r="P167" i="6" s="1"/>
  <c r="P142" i="6"/>
  <c r="P141" i="6" s="1"/>
  <c r="P127" i="6"/>
  <c r="P126" i="6" s="1"/>
  <c r="P111" i="6"/>
  <c r="P110" i="6" s="1"/>
  <c r="P97" i="6"/>
  <c r="P96" i="6" s="1"/>
  <c r="P83" i="6"/>
  <c r="P82" i="6" s="1"/>
  <c r="P69" i="6"/>
  <c r="P68" i="6" s="1"/>
  <c r="P54" i="6"/>
  <c r="P39" i="6"/>
  <c r="P38" i="6" s="1"/>
  <c r="P28" i="6"/>
  <c r="P27" i="6" s="1"/>
  <c r="U70" i="4" l="1"/>
  <c r="Q201" i="4"/>
  <c r="T28" i="6"/>
  <c r="W172" i="4" l="1"/>
  <c r="W173" i="4"/>
  <c r="W180" i="4"/>
  <c r="W181" i="4"/>
  <c r="W188" i="4"/>
  <c r="J74" i="4"/>
  <c r="S201" i="4"/>
  <c r="T171" i="6"/>
  <c r="T158" i="6"/>
  <c r="P153" i="6"/>
  <c r="P180" i="6" s="1"/>
  <c r="T146" i="6"/>
  <c r="T145" i="6"/>
  <c r="T133" i="6"/>
  <c r="T118" i="6"/>
  <c r="T117" i="6"/>
  <c r="T102" i="6"/>
  <c r="T101" i="6"/>
  <c r="T88" i="6"/>
  <c r="T87" i="6"/>
  <c r="T75" i="6"/>
  <c r="S27" i="6"/>
  <c r="F165" i="6"/>
  <c r="E165" i="6"/>
  <c r="V156" i="6"/>
  <c r="Q156" i="6"/>
  <c r="V155" i="6"/>
  <c r="Q155" i="6"/>
  <c r="I139" i="6"/>
  <c r="H139" i="6"/>
  <c r="F139" i="6"/>
  <c r="E139" i="6"/>
  <c r="Q131" i="6"/>
  <c r="Q130" i="6"/>
  <c r="V129" i="6"/>
  <c r="Q129" i="6"/>
  <c r="E108" i="6"/>
  <c r="N108" i="6" s="1"/>
  <c r="V98" i="6"/>
  <c r="F80" i="6"/>
  <c r="E80" i="6"/>
  <c r="G73" i="6"/>
  <c r="O73" i="6" s="1"/>
  <c r="O69" i="6" s="1"/>
  <c r="V72" i="6"/>
  <c r="Q72" i="6"/>
  <c r="Q71" i="6"/>
  <c r="Q70" i="6"/>
  <c r="E66" i="6"/>
  <c r="Q66" i="6" s="1"/>
  <c r="Q57" i="6"/>
  <c r="U56" i="6"/>
  <c r="Q56" i="6"/>
  <c r="V44" i="6"/>
  <c r="N34" i="6"/>
  <c r="E23" i="6"/>
  <c r="N23" i="6" s="1"/>
  <c r="U17" i="6"/>
  <c r="M16" i="6"/>
  <c r="R194" i="4"/>
  <c r="P194" i="4"/>
  <c r="M194" i="4"/>
  <c r="I194" i="4"/>
  <c r="H194" i="4"/>
  <c r="F194" i="4"/>
  <c r="E194" i="4"/>
  <c r="J193" i="4"/>
  <c r="I192" i="4"/>
  <c r="H192" i="4"/>
  <c r="G192" i="4"/>
  <c r="F192" i="4"/>
  <c r="E192" i="4"/>
  <c r="J191" i="4"/>
  <c r="T191" i="4"/>
  <c r="U191" i="4" s="1"/>
  <c r="J190" i="4"/>
  <c r="T190" i="4"/>
  <c r="U190" i="4" s="1"/>
  <c r="P192" i="4"/>
  <c r="U186" i="4"/>
  <c r="T186" i="4"/>
  <c r="J186" i="4"/>
  <c r="O186" i="4"/>
  <c r="N186" i="4" s="1"/>
  <c r="U184" i="4"/>
  <c r="T184" i="4"/>
  <c r="J184" i="4"/>
  <c r="O184" i="4"/>
  <c r="N184" i="4" s="1"/>
  <c r="U183" i="4"/>
  <c r="T183" i="4"/>
  <c r="J183" i="4"/>
  <c r="O183" i="4"/>
  <c r="N183" i="4" s="1"/>
  <c r="N181" i="4"/>
  <c r="T181" i="4" s="1"/>
  <c r="U181" i="4" s="1"/>
  <c r="J178" i="4"/>
  <c r="G178" i="4"/>
  <c r="O178" i="4" s="1"/>
  <c r="N178" i="4" s="1"/>
  <c r="T178" i="4" s="1"/>
  <c r="U178" i="4" s="1"/>
  <c r="J175" i="4"/>
  <c r="O175" i="4"/>
  <c r="N175" i="4" s="1"/>
  <c r="T175" i="4" s="1"/>
  <c r="U175" i="4" s="1"/>
  <c r="P165" i="4"/>
  <c r="M165" i="4"/>
  <c r="J163" i="4"/>
  <c r="J161" i="4"/>
  <c r="T161" i="4" s="1"/>
  <c r="G161" i="4"/>
  <c r="U160" i="4"/>
  <c r="T160" i="4"/>
  <c r="J160" i="4"/>
  <c r="G160" i="4"/>
  <c r="O160" i="4" s="1"/>
  <c r="N160" i="4" s="1"/>
  <c r="J158" i="4"/>
  <c r="J157" i="4"/>
  <c r="T157" i="4" s="1"/>
  <c r="G162" i="4"/>
  <c r="I156" i="4"/>
  <c r="H156" i="4"/>
  <c r="F156" i="4"/>
  <c r="E156" i="4"/>
  <c r="J155" i="4"/>
  <c r="U155" i="4" s="1"/>
  <c r="G155" i="4"/>
  <c r="O155" i="4" s="1"/>
  <c r="N155" i="4" s="1"/>
  <c r="R154" i="4"/>
  <c r="J154" i="4"/>
  <c r="T154" i="4" s="1"/>
  <c r="U153" i="4"/>
  <c r="T153" i="4"/>
  <c r="J153" i="4"/>
  <c r="O153" i="4"/>
  <c r="N153" i="4" s="1"/>
  <c r="U152" i="4"/>
  <c r="T152" i="4"/>
  <c r="J152" i="4"/>
  <c r="O152" i="4"/>
  <c r="N152" i="4" s="1"/>
  <c r="U151" i="4"/>
  <c r="T151" i="4"/>
  <c r="J151" i="4"/>
  <c r="O151" i="4"/>
  <c r="N151" i="4" s="1"/>
  <c r="J149" i="4"/>
  <c r="R149" i="4"/>
  <c r="J148" i="4"/>
  <c r="T148" i="4" s="1"/>
  <c r="P148" i="4"/>
  <c r="I147" i="4"/>
  <c r="H147" i="4"/>
  <c r="H171" i="4" s="1"/>
  <c r="F147" i="4"/>
  <c r="F171" i="4" s="1"/>
  <c r="E147" i="4"/>
  <c r="E171" i="4" s="1"/>
  <c r="J146" i="4"/>
  <c r="U146" i="4" s="1"/>
  <c r="G146" i="4"/>
  <c r="O146" i="4" s="1"/>
  <c r="N146" i="4" s="1"/>
  <c r="J145" i="4"/>
  <c r="T145" i="4" s="1"/>
  <c r="R145" i="4"/>
  <c r="U144" i="4"/>
  <c r="T144" i="4"/>
  <c r="J144" i="4"/>
  <c r="O144" i="4"/>
  <c r="N144" i="4" s="1"/>
  <c r="U143" i="4"/>
  <c r="T143" i="4"/>
  <c r="J143" i="4"/>
  <c r="O143" i="4"/>
  <c r="N143" i="4" s="1"/>
  <c r="U142" i="4"/>
  <c r="T142" i="4"/>
  <c r="J142" i="4"/>
  <c r="O142" i="4"/>
  <c r="N142" i="4" s="1"/>
  <c r="U141" i="4"/>
  <c r="T141" i="4"/>
  <c r="J141" i="4"/>
  <c r="O141" i="4"/>
  <c r="N141" i="4" s="1"/>
  <c r="U140" i="4"/>
  <c r="T140" i="4"/>
  <c r="J140" i="4"/>
  <c r="O140" i="4"/>
  <c r="N140" i="4" s="1"/>
  <c r="U139" i="4"/>
  <c r="T139" i="4"/>
  <c r="J139" i="4"/>
  <c r="O139" i="4"/>
  <c r="N139" i="4" s="1"/>
  <c r="J137" i="4"/>
  <c r="R130" i="4"/>
  <c r="P130" i="4"/>
  <c r="M130" i="4"/>
  <c r="I130" i="4"/>
  <c r="H130" i="4"/>
  <c r="F130" i="4"/>
  <c r="E130" i="4"/>
  <c r="J129" i="4"/>
  <c r="I128" i="4"/>
  <c r="H128" i="4"/>
  <c r="F128" i="4"/>
  <c r="E128" i="4"/>
  <c r="G127" i="4"/>
  <c r="P127" i="4" s="1"/>
  <c r="U126" i="4"/>
  <c r="T126" i="4"/>
  <c r="J126" i="4"/>
  <c r="G126" i="4"/>
  <c r="O126" i="4" s="1"/>
  <c r="N126" i="4" s="1"/>
  <c r="J124" i="4"/>
  <c r="I123" i="4"/>
  <c r="H123" i="4"/>
  <c r="F123" i="4"/>
  <c r="E123" i="4"/>
  <c r="J122" i="4"/>
  <c r="T122" i="4" s="1"/>
  <c r="R122" i="4"/>
  <c r="U121" i="4"/>
  <c r="T121" i="4"/>
  <c r="J121" i="4"/>
  <c r="O121" i="4"/>
  <c r="N121" i="4" s="1"/>
  <c r="U120" i="4"/>
  <c r="T120" i="4"/>
  <c r="J120" i="4"/>
  <c r="O120" i="4"/>
  <c r="N120" i="4" s="1"/>
  <c r="U119" i="4"/>
  <c r="T119" i="4"/>
  <c r="J119" i="4"/>
  <c r="O119" i="4"/>
  <c r="N119" i="4" s="1"/>
  <c r="U118" i="4"/>
  <c r="T118" i="4"/>
  <c r="J118" i="4"/>
  <c r="O118" i="4"/>
  <c r="N118" i="4" s="1"/>
  <c r="U117" i="4"/>
  <c r="T117" i="4"/>
  <c r="J117" i="4"/>
  <c r="O117" i="4"/>
  <c r="N117" i="4" s="1"/>
  <c r="J115" i="4"/>
  <c r="I114" i="4"/>
  <c r="H114" i="4"/>
  <c r="H136" i="4" s="1"/>
  <c r="F114" i="4"/>
  <c r="E114" i="4"/>
  <c r="E136" i="4" s="1"/>
  <c r="J113" i="4"/>
  <c r="R113" i="4"/>
  <c r="U112" i="4"/>
  <c r="T112" i="4"/>
  <c r="J112" i="4"/>
  <c r="O112" i="4"/>
  <c r="N112" i="4" s="1"/>
  <c r="U111" i="4"/>
  <c r="T111" i="4"/>
  <c r="J111" i="4"/>
  <c r="O111" i="4"/>
  <c r="N111" i="4" s="1"/>
  <c r="U110" i="4"/>
  <c r="T110" i="4"/>
  <c r="J110" i="4"/>
  <c r="O110" i="4"/>
  <c r="N110" i="4" s="1"/>
  <c r="U109" i="4"/>
  <c r="T109" i="4"/>
  <c r="J109" i="4"/>
  <c r="O109" i="4"/>
  <c r="N109" i="4" s="1"/>
  <c r="U108" i="4"/>
  <c r="T108" i="4"/>
  <c r="J108" i="4"/>
  <c r="O108" i="4"/>
  <c r="N108" i="4" s="1"/>
  <c r="U107" i="4"/>
  <c r="T107" i="4"/>
  <c r="J107" i="4"/>
  <c r="O107" i="4"/>
  <c r="N107" i="4" s="1"/>
  <c r="U106" i="4"/>
  <c r="T106" i="4"/>
  <c r="J106" i="4"/>
  <c r="O106" i="4"/>
  <c r="N106" i="4" s="1"/>
  <c r="J104" i="4"/>
  <c r="R97" i="4"/>
  <c r="P97" i="4"/>
  <c r="M97" i="4"/>
  <c r="I97" i="4"/>
  <c r="H97" i="4"/>
  <c r="F97" i="4"/>
  <c r="E97" i="4"/>
  <c r="J96" i="4"/>
  <c r="I95" i="4"/>
  <c r="H95" i="4"/>
  <c r="F95" i="4"/>
  <c r="E95" i="4"/>
  <c r="J94" i="4"/>
  <c r="G94" i="4"/>
  <c r="U93" i="4"/>
  <c r="T93" i="4"/>
  <c r="J93" i="4"/>
  <c r="G93" i="4"/>
  <c r="O93" i="4" s="1"/>
  <c r="N93" i="4" s="1"/>
  <c r="U92" i="4"/>
  <c r="T92" i="4"/>
  <c r="J92" i="4"/>
  <c r="G92" i="4"/>
  <c r="O92" i="4" s="1"/>
  <c r="N92" i="4" s="1"/>
  <c r="J90" i="4"/>
  <c r="I89" i="4"/>
  <c r="H89" i="4"/>
  <c r="F89" i="4"/>
  <c r="E89" i="4"/>
  <c r="J88" i="4"/>
  <c r="T88" i="4" s="1"/>
  <c r="R88" i="4"/>
  <c r="U87" i="4"/>
  <c r="T87" i="4"/>
  <c r="J87" i="4"/>
  <c r="O87" i="4"/>
  <c r="N87" i="4" s="1"/>
  <c r="U86" i="4"/>
  <c r="T86" i="4"/>
  <c r="J86" i="4"/>
  <c r="O86" i="4"/>
  <c r="N86" i="4" s="1"/>
  <c r="U85" i="4"/>
  <c r="T85" i="4"/>
  <c r="J85" i="4"/>
  <c r="O85" i="4"/>
  <c r="N85" i="4" s="1"/>
  <c r="J83" i="4"/>
  <c r="G89" i="4"/>
  <c r="I82" i="4"/>
  <c r="H82" i="4"/>
  <c r="H103" i="4" s="1"/>
  <c r="F82" i="4"/>
  <c r="E82" i="4"/>
  <c r="E103" i="4" s="1"/>
  <c r="J81" i="4"/>
  <c r="R81" i="4"/>
  <c r="U80" i="4"/>
  <c r="T80" i="4"/>
  <c r="J80" i="4"/>
  <c r="O80" i="4"/>
  <c r="N80" i="4" s="1"/>
  <c r="U79" i="4"/>
  <c r="T79" i="4"/>
  <c r="J79" i="4"/>
  <c r="O79" i="4"/>
  <c r="N79" i="4" s="1"/>
  <c r="U78" i="4"/>
  <c r="T78" i="4"/>
  <c r="J78" i="4"/>
  <c r="O78" i="4"/>
  <c r="N78" i="4" s="1"/>
  <c r="U77" i="4"/>
  <c r="T77" i="4"/>
  <c r="J77" i="4"/>
  <c r="O77" i="4"/>
  <c r="N77" i="4" s="1"/>
  <c r="U76" i="4"/>
  <c r="T76" i="4"/>
  <c r="J76" i="4"/>
  <c r="O76" i="4"/>
  <c r="N76" i="4" s="1"/>
  <c r="R67" i="4"/>
  <c r="P67" i="4"/>
  <c r="M67" i="4"/>
  <c r="I67" i="4"/>
  <c r="H67" i="4"/>
  <c r="F67" i="4"/>
  <c r="E67" i="4"/>
  <c r="O67" i="4"/>
  <c r="I65" i="4"/>
  <c r="H65" i="4"/>
  <c r="F65" i="4"/>
  <c r="E65" i="4"/>
  <c r="R64" i="4"/>
  <c r="P64" i="4"/>
  <c r="U64" i="4"/>
  <c r="U63" i="4"/>
  <c r="T63" i="4"/>
  <c r="J63" i="4"/>
  <c r="O63" i="4"/>
  <c r="N63" i="4" s="1"/>
  <c r="J61" i="4"/>
  <c r="I60" i="4"/>
  <c r="H60" i="4"/>
  <c r="F60" i="4"/>
  <c r="E60" i="4"/>
  <c r="J59" i="4"/>
  <c r="T59" i="4" s="1"/>
  <c r="G59" i="4"/>
  <c r="R59" i="4" s="1"/>
  <c r="U58" i="4"/>
  <c r="T58" i="4"/>
  <c r="J58" i="4"/>
  <c r="O58" i="4"/>
  <c r="N58" i="4" s="1"/>
  <c r="U57" i="4"/>
  <c r="T57" i="4"/>
  <c r="J57" i="4"/>
  <c r="O57" i="4"/>
  <c r="N57" i="4" s="1"/>
  <c r="U56" i="4"/>
  <c r="T56" i="4"/>
  <c r="J56" i="4"/>
  <c r="O56" i="4"/>
  <c r="N56" i="4" s="1"/>
  <c r="J54" i="4"/>
  <c r="I53" i="4"/>
  <c r="H53" i="4"/>
  <c r="F53" i="4"/>
  <c r="F73" i="4" s="1"/>
  <c r="E53" i="4"/>
  <c r="R52" i="4"/>
  <c r="P52" i="4"/>
  <c r="J52" i="4"/>
  <c r="U51" i="4"/>
  <c r="T51" i="4"/>
  <c r="J51" i="4"/>
  <c r="O51" i="4"/>
  <c r="N51" i="4" s="1"/>
  <c r="U50" i="4"/>
  <c r="T50" i="4"/>
  <c r="J50" i="4"/>
  <c r="O50" i="4"/>
  <c r="N50" i="4" s="1"/>
  <c r="U49" i="4"/>
  <c r="T49" i="4"/>
  <c r="J49" i="4"/>
  <c r="O49" i="4"/>
  <c r="N49" i="4" s="1"/>
  <c r="U48" i="4"/>
  <c r="T48" i="4"/>
  <c r="J48" i="4"/>
  <c r="O48" i="4"/>
  <c r="N48" i="4" s="1"/>
  <c r="U47" i="4"/>
  <c r="T47" i="4"/>
  <c r="J47" i="4"/>
  <c r="O47" i="4"/>
  <c r="N47" i="4" s="1"/>
  <c r="J45" i="4"/>
  <c r="R38" i="4"/>
  <c r="P38" i="4"/>
  <c r="M38" i="4"/>
  <c r="I38" i="4"/>
  <c r="H38" i="4"/>
  <c r="F38" i="4"/>
  <c r="E38" i="4"/>
  <c r="J37" i="4"/>
  <c r="O37" i="4" s="1"/>
  <c r="U34" i="4"/>
  <c r="T34" i="4"/>
  <c r="U33" i="4"/>
  <c r="T33" i="4"/>
  <c r="J33" i="4"/>
  <c r="G33" i="4"/>
  <c r="O33" i="4" s="1"/>
  <c r="N33" i="4" s="1"/>
  <c r="J31" i="4"/>
  <c r="P31" i="4"/>
  <c r="P36" i="4" s="1"/>
  <c r="I30" i="4"/>
  <c r="H30" i="4"/>
  <c r="F30" i="4"/>
  <c r="E30" i="4"/>
  <c r="J29" i="4"/>
  <c r="R29" i="4"/>
  <c r="U28" i="4"/>
  <c r="T28" i="4"/>
  <c r="J28" i="4"/>
  <c r="O28" i="4"/>
  <c r="N28" i="4" s="1"/>
  <c r="U27" i="4"/>
  <c r="T27" i="4"/>
  <c r="J27" i="4"/>
  <c r="O27" i="4"/>
  <c r="N27" i="4" s="1"/>
  <c r="U26" i="4"/>
  <c r="T26" i="4"/>
  <c r="J26" i="4"/>
  <c r="O26" i="4"/>
  <c r="N26" i="4" s="1"/>
  <c r="J24" i="4"/>
  <c r="I23" i="4"/>
  <c r="H23" i="4"/>
  <c r="F23" i="4"/>
  <c r="E23" i="4"/>
  <c r="E44" i="4" s="1"/>
  <c r="J22" i="4"/>
  <c r="T22" i="4" s="1"/>
  <c r="U21" i="4"/>
  <c r="T21" i="4"/>
  <c r="J21" i="4"/>
  <c r="O21" i="4"/>
  <c r="N21" i="4" s="1"/>
  <c r="U20" i="4"/>
  <c r="T20" i="4"/>
  <c r="J20" i="4"/>
  <c r="G20" i="4"/>
  <c r="O20" i="4" s="1"/>
  <c r="N20" i="4" s="1"/>
  <c r="U19" i="4"/>
  <c r="T19" i="4"/>
  <c r="J19" i="4"/>
  <c r="O19" i="4"/>
  <c r="N19" i="4" s="1"/>
  <c r="U18" i="4"/>
  <c r="T18" i="4"/>
  <c r="J18" i="4"/>
  <c r="O18" i="4"/>
  <c r="N18" i="4" s="1"/>
  <c r="U17" i="4"/>
  <c r="T17" i="4"/>
  <c r="J17" i="4"/>
  <c r="O17" i="4"/>
  <c r="N17" i="4" s="1"/>
  <c r="U16" i="4"/>
  <c r="T16" i="4"/>
  <c r="J16" i="4"/>
  <c r="O16" i="4"/>
  <c r="N16" i="4" s="1"/>
  <c r="U15" i="4"/>
  <c r="T15" i="4"/>
  <c r="J15" i="4"/>
  <c r="O15" i="4"/>
  <c r="N15" i="4" s="1"/>
  <c r="U14" i="4"/>
  <c r="T14" i="4"/>
  <c r="J14" i="4"/>
  <c r="G14" i="4"/>
  <c r="O14" i="4" s="1"/>
  <c r="N14" i="4" s="1"/>
  <c r="J12" i="4"/>
  <c r="Q22" i="3"/>
  <c r="F44" i="4" l="1"/>
  <c r="E73" i="4"/>
  <c r="H73" i="4"/>
  <c r="F103" i="4"/>
  <c r="I103" i="4"/>
  <c r="F136" i="4"/>
  <c r="Q73" i="6"/>
  <c r="N73" i="6"/>
  <c r="Q69" i="6"/>
  <c r="N28" i="6"/>
  <c r="N27" i="6" s="1"/>
  <c r="T34" i="6"/>
  <c r="G165" i="4"/>
  <c r="G38" i="4"/>
  <c r="H44" i="4"/>
  <c r="X27" i="6"/>
  <c r="Y27" i="6" s="1"/>
  <c r="I44" i="4"/>
  <c r="I171" i="4"/>
  <c r="I73" i="4"/>
  <c r="I136" i="4"/>
  <c r="R22" i="4"/>
  <c r="O22" i="4"/>
  <c r="R31" i="4"/>
  <c r="R36" i="4" s="1"/>
  <c r="R61" i="4"/>
  <c r="R65" i="4" s="1"/>
  <c r="P61" i="4"/>
  <c r="G114" i="4"/>
  <c r="G128" i="4"/>
  <c r="R124" i="4"/>
  <c r="P124" i="4"/>
  <c r="G147" i="4"/>
  <c r="G23" i="4"/>
  <c r="R12" i="4"/>
  <c r="R45" i="4"/>
  <c r="G67" i="4"/>
  <c r="R90" i="4"/>
  <c r="R95" i="4" s="1"/>
  <c r="P90" i="4"/>
  <c r="G97" i="4"/>
  <c r="G130" i="4"/>
  <c r="R158" i="4"/>
  <c r="N163" i="4"/>
  <c r="T163" i="4" s="1"/>
  <c r="P185" i="4"/>
  <c r="P187" i="4" s="1"/>
  <c r="G194" i="4"/>
  <c r="R180" i="6"/>
  <c r="O38" i="6"/>
  <c r="Q99" i="6"/>
  <c r="Q97" i="6" s="1"/>
  <c r="Q128" i="6"/>
  <c r="Q127" i="6" s="1"/>
  <c r="Q142" i="6"/>
  <c r="Q141" i="6" s="1"/>
  <c r="Q55" i="6"/>
  <c r="Q84" i="6"/>
  <c r="Q85" i="6"/>
  <c r="Q169" i="6"/>
  <c r="V35" i="6"/>
  <c r="T35" i="6"/>
  <c r="U35" i="6"/>
  <c r="Q17" i="6"/>
  <c r="N15" i="6"/>
  <c r="N14" i="6" s="1"/>
  <c r="Q18" i="6"/>
  <c r="Q154" i="6"/>
  <c r="G139" i="6"/>
  <c r="V18" i="6"/>
  <c r="U18" i="6"/>
  <c r="G82" i="4"/>
  <c r="R74" i="4"/>
  <c r="N74" i="4" s="1"/>
  <c r="T74" i="4" s="1"/>
  <c r="U74" i="4" s="1"/>
  <c r="U44" i="6"/>
  <c r="O52" i="4"/>
  <c r="N52" i="4" s="1"/>
  <c r="P88" i="4"/>
  <c r="P95" i="4"/>
  <c r="T146" i="4"/>
  <c r="O179" i="4"/>
  <c r="R179" i="4"/>
  <c r="R53" i="4"/>
  <c r="J64" i="4"/>
  <c r="T64" i="4"/>
  <c r="O154" i="4"/>
  <c r="N180" i="4"/>
  <c r="T180" i="4" s="1"/>
  <c r="R187" i="4"/>
  <c r="R200" i="4" s="1"/>
  <c r="T85" i="6"/>
  <c r="U29" i="6"/>
  <c r="U28" i="6" s="1"/>
  <c r="W28" i="6" s="1"/>
  <c r="O165" i="6"/>
  <c r="N165" i="6"/>
  <c r="V17" i="6"/>
  <c r="Q40" i="6"/>
  <c r="Q43" i="6"/>
  <c r="Q44" i="6"/>
  <c r="N52" i="6"/>
  <c r="N39" i="6" s="1"/>
  <c r="N38" i="6" s="1"/>
  <c r="V56" i="6"/>
  <c r="T57" i="6"/>
  <c r="U57" i="6" s="1"/>
  <c r="V57" i="6" s="1"/>
  <c r="N66" i="6"/>
  <c r="U72" i="6"/>
  <c r="T73" i="6"/>
  <c r="U73" i="6" s="1"/>
  <c r="V73" i="6" s="1"/>
  <c r="U85" i="6"/>
  <c r="V85" i="6" s="1"/>
  <c r="T86" i="6"/>
  <c r="U86" i="6" s="1"/>
  <c r="V86" i="6" s="1"/>
  <c r="U98" i="6"/>
  <c r="T99" i="6"/>
  <c r="U99" i="6" s="1"/>
  <c r="V99" i="6" s="1"/>
  <c r="N115" i="6"/>
  <c r="T129" i="6"/>
  <c r="U129" i="6"/>
  <c r="T130" i="6"/>
  <c r="U130" i="6" s="1"/>
  <c r="V130" i="6" s="1"/>
  <c r="T131" i="6"/>
  <c r="U131" i="6" s="1"/>
  <c r="V131" i="6" s="1"/>
  <c r="T144" i="6"/>
  <c r="U144" i="6" s="1"/>
  <c r="U155" i="6"/>
  <c r="T156" i="6"/>
  <c r="U156" i="6"/>
  <c r="G30" i="4"/>
  <c r="P29" i="4"/>
  <c r="G60" i="4"/>
  <c r="P59" i="4"/>
  <c r="P65" i="4"/>
  <c r="G65" i="4"/>
  <c r="G95" i="4"/>
  <c r="G123" i="4"/>
  <c r="P122" i="4"/>
  <c r="O127" i="4"/>
  <c r="P145" i="4"/>
  <c r="G156" i="4"/>
  <c r="P154" i="4"/>
  <c r="T155" i="4"/>
  <c r="P157" i="4"/>
  <c r="P179" i="4"/>
  <c r="T173" i="4"/>
  <c r="U173" i="4" s="1"/>
  <c r="O190" i="4"/>
  <c r="N190" i="4" s="1"/>
  <c r="O165" i="4"/>
  <c r="O191" i="4"/>
  <c r="N191" i="4" s="1"/>
  <c r="U22" i="4"/>
  <c r="U24" i="4"/>
  <c r="T24" i="4"/>
  <c r="G53" i="4"/>
  <c r="P53" i="4"/>
  <c r="U52" i="4"/>
  <c r="T52" i="4"/>
  <c r="U81" i="4"/>
  <c r="T81" i="4"/>
  <c r="U83" i="4"/>
  <c r="T83" i="4"/>
  <c r="T89" i="4" s="1"/>
  <c r="P22" i="4"/>
  <c r="P23" i="4" s="1"/>
  <c r="P24" i="4"/>
  <c r="O29" i="4"/>
  <c r="O31" i="4"/>
  <c r="O36" i="4" s="1"/>
  <c r="P128" i="4"/>
  <c r="U54" i="4"/>
  <c r="T54" i="4"/>
  <c r="T60" i="4" s="1"/>
  <c r="T94" i="4"/>
  <c r="U94" i="4"/>
  <c r="U113" i="4"/>
  <c r="T113" i="4"/>
  <c r="U115" i="4"/>
  <c r="T115" i="4"/>
  <c r="T123" i="4" s="1"/>
  <c r="U149" i="4"/>
  <c r="T149" i="4"/>
  <c r="O24" i="4"/>
  <c r="R24" i="4"/>
  <c r="R30" i="4" s="1"/>
  <c r="P54" i="4"/>
  <c r="O59" i="4"/>
  <c r="N59" i="4" s="1"/>
  <c r="U59" i="4"/>
  <c r="O61" i="4"/>
  <c r="O64" i="4"/>
  <c r="N64" i="4" s="1"/>
  <c r="R82" i="4"/>
  <c r="P81" i="4"/>
  <c r="P82" i="4" s="1"/>
  <c r="P83" i="4"/>
  <c r="P89" i="4" s="1"/>
  <c r="O88" i="4"/>
  <c r="U88" i="4"/>
  <c r="O90" i="4"/>
  <c r="O94" i="4"/>
  <c r="N96" i="4"/>
  <c r="R104" i="4"/>
  <c r="R114" i="4" s="1"/>
  <c r="P113" i="4"/>
  <c r="P115" i="4"/>
  <c r="P123" i="4" s="1"/>
  <c r="O122" i="4"/>
  <c r="U122" i="4"/>
  <c r="O124" i="4"/>
  <c r="R128" i="4"/>
  <c r="J127" i="4"/>
  <c r="P147" i="4"/>
  <c r="O145" i="4"/>
  <c r="U145" i="4"/>
  <c r="O148" i="4"/>
  <c r="R148" i="4"/>
  <c r="R156" i="4" s="1"/>
  <c r="U148" i="4"/>
  <c r="P149" i="4"/>
  <c r="P156" i="4" s="1"/>
  <c r="U154" i="4"/>
  <c r="O157" i="4"/>
  <c r="R157" i="4"/>
  <c r="U157" i="4"/>
  <c r="U161" i="4"/>
  <c r="N172" i="4"/>
  <c r="U180" i="4"/>
  <c r="N188" i="4"/>
  <c r="O54" i="4"/>
  <c r="R54" i="4"/>
  <c r="R60" i="4" s="1"/>
  <c r="O81" i="4"/>
  <c r="O83" i="4"/>
  <c r="R83" i="4"/>
  <c r="R89" i="4" s="1"/>
  <c r="O113" i="4"/>
  <c r="N113" i="4" s="1"/>
  <c r="O115" i="4"/>
  <c r="R115" i="4"/>
  <c r="R123" i="4" s="1"/>
  <c r="R137" i="4"/>
  <c r="R147" i="4" s="1"/>
  <c r="O149" i="4"/>
  <c r="O158" i="4"/>
  <c r="O185" i="4"/>
  <c r="U241" i="3"/>
  <c r="T241" i="3"/>
  <c r="R73" i="4" l="1"/>
  <c r="N179" i="4"/>
  <c r="Q83" i="6"/>
  <c r="R23" i="4"/>
  <c r="R44" i="4" s="1"/>
  <c r="W36" i="4" s="1"/>
  <c r="T115" i="6"/>
  <c r="U115" i="6" s="1"/>
  <c r="V115" i="6" s="1"/>
  <c r="N111" i="6"/>
  <c r="Q139" i="6"/>
  <c r="T139" i="6" s="1"/>
  <c r="U139" i="6" s="1"/>
  <c r="V139" i="6" s="1"/>
  <c r="Q15" i="6"/>
  <c r="T27" i="6"/>
  <c r="N55" i="6"/>
  <c r="N54" i="6" s="1"/>
  <c r="N165" i="4"/>
  <c r="T165" i="4" s="1"/>
  <c r="U163" i="4"/>
  <c r="U165" i="4" s="1"/>
  <c r="V144" i="6"/>
  <c r="T172" i="4"/>
  <c r="V172" i="4"/>
  <c r="N158" i="4"/>
  <c r="P200" i="4"/>
  <c r="X163" i="4"/>
  <c r="R136" i="4"/>
  <c r="R103" i="4"/>
  <c r="P103" i="4"/>
  <c r="N178" i="6"/>
  <c r="V166" i="6"/>
  <c r="O139" i="6"/>
  <c r="O178" i="6"/>
  <c r="T100" i="6"/>
  <c r="T140" i="6"/>
  <c r="Q153" i="6"/>
  <c r="X153" i="6" s="1"/>
  <c r="Y153" i="6" s="1"/>
  <c r="T128" i="6"/>
  <c r="T127" i="6" s="1"/>
  <c r="T126" i="6" s="1"/>
  <c r="T72" i="6"/>
  <c r="N124" i="6"/>
  <c r="N110" i="6" s="1"/>
  <c r="O124" i="6"/>
  <c r="O55" i="6"/>
  <c r="T58" i="6"/>
  <c r="U58" i="6" s="1"/>
  <c r="V58" i="6" s="1"/>
  <c r="V55" i="6" s="1"/>
  <c r="T143" i="6"/>
  <c r="Q54" i="6"/>
  <c r="N154" i="6"/>
  <c r="N153" i="6" s="1"/>
  <c r="N83" i="6"/>
  <c r="Q110" i="6"/>
  <c r="X110" i="6" s="1"/>
  <c r="Y110" i="6" s="1"/>
  <c r="Q68" i="6"/>
  <c r="X68" i="6" s="1"/>
  <c r="Y68" i="6" s="1"/>
  <c r="O110" i="6"/>
  <c r="O82" i="6"/>
  <c r="O97" i="6"/>
  <c r="Q168" i="6"/>
  <c r="T157" i="6"/>
  <c r="U157" i="6" s="1"/>
  <c r="U154" i="6" s="1"/>
  <c r="N97" i="6"/>
  <c r="N96" i="6" s="1"/>
  <c r="N142" i="6"/>
  <c r="T71" i="6"/>
  <c r="U71" i="6" s="1"/>
  <c r="V71" i="6" s="1"/>
  <c r="N69" i="6"/>
  <c r="X141" i="6"/>
  <c r="N168" i="6"/>
  <c r="N149" i="4"/>
  <c r="T158" i="4"/>
  <c r="U158" i="4" s="1"/>
  <c r="U162" i="4" s="1"/>
  <c r="R162" i="4"/>
  <c r="R171" i="4" s="1"/>
  <c r="N122" i="4"/>
  <c r="N88" i="4"/>
  <c r="P30" i="4"/>
  <c r="P44" i="4" s="1"/>
  <c r="G73" i="4"/>
  <c r="N154" i="4"/>
  <c r="G44" i="4"/>
  <c r="G171" i="4"/>
  <c r="Y164" i="4" s="1"/>
  <c r="Z164" i="4" s="1"/>
  <c r="Z165" i="4" s="1"/>
  <c r="G103" i="4"/>
  <c r="N12" i="4"/>
  <c r="T12" i="4" s="1"/>
  <c r="G136" i="4"/>
  <c r="T84" i="6"/>
  <c r="T53" i="6"/>
  <c r="V95" i="6"/>
  <c r="U34" i="6"/>
  <c r="V34" i="6" s="1"/>
  <c r="N97" i="4"/>
  <c r="T97" i="4" s="1"/>
  <c r="U97" i="4" s="1"/>
  <c r="T96" i="4"/>
  <c r="U96" i="4" s="1"/>
  <c r="T19" i="6"/>
  <c r="U19" i="6" s="1"/>
  <c r="V19" i="6" s="1"/>
  <c r="T17" i="6"/>
  <c r="T170" i="6"/>
  <c r="V170" i="6" s="1"/>
  <c r="V168" i="6" s="1"/>
  <c r="V167" i="6" s="1"/>
  <c r="N151" i="6"/>
  <c r="O151" i="6"/>
  <c r="N80" i="6"/>
  <c r="O80" i="6"/>
  <c r="V179" i="6"/>
  <c r="U179" i="6"/>
  <c r="T179" i="6"/>
  <c r="S167" i="6"/>
  <c r="U166" i="6"/>
  <c r="T166" i="6"/>
  <c r="U140" i="6"/>
  <c r="U125" i="6"/>
  <c r="V125" i="6"/>
  <c r="S110" i="6"/>
  <c r="T125" i="6"/>
  <c r="U152" i="6"/>
  <c r="T114" i="6"/>
  <c r="U114" i="6" s="1"/>
  <c r="V114" i="6" s="1"/>
  <c r="N94" i="6"/>
  <c r="T94" i="6" s="1"/>
  <c r="U94" i="6" s="1"/>
  <c r="V94" i="6" s="1"/>
  <c r="T70" i="6"/>
  <c r="V81" i="6"/>
  <c r="U81" i="6"/>
  <c r="T81" i="6"/>
  <c r="S68" i="6"/>
  <c r="N192" i="4"/>
  <c r="U188" i="4"/>
  <c r="U192" i="4" s="1"/>
  <c r="T188" i="4"/>
  <c r="T192" i="4" s="1"/>
  <c r="T18" i="6"/>
  <c r="T16" i="6"/>
  <c r="P162" i="4"/>
  <c r="P171" i="4" s="1"/>
  <c r="N145" i="4"/>
  <c r="P114" i="4"/>
  <c r="P136" i="4" s="1"/>
  <c r="P60" i="4"/>
  <c r="P73" i="4" s="1"/>
  <c r="N29" i="4"/>
  <c r="T29" i="4" s="1"/>
  <c r="U29" i="4" s="1"/>
  <c r="U30" i="4" s="1"/>
  <c r="N66" i="4"/>
  <c r="T156" i="4"/>
  <c r="O192" i="4"/>
  <c r="T44" i="6"/>
  <c r="T43" i="6"/>
  <c r="U43" i="6" s="1"/>
  <c r="V43" i="6" s="1"/>
  <c r="T165" i="6"/>
  <c r="U165" i="6" s="1"/>
  <c r="V165" i="6" s="1"/>
  <c r="O153" i="6"/>
  <c r="O108" i="6"/>
  <c r="T169" i="6"/>
  <c r="T155" i="6"/>
  <c r="T113" i="6"/>
  <c r="O14" i="6"/>
  <c r="V29" i="6"/>
  <c r="V28" i="6" s="1"/>
  <c r="Q39" i="6"/>
  <c r="T98" i="6"/>
  <c r="O66" i="6"/>
  <c r="T56" i="6"/>
  <c r="T40" i="6"/>
  <c r="N185" i="4"/>
  <c r="T185" i="4" s="1"/>
  <c r="U185" i="4" s="1"/>
  <c r="N81" i="4"/>
  <c r="N82" i="4" s="1"/>
  <c r="T82" i="4" s="1"/>
  <c r="O123" i="4"/>
  <c r="N115" i="4"/>
  <c r="O162" i="4"/>
  <c r="N157" i="4"/>
  <c r="N162" i="4" s="1"/>
  <c r="N104" i="4"/>
  <c r="O114" i="4"/>
  <c r="O82" i="4"/>
  <c r="O89" i="4"/>
  <c r="N83" i="4"/>
  <c r="N89" i="4" s="1"/>
  <c r="N193" i="4"/>
  <c r="O194" i="4"/>
  <c r="O156" i="4"/>
  <c r="N148" i="4"/>
  <c r="N129" i="4"/>
  <c r="O130" i="4"/>
  <c r="N124" i="4"/>
  <c r="O128" i="4"/>
  <c r="O95" i="4"/>
  <c r="N90" i="4"/>
  <c r="O65" i="4"/>
  <c r="N61" i="4"/>
  <c r="O38" i="4"/>
  <c r="N37" i="4"/>
  <c r="N31" i="4"/>
  <c r="N36" i="4" s="1"/>
  <c r="O23" i="4"/>
  <c r="O187" i="4"/>
  <c r="U156" i="4"/>
  <c r="W136" i="4"/>
  <c r="X136" i="4" s="1"/>
  <c r="W103" i="4"/>
  <c r="X103" i="4" s="1"/>
  <c r="N22" i="4"/>
  <c r="U123" i="4"/>
  <c r="U60" i="4"/>
  <c r="O147" i="4"/>
  <c r="N137" i="4"/>
  <c r="O60" i="4"/>
  <c r="N54" i="4"/>
  <c r="N60" i="4" s="1"/>
  <c r="U127" i="4"/>
  <c r="T127" i="4"/>
  <c r="O30" i="4"/>
  <c r="N24" i="4"/>
  <c r="O53" i="4"/>
  <c r="N45" i="4"/>
  <c r="U89" i="4"/>
  <c r="N22" i="3"/>
  <c r="N194" i="4" l="1"/>
  <c r="T194" i="4" s="1"/>
  <c r="U194" i="4" s="1"/>
  <c r="T193" i="4"/>
  <c r="U193" i="4" s="1"/>
  <c r="O73" i="4"/>
  <c r="T168" i="6"/>
  <c r="W23" i="4"/>
  <c r="U172" i="4"/>
  <c r="U179" i="4" s="1"/>
  <c r="T179" i="4"/>
  <c r="T111" i="6"/>
  <c r="O54" i="6"/>
  <c r="N167" i="6"/>
  <c r="Q126" i="6"/>
  <c r="V27" i="6"/>
  <c r="U40" i="6"/>
  <c r="V40" i="6" s="1"/>
  <c r="T39" i="6"/>
  <c r="T66" i="6"/>
  <c r="U66" i="6" s="1"/>
  <c r="V66" i="6" s="1"/>
  <c r="T15" i="6"/>
  <c r="X126" i="6"/>
  <c r="Y126" i="6" s="1"/>
  <c r="T178" i="6"/>
  <c r="U27" i="6"/>
  <c r="O96" i="6"/>
  <c r="T142" i="6"/>
  <c r="U143" i="6"/>
  <c r="U100" i="6"/>
  <c r="V39" i="6"/>
  <c r="T24" i="6"/>
  <c r="S14" i="6"/>
  <c r="X54" i="6"/>
  <c r="Y54" i="6" s="1"/>
  <c r="N123" i="4"/>
  <c r="V152" i="6"/>
  <c r="S141" i="6"/>
  <c r="S153" i="6"/>
  <c r="S126" i="6"/>
  <c r="V140" i="6"/>
  <c r="O200" i="4"/>
  <c r="T162" i="4"/>
  <c r="O171" i="4"/>
  <c r="N171" i="4" s="1"/>
  <c r="O136" i="4"/>
  <c r="N136" i="4" s="1"/>
  <c r="O103" i="4"/>
  <c r="N73" i="4"/>
  <c r="O44" i="4"/>
  <c r="N44" i="4" s="1"/>
  <c r="O167" i="6"/>
  <c r="O126" i="6"/>
  <c r="T124" i="6"/>
  <c r="U124" i="6" s="1"/>
  <c r="V124" i="6" s="1"/>
  <c r="T55" i="6"/>
  <c r="T97" i="6"/>
  <c r="T154" i="6"/>
  <c r="T153" i="6" s="1"/>
  <c r="V53" i="6"/>
  <c r="U128" i="6"/>
  <c r="U127" i="6" s="1"/>
  <c r="U126" i="6" s="1"/>
  <c r="W127" i="6" s="1"/>
  <c r="U95" i="6"/>
  <c r="T69" i="6"/>
  <c r="N68" i="6"/>
  <c r="T83" i="6"/>
  <c r="U39" i="6"/>
  <c r="U53" i="6"/>
  <c r="U24" i="6"/>
  <c r="V24" i="6"/>
  <c r="Q14" i="6"/>
  <c r="S82" i="6"/>
  <c r="T152" i="6"/>
  <c r="S38" i="6"/>
  <c r="T95" i="6"/>
  <c r="U55" i="6"/>
  <c r="Q96" i="6"/>
  <c r="X96" i="6" s="1"/>
  <c r="Y96" i="6" s="1"/>
  <c r="Q167" i="6"/>
  <c r="X167" i="6" s="1"/>
  <c r="Y167" i="6" s="1"/>
  <c r="Q82" i="6"/>
  <c r="X82" i="6" s="1"/>
  <c r="Y82" i="6" s="1"/>
  <c r="N156" i="4"/>
  <c r="U168" i="6"/>
  <c r="U167" i="6" s="1"/>
  <c r="U82" i="4"/>
  <c r="U113" i="6"/>
  <c r="U111" i="6" s="1"/>
  <c r="U84" i="6"/>
  <c r="U83" i="6" s="1"/>
  <c r="Y141" i="6"/>
  <c r="P201" i="4"/>
  <c r="W200" i="4"/>
  <c r="X200" i="4" s="1"/>
  <c r="U12" i="4"/>
  <c r="U23" i="4" s="1"/>
  <c r="T23" i="4"/>
  <c r="T80" i="6"/>
  <c r="U80" i="6" s="1"/>
  <c r="V80" i="6" s="1"/>
  <c r="W44" i="4"/>
  <c r="X44" i="4" s="1"/>
  <c r="U16" i="6"/>
  <c r="U15" i="6" s="1"/>
  <c r="N147" i="4"/>
  <c r="T137" i="4"/>
  <c r="N130" i="4"/>
  <c r="T130" i="4" s="1"/>
  <c r="U130" i="4" s="1"/>
  <c r="T129" i="4"/>
  <c r="U129" i="4" s="1"/>
  <c r="N114" i="4"/>
  <c r="T104" i="4"/>
  <c r="U104" i="4" s="1"/>
  <c r="N67" i="4"/>
  <c r="T67" i="4" s="1"/>
  <c r="T66" i="4"/>
  <c r="U66" i="4" s="1"/>
  <c r="N53" i="4"/>
  <c r="T45" i="4"/>
  <c r="U70" i="6"/>
  <c r="U69" i="6" s="1"/>
  <c r="V157" i="6"/>
  <c r="V154" i="6" s="1"/>
  <c r="U153" i="6"/>
  <c r="N95" i="4"/>
  <c r="T90" i="4"/>
  <c r="N65" i="4"/>
  <c r="T61" i="4"/>
  <c r="T31" i="4"/>
  <c r="T36" i="4" s="1"/>
  <c r="N23" i="4"/>
  <c r="N38" i="4"/>
  <c r="T37" i="4"/>
  <c r="N141" i="6"/>
  <c r="O68" i="6"/>
  <c r="O141" i="6"/>
  <c r="T151" i="6"/>
  <c r="U151" i="6" s="1"/>
  <c r="V151" i="6" s="1"/>
  <c r="N82" i="6"/>
  <c r="U67" i="6"/>
  <c r="V67" i="6"/>
  <c r="V54" i="6" s="1"/>
  <c r="T67" i="6"/>
  <c r="S54" i="6"/>
  <c r="U109" i="6"/>
  <c r="V109" i="6"/>
  <c r="T109" i="6"/>
  <c r="S96" i="6"/>
  <c r="T23" i="6"/>
  <c r="U23" i="6" s="1"/>
  <c r="V23" i="6" s="1"/>
  <c r="T30" i="4"/>
  <c r="N30" i="4"/>
  <c r="N128" i="4"/>
  <c r="T124" i="4"/>
  <c r="U124" i="4" s="1"/>
  <c r="U128" i="4" s="1"/>
  <c r="T108" i="6"/>
  <c r="N187" i="4"/>
  <c r="N103" i="4"/>
  <c r="U255" i="3"/>
  <c r="T255" i="3"/>
  <c r="T259" i="3" s="1"/>
  <c r="Q255" i="3"/>
  <c r="Q259" i="3" s="1"/>
  <c r="U248" i="3"/>
  <c r="T248" i="3"/>
  <c r="Q248" i="3"/>
  <c r="U247" i="3"/>
  <c r="T247" i="3"/>
  <c r="Q247" i="3"/>
  <c r="U67" i="4" l="1"/>
  <c r="W100" i="6"/>
  <c r="U97" i="6"/>
  <c r="T141" i="6"/>
  <c r="W154" i="6"/>
  <c r="W15" i="6"/>
  <c r="N180" i="6"/>
  <c r="O180" i="6"/>
  <c r="T167" i="6"/>
  <c r="T110" i="6"/>
  <c r="S180" i="6"/>
  <c r="V143" i="6"/>
  <c r="V142" i="6" s="1"/>
  <c r="V141" i="6" s="1"/>
  <c r="U142" i="6"/>
  <c r="U141" i="6" s="1"/>
  <c r="V100" i="6"/>
  <c r="V97" i="6" s="1"/>
  <c r="T82" i="6"/>
  <c r="T54" i="6"/>
  <c r="W55" i="6" s="1"/>
  <c r="V128" i="6"/>
  <c r="V127" i="6" s="1"/>
  <c r="V126" i="6" s="1"/>
  <c r="X14" i="6"/>
  <c r="Y14" i="6" s="1"/>
  <c r="U54" i="6"/>
  <c r="T14" i="6"/>
  <c r="U14" i="6"/>
  <c r="V16" i="6"/>
  <c r="V15" i="6" s="1"/>
  <c r="V14" i="6" s="1"/>
  <c r="V162" i="4"/>
  <c r="W162" i="4" s="1"/>
  <c r="R201" i="4"/>
  <c r="W171" i="4"/>
  <c r="X171" i="4" s="1"/>
  <c r="T114" i="4"/>
  <c r="V131" i="4"/>
  <c r="V153" i="6"/>
  <c r="V84" i="6"/>
  <c r="U82" i="6"/>
  <c r="V113" i="6"/>
  <c r="V111" i="6" s="1"/>
  <c r="U110" i="6"/>
  <c r="W111" i="6" s="1"/>
  <c r="T68" i="6"/>
  <c r="T96" i="6"/>
  <c r="U108" i="6"/>
  <c r="V108" i="6" s="1"/>
  <c r="U137" i="4"/>
  <c r="U147" i="4" s="1"/>
  <c r="U171" i="4" s="1"/>
  <c r="T147" i="4"/>
  <c r="T171" i="4" s="1"/>
  <c r="U45" i="4"/>
  <c r="U53" i="4" s="1"/>
  <c r="T53" i="4"/>
  <c r="V70" i="6"/>
  <c r="V69" i="6" s="1"/>
  <c r="U68" i="6"/>
  <c r="U90" i="4"/>
  <c r="U95" i="4" s="1"/>
  <c r="U103" i="4" s="1"/>
  <c r="T95" i="4"/>
  <c r="T103" i="4" s="1"/>
  <c r="U61" i="4"/>
  <c r="U65" i="4" s="1"/>
  <c r="U73" i="4" s="1"/>
  <c r="T65" i="4"/>
  <c r="V73" i="4" s="1"/>
  <c r="W73" i="4" s="1"/>
  <c r="X73" i="4" s="1"/>
  <c r="U31" i="4"/>
  <c r="U36" i="4" s="1"/>
  <c r="U37" i="4"/>
  <c r="U38" i="4" s="1"/>
  <c r="T38" i="4"/>
  <c r="T44" i="4" s="1"/>
  <c r="O201" i="4"/>
  <c r="N200" i="4"/>
  <c r="N201" i="4" s="1"/>
  <c r="T187" i="4"/>
  <c r="T200" i="4" s="1"/>
  <c r="T128" i="4"/>
  <c r="U242" i="3"/>
  <c r="T242" i="3"/>
  <c r="Q242" i="3"/>
  <c r="V241" i="3"/>
  <c r="Q241" i="3"/>
  <c r="V214" i="3"/>
  <c r="U214" i="3"/>
  <c r="V199" i="3"/>
  <c r="V200" i="3"/>
  <c r="U199" i="3"/>
  <c r="U200" i="3"/>
  <c r="V190" i="3"/>
  <c r="V188" i="3"/>
  <c r="U190" i="3"/>
  <c r="U188" i="3"/>
  <c r="V140" i="3"/>
  <c r="U140" i="3"/>
  <c r="V137" i="3"/>
  <c r="U137" i="3"/>
  <c r="O255" i="3"/>
  <c r="O248" i="3"/>
  <c r="O247" i="3"/>
  <c r="O242" i="3"/>
  <c r="O241" i="3"/>
  <c r="G14" i="3"/>
  <c r="T73" i="4" l="1"/>
  <c r="W69" i="6"/>
  <c r="W83" i="6"/>
  <c r="W143" i="6"/>
  <c r="W168" i="6"/>
  <c r="V96" i="6"/>
  <c r="T136" i="4"/>
  <c r="U44" i="4"/>
  <c r="V83" i="6"/>
  <c r="V82" i="6" s="1"/>
  <c r="V110" i="6"/>
  <c r="U114" i="4"/>
  <c r="U136" i="4" s="1"/>
  <c r="V130" i="4"/>
  <c r="V68" i="6"/>
  <c r="U96" i="6"/>
  <c r="W97" i="6" s="1"/>
  <c r="U187" i="4"/>
  <c r="U200" i="4" s="1"/>
  <c r="Q14" i="3"/>
  <c r="N14" i="3"/>
  <c r="G257" i="3"/>
  <c r="U257" i="3" s="1"/>
  <c r="J268" i="3"/>
  <c r="J267" i="3"/>
  <c r="T201" i="4" l="1"/>
  <c r="U201" i="4"/>
  <c r="V257" i="3"/>
  <c r="N241" i="3"/>
  <c r="F133" i="3"/>
  <c r="T154" i="3"/>
  <c r="T142" i="3"/>
  <c r="Q142" i="3"/>
  <c r="G260" i="3"/>
  <c r="O260" i="3" s="1"/>
  <c r="G132" i="3"/>
  <c r="G133" i="3" s="1"/>
  <c r="G129" i="3"/>
  <c r="O257" i="3"/>
  <c r="G258" i="3"/>
  <c r="J258" i="3"/>
  <c r="J257" i="3"/>
  <c r="G252" i="3"/>
  <c r="T252" i="3" s="1"/>
  <c r="G253" i="3"/>
  <c r="O253" i="3" s="1"/>
  <c r="K252" i="3"/>
  <c r="G251" i="3"/>
  <c r="O251" i="3" s="1"/>
  <c r="G250" i="3"/>
  <c r="O250" i="3" s="1"/>
  <c r="G245" i="3"/>
  <c r="O245" i="3" s="1"/>
  <c r="G244" i="3"/>
  <c r="J244" i="3"/>
  <c r="K236" i="3"/>
  <c r="K233" i="3"/>
  <c r="K232" i="3"/>
  <c r="G238" i="3"/>
  <c r="O238" i="3" s="1"/>
  <c r="G236" i="3"/>
  <c r="G235" i="3"/>
  <c r="O235" i="3" s="1"/>
  <c r="G233" i="3"/>
  <c r="G232" i="3"/>
  <c r="T232" i="3" s="1"/>
  <c r="K229" i="3"/>
  <c r="K224" i="3"/>
  <c r="K223" i="3"/>
  <c r="G227" i="3"/>
  <c r="O227" i="3" s="1"/>
  <c r="G228" i="3"/>
  <c r="O228" i="3" s="1"/>
  <c r="G229" i="3"/>
  <c r="Q229" i="3" s="1"/>
  <c r="G230" i="3"/>
  <c r="G226" i="3"/>
  <c r="O226" i="3" s="1"/>
  <c r="G224" i="3"/>
  <c r="Q224" i="3" s="1"/>
  <c r="G223" i="3"/>
  <c r="T223" i="3" s="1"/>
  <c r="K220" i="3"/>
  <c r="J214" i="3"/>
  <c r="G214" i="3"/>
  <c r="O214" i="3" s="1"/>
  <c r="N214" i="3" s="1"/>
  <c r="K212" i="3"/>
  <c r="G216" i="3"/>
  <c r="O216" i="3" s="1"/>
  <c r="G217" i="3"/>
  <c r="O217" i="3" s="1"/>
  <c r="G218" i="3"/>
  <c r="O218" i="3" s="1"/>
  <c r="G219" i="3"/>
  <c r="O219" i="3" s="1"/>
  <c r="G220" i="3"/>
  <c r="T220" i="3" s="1"/>
  <c r="G221" i="3"/>
  <c r="O221" i="3" s="1"/>
  <c r="G215" i="3"/>
  <c r="O215" i="3" s="1"/>
  <c r="G212" i="3"/>
  <c r="T212" i="3" s="1"/>
  <c r="G209" i="3"/>
  <c r="O209" i="3" s="1"/>
  <c r="K207" i="3"/>
  <c r="K204" i="3"/>
  <c r="J204" i="3" s="1"/>
  <c r="G206" i="3"/>
  <c r="O206" i="3" s="1"/>
  <c r="G204" i="3"/>
  <c r="Q204" i="3" s="1"/>
  <c r="J200" i="3"/>
  <c r="G200" i="3"/>
  <c r="O200" i="3" s="1"/>
  <c r="N200" i="3" s="1"/>
  <c r="J199" i="3"/>
  <c r="G199" i="3"/>
  <c r="O199" i="3" s="1"/>
  <c r="N199" i="3" s="1"/>
  <c r="K202" i="3"/>
  <c r="K195" i="3"/>
  <c r="G198" i="3"/>
  <c r="O198" i="3" s="1"/>
  <c r="G201" i="3"/>
  <c r="O201" i="3" s="1"/>
  <c r="G202" i="3"/>
  <c r="T202" i="3" s="1"/>
  <c r="G197" i="3"/>
  <c r="O197" i="3" s="1"/>
  <c r="G195" i="3"/>
  <c r="O195" i="3" s="1"/>
  <c r="J190" i="3"/>
  <c r="G190" i="3"/>
  <c r="O190" i="3" s="1"/>
  <c r="N190" i="3" s="1"/>
  <c r="G188" i="3"/>
  <c r="O188" i="3" s="1"/>
  <c r="N188" i="3" s="1"/>
  <c r="J188" i="3"/>
  <c r="K193" i="3"/>
  <c r="G193" i="3"/>
  <c r="T193" i="3" s="1"/>
  <c r="G187" i="3"/>
  <c r="O187" i="3" s="1"/>
  <c r="G189" i="3"/>
  <c r="O189" i="3" s="1"/>
  <c r="G191" i="3"/>
  <c r="O191" i="3" s="1"/>
  <c r="G192" i="3"/>
  <c r="O192" i="3" s="1"/>
  <c r="G186" i="3"/>
  <c r="O186" i="3" s="1"/>
  <c r="K184" i="3"/>
  <c r="G184" i="3"/>
  <c r="K179" i="3"/>
  <c r="K175" i="3"/>
  <c r="G181" i="3"/>
  <c r="O181" i="3" s="1"/>
  <c r="G179" i="3"/>
  <c r="G178" i="3"/>
  <c r="O178" i="3" s="1"/>
  <c r="G177" i="3"/>
  <c r="O177" i="3" s="1"/>
  <c r="G175" i="3"/>
  <c r="O175" i="3" s="1"/>
  <c r="K173" i="3"/>
  <c r="G171" i="3"/>
  <c r="O171" i="3" s="1"/>
  <c r="G172" i="3"/>
  <c r="O172" i="3" s="1"/>
  <c r="G173" i="3"/>
  <c r="O173" i="3" s="1"/>
  <c r="G170" i="3"/>
  <c r="O170" i="3" s="1"/>
  <c r="K168" i="3"/>
  <c r="G168" i="3"/>
  <c r="K166" i="3"/>
  <c r="G166" i="3"/>
  <c r="G162" i="3"/>
  <c r="O162" i="3" s="1"/>
  <c r="G163" i="3"/>
  <c r="O163" i="3" s="1"/>
  <c r="G164" i="3"/>
  <c r="O164" i="3" s="1"/>
  <c r="G165" i="3"/>
  <c r="O165" i="3" s="1"/>
  <c r="G161" i="3"/>
  <c r="O161" i="3" s="1"/>
  <c r="K159" i="3"/>
  <c r="G159" i="3"/>
  <c r="O159" i="3" s="1"/>
  <c r="G156" i="3"/>
  <c r="O156" i="3" s="1"/>
  <c r="K154" i="3"/>
  <c r="O154" i="3" s="1"/>
  <c r="K151" i="3"/>
  <c r="G153" i="3"/>
  <c r="O153" i="3" s="1"/>
  <c r="G151" i="3"/>
  <c r="O151" i="3" s="1"/>
  <c r="K149" i="3"/>
  <c r="K144" i="3"/>
  <c r="G149" i="3"/>
  <c r="O149" i="3" s="1"/>
  <c r="G147" i="3"/>
  <c r="O147" i="3" s="1"/>
  <c r="G148" i="3"/>
  <c r="O148" i="3" s="1"/>
  <c r="G146" i="3"/>
  <c r="O146" i="3" s="1"/>
  <c r="G144" i="3"/>
  <c r="O144" i="3" s="1"/>
  <c r="G138" i="3"/>
  <c r="O138" i="3" s="1"/>
  <c r="G139" i="3"/>
  <c r="O139" i="3" s="1"/>
  <c r="G140" i="3"/>
  <c r="O140" i="3" s="1"/>
  <c r="N140" i="3" s="1"/>
  <c r="G141" i="3"/>
  <c r="O141" i="3" s="1"/>
  <c r="G137" i="3"/>
  <c r="O137" i="3" s="1"/>
  <c r="N137" i="3" s="1"/>
  <c r="G135" i="3"/>
  <c r="O135" i="3" s="1"/>
  <c r="K135" i="3"/>
  <c r="K142" i="3"/>
  <c r="O142" i="3" s="1"/>
  <c r="J140" i="3"/>
  <c r="J137" i="3"/>
  <c r="K125" i="3"/>
  <c r="K127" i="3"/>
  <c r="K120" i="3"/>
  <c r="K118" i="3"/>
  <c r="K108" i="3"/>
  <c r="J108" i="3" s="1"/>
  <c r="I131" i="3"/>
  <c r="H131" i="3"/>
  <c r="F131" i="3"/>
  <c r="E131" i="3"/>
  <c r="O129" i="3"/>
  <c r="G127" i="3"/>
  <c r="G125" i="3"/>
  <c r="O125" i="3" s="1"/>
  <c r="G123" i="3"/>
  <c r="O123" i="3" s="1"/>
  <c r="G124" i="3"/>
  <c r="O124" i="3" s="1"/>
  <c r="G122" i="3"/>
  <c r="O122" i="3" s="1"/>
  <c r="G120" i="3"/>
  <c r="O120" i="3" s="1"/>
  <c r="G118" i="3"/>
  <c r="G111" i="3"/>
  <c r="O111" i="3" s="1"/>
  <c r="G112" i="3"/>
  <c r="O112" i="3" s="1"/>
  <c r="G113" i="3"/>
  <c r="O113" i="3" s="1"/>
  <c r="G114" i="3"/>
  <c r="O114" i="3" s="1"/>
  <c r="G115" i="3"/>
  <c r="O115" i="3" s="1"/>
  <c r="N115" i="3" s="1"/>
  <c r="G116" i="3"/>
  <c r="O116" i="3" s="1"/>
  <c r="G117" i="3"/>
  <c r="O117" i="3" s="1"/>
  <c r="G110" i="3"/>
  <c r="O110" i="3" s="1"/>
  <c r="V115" i="3"/>
  <c r="U115" i="3"/>
  <c r="J115" i="3"/>
  <c r="G108" i="3"/>
  <c r="T108" i="3" s="1"/>
  <c r="O252" i="3" l="1"/>
  <c r="O244" i="3"/>
  <c r="U244" i="3"/>
  <c r="V244" i="3" s="1"/>
  <c r="O258" i="3"/>
  <c r="N258" i="3" s="1"/>
  <c r="U258" i="3"/>
  <c r="O118" i="3"/>
  <c r="O127" i="3"/>
  <c r="O166" i="3"/>
  <c r="O168" i="3"/>
  <c r="O179" i="3"/>
  <c r="O184" i="3"/>
  <c r="O233" i="3"/>
  <c r="O220" i="3"/>
  <c r="Q166" i="3"/>
  <c r="Q195" i="3"/>
  <c r="Q220" i="3"/>
  <c r="T173" i="3"/>
  <c r="N257" i="3"/>
  <c r="Q149" i="3"/>
  <c r="Q173" i="3"/>
  <c r="Q252" i="3"/>
  <c r="T149" i="3"/>
  <c r="T166" i="3"/>
  <c r="T195" i="3"/>
  <c r="Q233" i="3"/>
  <c r="T233" i="3"/>
  <c r="Q232" i="3"/>
  <c r="O232" i="3"/>
  <c r="O229" i="3"/>
  <c r="O224" i="3"/>
  <c r="T224" i="3"/>
  <c r="O223" i="3"/>
  <c r="Q223" i="3"/>
  <c r="O212" i="3"/>
  <c r="Q212" i="3"/>
  <c r="T204" i="3"/>
  <c r="O204" i="3"/>
  <c r="O202" i="3"/>
  <c r="Q202" i="3"/>
  <c r="Q193" i="3"/>
  <c r="O193" i="3"/>
  <c r="Q184" i="3"/>
  <c r="T184" i="3"/>
  <c r="Q175" i="3"/>
  <c r="T175" i="3"/>
  <c r="Q168" i="3"/>
  <c r="T168" i="3"/>
  <c r="Q159" i="3"/>
  <c r="T159" i="3"/>
  <c r="Q151" i="3"/>
  <c r="T151" i="3"/>
  <c r="Q144" i="3"/>
  <c r="T144" i="3"/>
  <c r="Q135" i="3"/>
  <c r="T135" i="3"/>
  <c r="Q127" i="3"/>
  <c r="T127" i="3"/>
  <c r="T125" i="3"/>
  <c r="Q125" i="3"/>
  <c r="Q120" i="3"/>
  <c r="T120" i="3"/>
  <c r="G119" i="3"/>
  <c r="T118" i="3"/>
  <c r="Q118" i="3"/>
  <c r="Q108" i="3"/>
  <c r="O14" i="3"/>
  <c r="O108" i="3"/>
  <c r="G126" i="3"/>
  <c r="V258" i="3" l="1"/>
  <c r="U259" i="3"/>
  <c r="O259" i="3"/>
  <c r="O22" i="3"/>
  <c r="K267" i="3"/>
  <c r="M22" i="3"/>
  <c r="M14" i="3"/>
  <c r="U14" i="3" s="1"/>
  <c r="I81" i="3"/>
  <c r="H81" i="3"/>
  <c r="F81" i="3"/>
  <c r="E81" i="3"/>
  <c r="G15" i="3"/>
  <c r="J177" i="3" l="1"/>
  <c r="J178" i="3"/>
  <c r="H38" i="3"/>
  <c r="U38" i="3" s="1"/>
  <c r="I102" i="3" l="1"/>
  <c r="I95" i="3"/>
  <c r="I88" i="3"/>
  <c r="I71" i="3"/>
  <c r="I61" i="3"/>
  <c r="I54" i="3"/>
  <c r="I46" i="3"/>
  <c r="I38" i="3"/>
  <c r="I31" i="3"/>
  <c r="I18" i="3"/>
  <c r="H102" i="3"/>
  <c r="H95" i="3"/>
  <c r="H88" i="3"/>
  <c r="H71" i="3"/>
  <c r="H61" i="3"/>
  <c r="H54" i="3"/>
  <c r="H46" i="3"/>
  <c r="H31" i="3"/>
  <c r="H18" i="3"/>
  <c r="M15" i="3"/>
  <c r="O21" i="3"/>
  <c r="M16" i="3"/>
  <c r="U16" i="3" s="1"/>
  <c r="M18" i="3"/>
  <c r="G23" i="3"/>
  <c r="E102" i="3"/>
  <c r="E95" i="3"/>
  <c r="E88" i="3"/>
  <c r="E71" i="3"/>
  <c r="E61" i="3"/>
  <c r="E54" i="3"/>
  <c r="E46" i="3"/>
  <c r="E38" i="3"/>
  <c r="E31" i="3"/>
  <c r="E18" i="3"/>
  <c r="F18" i="3"/>
  <c r="G16" i="3"/>
  <c r="O16" i="3" s="1"/>
  <c r="Q23" i="3" l="1"/>
  <c r="S24" i="3"/>
  <c r="S25" i="3" s="1"/>
  <c r="Q38" i="3"/>
  <c r="T22" i="3"/>
  <c r="U22" i="3" s="1"/>
  <c r="V248" i="3"/>
  <c r="V247" i="3"/>
  <c r="V255" i="3"/>
  <c r="V259" i="3" s="1"/>
  <c r="N260" i="3"/>
  <c r="Q154" i="3"/>
  <c r="G167" i="3"/>
  <c r="G150" i="3"/>
  <c r="N108" i="3"/>
  <c r="U21" i="3" l="1"/>
  <c r="V22" i="3"/>
  <c r="N125" i="3"/>
  <c r="U125" i="3" s="1"/>
  <c r="V125" i="3" s="1"/>
  <c r="J125" i="3"/>
  <c r="F102" i="3" l="1"/>
  <c r="F95" i="3"/>
  <c r="F88" i="3"/>
  <c r="M76" i="3"/>
  <c r="G80" i="3" l="1"/>
  <c r="O80" i="3" s="1"/>
  <c r="G79" i="3"/>
  <c r="O79" i="3" s="1"/>
  <c r="M79" i="3"/>
  <c r="U79" i="3" s="1"/>
  <c r="N79" i="3"/>
  <c r="V79" i="3"/>
  <c r="M80" i="3"/>
  <c r="U80" i="3" s="1"/>
  <c r="M74" i="3"/>
  <c r="F71" i="3"/>
  <c r="G70" i="3"/>
  <c r="Q70" i="3" s="1"/>
  <c r="M70" i="3"/>
  <c r="U70" i="3" s="1"/>
  <c r="M68" i="3"/>
  <c r="V68" i="3" s="1"/>
  <c r="G68" i="3"/>
  <c r="Q68" i="3" s="1"/>
  <c r="M69" i="3"/>
  <c r="V69" i="3" s="1"/>
  <c r="G69" i="3"/>
  <c r="F61" i="3"/>
  <c r="F54" i="3"/>
  <c r="G52" i="3"/>
  <c r="Q52" i="3" s="1"/>
  <c r="G51" i="3"/>
  <c r="O51" i="3" s="1"/>
  <c r="M52" i="3"/>
  <c r="U52" i="3" s="1"/>
  <c r="F46" i="3"/>
  <c r="F38" i="3"/>
  <c r="G38" i="3" s="1"/>
  <c r="S39" i="3" s="1"/>
  <c r="S40" i="3" s="1"/>
  <c r="F31" i="3"/>
  <c r="G31" i="3" s="1"/>
  <c r="G17" i="3"/>
  <c r="M17" i="3"/>
  <c r="V16" i="3"/>
  <c r="V15" i="3"/>
  <c r="Q31" i="3" l="1"/>
  <c r="S32" i="3"/>
  <c r="S33" i="3" s="1"/>
  <c r="Q69" i="3"/>
  <c r="N69" i="3"/>
  <c r="N80" i="3"/>
  <c r="Q80" i="3"/>
  <c r="Q79" i="3"/>
  <c r="T79" i="3" s="1"/>
  <c r="N70" i="3"/>
  <c r="N16" i="3"/>
  <c r="Q15" i="3"/>
  <c r="O15" i="3"/>
  <c r="N15" i="3"/>
  <c r="N17" i="3"/>
  <c r="O17" i="3"/>
  <c r="G18" i="3"/>
  <c r="N51" i="3"/>
  <c r="O70" i="3"/>
  <c r="G71" i="3"/>
  <c r="V80" i="3"/>
  <c r="G54" i="3"/>
  <c r="S55" i="3" s="1"/>
  <c r="S56" i="3" s="1"/>
  <c r="Q16" i="3"/>
  <c r="O68" i="3"/>
  <c r="Q51" i="3"/>
  <c r="V52" i="3"/>
  <c r="N68" i="3"/>
  <c r="U68" i="3"/>
  <c r="V70" i="3"/>
  <c r="U69" i="3"/>
  <c r="U15" i="3"/>
  <c r="N52" i="3"/>
  <c r="O52" i="3"/>
  <c r="O69" i="3"/>
  <c r="U18" i="3"/>
  <c r="K268" i="3"/>
  <c r="I259" i="3"/>
  <c r="H259" i="3"/>
  <c r="N71" i="3" l="1"/>
  <c r="S72" i="3"/>
  <c r="S73" i="3" s="1"/>
  <c r="Q18" i="3"/>
  <c r="S19" i="3"/>
  <c r="S20" i="3" s="1"/>
  <c r="T69" i="3"/>
  <c r="O13" i="3"/>
  <c r="T80" i="3"/>
  <c r="T15" i="3"/>
  <c r="T51" i="3"/>
  <c r="T16" i="3"/>
  <c r="N13" i="3"/>
  <c r="T70" i="3"/>
  <c r="T52" i="3"/>
  <c r="T68" i="3"/>
  <c r="V18" i="3"/>
  <c r="T14" i="3"/>
  <c r="G259" i="3"/>
  <c r="F259" i="3"/>
  <c r="E259" i="3"/>
  <c r="V218" i="3"/>
  <c r="U218" i="3"/>
  <c r="J218" i="3"/>
  <c r="N218" i="3"/>
  <c r="V217" i="3"/>
  <c r="U217" i="3"/>
  <c r="J217" i="3"/>
  <c r="N217" i="3"/>
  <c r="V186" i="3"/>
  <c r="V187" i="3"/>
  <c r="U186" i="3"/>
  <c r="U187" i="3"/>
  <c r="J186" i="3"/>
  <c r="N186" i="3"/>
  <c r="J187" i="3"/>
  <c r="N187" i="3"/>
  <c r="V162" i="3"/>
  <c r="U162" i="3"/>
  <c r="J162" i="3"/>
  <c r="N162" i="3"/>
  <c r="E155" i="3"/>
  <c r="J144" i="3"/>
  <c r="J142" i="3"/>
  <c r="V129" i="3"/>
  <c r="U129" i="3"/>
  <c r="J129" i="3"/>
  <c r="N129" i="3"/>
  <c r="V116" i="3"/>
  <c r="U116" i="3"/>
  <c r="J116" i="3"/>
  <c r="N116" i="3"/>
  <c r="V111" i="3"/>
  <c r="U111" i="3"/>
  <c r="J111" i="3"/>
  <c r="N111" i="3"/>
  <c r="G81" i="3"/>
  <c r="G30" i="3"/>
  <c r="N255" i="3"/>
  <c r="N259" i="3" s="1"/>
  <c r="V227" i="3"/>
  <c r="U227" i="3"/>
  <c r="J227" i="3"/>
  <c r="N227" i="3"/>
  <c r="E133" i="3"/>
  <c r="G78" i="3"/>
  <c r="G76" i="3"/>
  <c r="N76" i="3" s="1"/>
  <c r="G77" i="3"/>
  <c r="G53" i="3"/>
  <c r="Q53" i="3" s="1"/>
  <c r="N81" i="3" l="1"/>
  <c r="S82" i="3"/>
  <c r="S83" i="3" s="1"/>
  <c r="V253" i="3"/>
  <c r="U253" i="3"/>
  <c r="J253" i="3"/>
  <c r="N253" i="3"/>
  <c r="V245" i="3"/>
  <c r="U245" i="3"/>
  <c r="N245" i="3"/>
  <c r="J245" i="3"/>
  <c r="V215" i="3" l="1"/>
  <c r="U215" i="3"/>
  <c r="U216" i="3"/>
  <c r="U219" i="3"/>
  <c r="J215" i="3"/>
  <c r="N215" i="3"/>
  <c r="G100" i="3"/>
  <c r="G101" i="3"/>
  <c r="Q101" i="3" s="1"/>
  <c r="G102" i="3"/>
  <c r="G99" i="3"/>
  <c r="G93" i="3"/>
  <c r="G94" i="3"/>
  <c r="G95" i="3"/>
  <c r="G92" i="3"/>
  <c r="M87" i="3"/>
  <c r="U87" i="3" s="1"/>
  <c r="G87" i="3"/>
  <c r="Q87" i="3" s="1"/>
  <c r="G86" i="3"/>
  <c r="Q86" i="3" s="1"/>
  <c r="G88" i="3"/>
  <c r="G85" i="3"/>
  <c r="O85" i="3" s="1"/>
  <c r="Q76" i="3"/>
  <c r="Q78" i="3"/>
  <c r="N78" i="3"/>
  <c r="O76" i="3"/>
  <c r="Q77" i="3"/>
  <c r="O78" i="3"/>
  <c r="G75" i="3"/>
  <c r="Q75" i="3" s="1"/>
  <c r="G67" i="3"/>
  <c r="M67" i="3"/>
  <c r="U67" i="3" s="1"/>
  <c r="G66" i="3"/>
  <c r="Q71" i="3"/>
  <c r="G65" i="3"/>
  <c r="G60" i="3"/>
  <c r="Q60" i="3" s="1"/>
  <c r="G59" i="3"/>
  <c r="N59" i="3" s="1"/>
  <c r="G58" i="3"/>
  <c r="N58" i="3" s="1"/>
  <c r="N53" i="3"/>
  <c r="O53" i="3"/>
  <c r="G50" i="3"/>
  <c r="G45" i="3"/>
  <c r="O45" i="3" s="1"/>
  <c r="G44" i="3"/>
  <c r="Q44" i="3" s="1"/>
  <c r="G43" i="3"/>
  <c r="O43" i="3" s="1"/>
  <c r="G42" i="3"/>
  <c r="O42" i="3" s="1"/>
  <c r="G37" i="3"/>
  <c r="O37" i="3" s="1"/>
  <c r="G36" i="3"/>
  <c r="Q36" i="3" s="1"/>
  <c r="G35" i="3"/>
  <c r="Q35" i="3" s="1"/>
  <c r="Q30" i="3"/>
  <c r="G29" i="3"/>
  <c r="Q29" i="3" s="1"/>
  <c r="G28" i="3"/>
  <c r="Q28" i="3" s="1"/>
  <c r="G27" i="3"/>
  <c r="Q27" i="3" s="1"/>
  <c r="N18" i="3"/>
  <c r="N12" i="3" s="1"/>
  <c r="Q81" i="3"/>
  <c r="G61" i="3"/>
  <c r="Q54" i="3"/>
  <c r="G46" i="3"/>
  <c r="Q61" i="3" l="1"/>
  <c r="S62" i="3"/>
  <c r="S63" i="3" s="1"/>
  <c r="Q95" i="3"/>
  <c r="S96" i="3"/>
  <c r="S97" i="3" s="1"/>
  <c r="Q102" i="3"/>
  <c r="S103" i="3"/>
  <c r="Q88" i="3"/>
  <c r="S89" i="3"/>
  <c r="S90" i="3" s="1"/>
  <c r="Q46" i="3"/>
  <c r="S47" i="3"/>
  <c r="S48" i="3" s="1"/>
  <c r="O99" i="3"/>
  <c r="Q99" i="3"/>
  <c r="N99" i="3"/>
  <c r="Q93" i="3"/>
  <c r="O93" i="3"/>
  <c r="Q92" i="3"/>
  <c r="O92" i="3"/>
  <c r="Q94" i="3"/>
  <c r="O94" i="3"/>
  <c r="Q100" i="3"/>
  <c r="Q98" i="3" s="1"/>
  <c r="N100" i="3"/>
  <c r="O75" i="3"/>
  <c r="N75" i="3"/>
  <c r="O67" i="3"/>
  <c r="N67" i="3"/>
  <c r="O66" i="3"/>
  <c r="N66" i="3"/>
  <c r="O65" i="3"/>
  <c r="O64" i="3" s="1"/>
  <c r="N65" i="3"/>
  <c r="N64" i="3" s="1"/>
  <c r="N63" i="3" s="1"/>
  <c r="Q26" i="3"/>
  <c r="Q25" i="3" s="1"/>
  <c r="O27" i="3"/>
  <c r="M53" i="3"/>
  <c r="V53" i="3" s="1"/>
  <c r="N35" i="3"/>
  <c r="O35" i="3"/>
  <c r="N45" i="3"/>
  <c r="Q45" i="3"/>
  <c r="O58" i="3"/>
  <c r="O71" i="3"/>
  <c r="Q66" i="3"/>
  <c r="N85" i="3"/>
  <c r="Q85" i="3"/>
  <c r="Q84" i="3" s="1"/>
  <c r="Q83" i="3" s="1"/>
  <c r="O50" i="3"/>
  <c r="O49" i="3" s="1"/>
  <c r="Q50" i="3"/>
  <c r="Q49" i="3" s="1"/>
  <c r="Q48" i="3" s="1"/>
  <c r="U53" i="3"/>
  <c r="N38" i="3"/>
  <c r="T38" i="3" s="1"/>
  <c r="O38" i="3"/>
  <c r="Q37" i="3"/>
  <c r="Q34" i="3" s="1"/>
  <c r="N43" i="3"/>
  <c r="Q43" i="3"/>
  <c r="O60" i="3"/>
  <c r="Q67" i="3"/>
  <c r="T53" i="3"/>
  <c r="N54" i="3"/>
  <c r="O54" i="3"/>
  <c r="O81" i="3"/>
  <c r="O77" i="3"/>
  <c r="Q74" i="3"/>
  <c r="N87" i="3"/>
  <c r="O87" i="3"/>
  <c r="N95" i="3"/>
  <c r="N93" i="3"/>
  <c r="O95" i="3"/>
  <c r="N102" i="3"/>
  <c r="O102" i="3"/>
  <c r="O100" i="3"/>
  <c r="N29" i="3"/>
  <c r="N42" i="3"/>
  <c r="O46" i="3"/>
  <c r="O44" i="3"/>
  <c r="O41" i="3" s="1"/>
  <c r="Q42" i="3"/>
  <c r="N50" i="3"/>
  <c r="N49" i="3" s="1"/>
  <c r="V67" i="3"/>
  <c r="Q65" i="3"/>
  <c r="Q64" i="3" s="1"/>
  <c r="O29" i="3"/>
  <c r="N27" i="3"/>
  <c r="N36" i="3"/>
  <c r="N37" i="3"/>
  <c r="O36" i="3"/>
  <c r="N46" i="3"/>
  <c r="N44" i="3"/>
  <c r="O61" i="3"/>
  <c r="N77" i="3"/>
  <c r="N88" i="3"/>
  <c r="N86" i="3"/>
  <c r="O88" i="3"/>
  <c r="O86" i="3"/>
  <c r="N92" i="3"/>
  <c r="N94" i="3"/>
  <c r="N101" i="3"/>
  <c r="O101" i="3"/>
  <c r="V87" i="3"/>
  <c r="Q58" i="3"/>
  <c r="N60" i="3"/>
  <c r="N57" i="3" s="1"/>
  <c r="O59" i="3"/>
  <c r="Q59" i="3"/>
  <c r="O28" i="3"/>
  <c r="O30" i="3"/>
  <c r="N28" i="3"/>
  <c r="N30" i="3"/>
  <c r="Q91" i="3" l="1"/>
  <c r="Q90" i="3" s="1"/>
  <c r="N98" i="3"/>
  <c r="O91" i="3"/>
  <c r="O90" i="3" s="1"/>
  <c r="O74" i="3"/>
  <c r="N74" i="3"/>
  <c r="N73" i="3" s="1"/>
  <c r="N97" i="3"/>
  <c r="O63" i="3"/>
  <c r="N48" i="3"/>
  <c r="T66" i="3"/>
  <c r="Q41" i="3"/>
  <c r="T67" i="3"/>
  <c r="T71" i="3"/>
  <c r="O84" i="3"/>
  <c r="O83" i="3" s="1"/>
  <c r="Q63" i="3"/>
  <c r="O98" i="3"/>
  <c r="O26" i="3"/>
  <c r="N84" i="3"/>
  <c r="N83" i="3" s="1"/>
  <c r="O34" i="3"/>
  <c r="Q57" i="3"/>
  <c r="T87" i="3"/>
  <c r="O57" i="3"/>
  <c r="O48" i="3"/>
  <c r="U17" i="3"/>
  <c r="U13" i="3" s="1"/>
  <c r="U12" i="3" s="1"/>
  <c r="V17" i="3"/>
  <c r="Q17" i="3"/>
  <c r="Q13" i="3" s="1"/>
  <c r="Q12" i="3" s="1"/>
  <c r="O18" i="3"/>
  <c r="O12" i="3" s="1"/>
  <c r="V198" i="3"/>
  <c r="V201" i="3"/>
  <c r="U198" i="3"/>
  <c r="U201" i="3"/>
  <c r="U197" i="3"/>
  <c r="U189" i="3"/>
  <c r="T18" i="3" l="1"/>
  <c r="T17" i="3"/>
  <c r="T13" i="3" s="1"/>
  <c r="V251" i="3"/>
  <c r="V250" i="3"/>
  <c r="U251" i="3"/>
  <c r="U250" i="3"/>
  <c r="N251" i="3"/>
  <c r="J251" i="3"/>
  <c r="J250" i="3"/>
  <c r="F261" i="3"/>
  <c r="H261" i="3"/>
  <c r="I261" i="3"/>
  <c r="N261" i="3"/>
  <c r="F222" i="3"/>
  <c r="H222" i="3"/>
  <c r="I222" i="3"/>
  <c r="J233" i="3"/>
  <c r="U233" i="3" s="1"/>
  <c r="F239" i="3"/>
  <c r="H239" i="3"/>
  <c r="I239" i="3"/>
  <c r="F231" i="3"/>
  <c r="H231" i="3"/>
  <c r="I231" i="3"/>
  <c r="F237" i="3"/>
  <c r="H237" i="3"/>
  <c r="I237" i="3"/>
  <c r="V235" i="3"/>
  <c r="U235" i="3"/>
  <c r="N235" i="3"/>
  <c r="J235" i="3"/>
  <c r="G237" i="3"/>
  <c r="V228" i="3"/>
  <c r="V226" i="3"/>
  <c r="U228" i="3"/>
  <c r="U226" i="3"/>
  <c r="N228" i="3"/>
  <c r="N226" i="3"/>
  <c r="J228" i="3"/>
  <c r="J226" i="3"/>
  <c r="N221" i="3"/>
  <c r="V219" i="3"/>
  <c r="V216" i="3"/>
  <c r="N216" i="3"/>
  <c r="J216" i="3"/>
  <c r="J219" i="3"/>
  <c r="G207" i="3"/>
  <c r="J198" i="3"/>
  <c r="J201" i="3"/>
  <c r="N209" i="3"/>
  <c r="F210" i="3"/>
  <c r="H210" i="3"/>
  <c r="I210" i="3"/>
  <c r="F208" i="3"/>
  <c r="H208" i="3"/>
  <c r="I208" i="3"/>
  <c r="V206" i="3"/>
  <c r="U206" i="3"/>
  <c r="N206" i="3"/>
  <c r="J206" i="3"/>
  <c r="F203" i="3"/>
  <c r="H203" i="3"/>
  <c r="I203" i="3"/>
  <c r="V197" i="3"/>
  <c r="J197" i="3"/>
  <c r="F194" i="3"/>
  <c r="H194" i="3"/>
  <c r="I194" i="3"/>
  <c r="V191" i="3"/>
  <c r="V192" i="3"/>
  <c r="V189" i="3"/>
  <c r="U191" i="3"/>
  <c r="U192" i="3"/>
  <c r="J191" i="3"/>
  <c r="J192" i="3"/>
  <c r="J189" i="3"/>
  <c r="V154" i="3"/>
  <c r="F155" i="3"/>
  <c r="H155" i="3"/>
  <c r="I155" i="3"/>
  <c r="J123" i="3"/>
  <c r="J124" i="3"/>
  <c r="J122" i="3"/>
  <c r="F182" i="3"/>
  <c r="H182" i="3"/>
  <c r="I182" i="3"/>
  <c r="V178" i="3"/>
  <c r="V177" i="3"/>
  <c r="U178" i="3"/>
  <c r="U177" i="3"/>
  <c r="F180" i="3"/>
  <c r="H180" i="3"/>
  <c r="I180" i="3"/>
  <c r="N177" i="3"/>
  <c r="N178" i="3"/>
  <c r="F167" i="3"/>
  <c r="H167" i="3"/>
  <c r="I167" i="3"/>
  <c r="F174" i="3"/>
  <c r="H174" i="3"/>
  <c r="I174" i="3"/>
  <c r="J170" i="3"/>
  <c r="J171" i="3"/>
  <c r="V171" i="3"/>
  <c r="V172" i="3"/>
  <c r="V170" i="3"/>
  <c r="U171" i="3"/>
  <c r="U172" i="3"/>
  <c r="U170" i="3"/>
  <c r="J172" i="3"/>
  <c r="N171" i="3"/>
  <c r="N170" i="3"/>
  <c r="N172" i="3"/>
  <c r="V163" i="3"/>
  <c r="V164" i="3"/>
  <c r="V165" i="3"/>
  <c r="V161" i="3"/>
  <c r="U163" i="3"/>
  <c r="U164" i="3"/>
  <c r="U165" i="3"/>
  <c r="U161" i="3"/>
  <c r="N163" i="3"/>
  <c r="N164" i="3"/>
  <c r="N165" i="3"/>
  <c r="N161" i="3"/>
  <c r="J161" i="3"/>
  <c r="J163" i="3"/>
  <c r="J164" i="3"/>
  <c r="J165" i="3"/>
  <c r="F157" i="3"/>
  <c r="H157" i="3"/>
  <c r="I157" i="3"/>
  <c r="V153" i="3"/>
  <c r="U153" i="3"/>
  <c r="N153" i="3"/>
  <c r="J153" i="3"/>
  <c r="F150" i="3"/>
  <c r="H150" i="3"/>
  <c r="I150" i="3"/>
  <c r="E150" i="3"/>
  <c r="V146" i="3"/>
  <c r="V147" i="3"/>
  <c r="V148" i="3"/>
  <c r="U146" i="3"/>
  <c r="U147" i="3"/>
  <c r="U148" i="3"/>
  <c r="J146" i="3"/>
  <c r="J147" i="3"/>
  <c r="J148" i="3"/>
  <c r="N146" i="3"/>
  <c r="N147" i="3"/>
  <c r="N148" i="3"/>
  <c r="H143" i="3"/>
  <c r="I143" i="3"/>
  <c r="F143" i="3"/>
  <c r="V138" i="3"/>
  <c r="V139" i="3"/>
  <c r="V141" i="3"/>
  <c r="U138" i="3"/>
  <c r="U139" i="3"/>
  <c r="U141" i="3"/>
  <c r="J138" i="3"/>
  <c r="J139" i="3"/>
  <c r="J141" i="3"/>
  <c r="N138" i="3"/>
  <c r="N139" i="3"/>
  <c r="N141" i="3"/>
  <c r="N123" i="3"/>
  <c r="N124" i="3"/>
  <c r="N122" i="3"/>
  <c r="N112" i="3"/>
  <c r="N113" i="3"/>
  <c r="N114" i="3"/>
  <c r="N117" i="3"/>
  <c r="N110" i="3"/>
  <c r="Q133" i="3"/>
  <c r="T133" i="3"/>
  <c r="T131" i="3"/>
  <c r="F126" i="3"/>
  <c r="V123" i="3"/>
  <c r="V124" i="3"/>
  <c r="V122" i="3"/>
  <c r="U123" i="3"/>
  <c r="U124" i="3"/>
  <c r="U122" i="3"/>
  <c r="V112" i="3"/>
  <c r="V113" i="3"/>
  <c r="V114" i="3"/>
  <c r="V117" i="3"/>
  <c r="V110" i="3"/>
  <c r="U112" i="3"/>
  <c r="U113" i="3"/>
  <c r="U114" i="3"/>
  <c r="U117" i="3"/>
  <c r="U110" i="3"/>
  <c r="J112" i="3"/>
  <c r="J113" i="3"/>
  <c r="J114" i="3"/>
  <c r="J117" i="3"/>
  <c r="J110" i="3"/>
  <c r="F119" i="3"/>
  <c r="L268" i="3"/>
  <c r="L267" i="3"/>
  <c r="T261" i="3"/>
  <c r="Q261" i="3"/>
  <c r="M261" i="3"/>
  <c r="E261" i="3"/>
  <c r="J260" i="3"/>
  <c r="V260" i="3" s="1"/>
  <c r="J252" i="3"/>
  <c r="V242" i="3"/>
  <c r="T246" i="3"/>
  <c r="Q246" i="3"/>
  <c r="T239" i="3"/>
  <c r="Q239" i="3"/>
  <c r="M239" i="3"/>
  <c r="E239" i="3"/>
  <c r="J238" i="3"/>
  <c r="V238" i="3" s="1"/>
  <c r="E237" i="3"/>
  <c r="J236" i="3"/>
  <c r="E231" i="3"/>
  <c r="T229" i="3"/>
  <c r="E222" i="3"/>
  <c r="J221" i="3"/>
  <c r="V221" i="3" s="1"/>
  <c r="T210" i="3"/>
  <c r="Q210" i="3"/>
  <c r="M210" i="3"/>
  <c r="E210" i="3"/>
  <c r="J209" i="3"/>
  <c r="V209" i="3" s="1"/>
  <c r="E208" i="3"/>
  <c r="J207" i="3"/>
  <c r="U207" i="3" s="1"/>
  <c r="E203" i="3"/>
  <c r="J202" i="3"/>
  <c r="E194" i="3"/>
  <c r="T182" i="3"/>
  <c r="Q182" i="3"/>
  <c r="M182" i="3"/>
  <c r="E182" i="3"/>
  <c r="J181" i="3"/>
  <c r="V181" i="3" s="1"/>
  <c r="E180" i="3"/>
  <c r="J179" i="3"/>
  <c r="E174" i="3"/>
  <c r="E167" i="3"/>
  <c r="T157" i="3"/>
  <c r="Q157" i="3"/>
  <c r="M157" i="3"/>
  <c r="E157" i="3"/>
  <c r="N156" i="3"/>
  <c r="J156" i="3"/>
  <c r="V156" i="3" s="1"/>
  <c r="V157" i="3" s="1"/>
  <c r="J151" i="3"/>
  <c r="U151" i="3" s="1"/>
  <c r="E143" i="3"/>
  <c r="U142" i="3"/>
  <c r="M133" i="3"/>
  <c r="I133" i="3"/>
  <c r="H133" i="3"/>
  <c r="J132" i="3"/>
  <c r="O132" i="3" s="1"/>
  <c r="V130" i="3"/>
  <c r="U130" i="3"/>
  <c r="I126" i="3"/>
  <c r="H126" i="3"/>
  <c r="E126" i="3"/>
  <c r="I119" i="3"/>
  <c r="H119" i="3"/>
  <c r="E119" i="3"/>
  <c r="M102" i="3"/>
  <c r="V102" i="3" s="1"/>
  <c r="M101" i="3"/>
  <c r="V101" i="3" s="1"/>
  <c r="M100" i="3"/>
  <c r="V100" i="3" s="1"/>
  <c r="O97" i="3"/>
  <c r="M99" i="3"/>
  <c r="M98" i="3"/>
  <c r="M97" i="3"/>
  <c r="M95" i="3"/>
  <c r="V95" i="3" s="1"/>
  <c r="M94" i="3"/>
  <c r="V94" i="3" s="1"/>
  <c r="M93" i="3"/>
  <c r="V93" i="3" s="1"/>
  <c r="M92" i="3"/>
  <c r="V92" i="3" s="1"/>
  <c r="M91" i="3"/>
  <c r="M90" i="3"/>
  <c r="M88" i="3"/>
  <c r="V88" i="3" s="1"/>
  <c r="M86" i="3"/>
  <c r="V86" i="3" s="1"/>
  <c r="M85" i="3"/>
  <c r="V85" i="3" s="1"/>
  <c r="M84" i="3"/>
  <c r="M83" i="3"/>
  <c r="M81" i="3"/>
  <c r="V81" i="3" s="1"/>
  <c r="M78" i="3"/>
  <c r="V78" i="3" s="1"/>
  <c r="M77" i="3"/>
  <c r="V77" i="3" s="1"/>
  <c r="V76" i="3"/>
  <c r="Q73" i="3"/>
  <c r="M75" i="3"/>
  <c r="V75" i="3" s="1"/>
  <c r="M73" i="3"/>
  <c r="M71" i="3"/>
  <c r="V71" i="3" s="1"/>
  <c r="M66" i="3"/>
  <c r="U66" i="3" s="1"/>
  <c r="M65" i="3"/>
  <c r="V65" i="3" s="1"/>
  <c r="M64" i="3"/>
  <c r="M63" i="3"/>
  <c r="N61" i="3"/>
  <c r="M61" i="3"/>
  <c r="U61" i="3" s="1"/>
  <c r="M60" i="3"/>
  <c r="V60" i="3" s="1"/>
  <c r="M59" i="3"/>
  <c r="U59" i="3" s="1"/>
  <c r="Q56" i="3"/>
  <c r="O56" i="3"/>
  <c r="M58" i="3"/>
  <c r="V58" i="3" s="1"/>
  <c r="M57" i="3"/>
  <c r="M56" i="3"/>
  <c r="M54" i="3"/>
  <c r="V54" i="3" s="1"/>
  <c r="M51" i="3"/>
  <c r="M50" i="3"/>
  <c r="V50" i="3" s="1"/>
  <c r="M49" i="3"/>
  <c r="M48" i="3"/>
  <c r="M46" i="3"/>
  <c r="V46" i="3" s="1"/>
  <c r="M45" i="3"/>
  <c r="V45" i="3" s="1"/>
  <c r="M44" i="3"/>
  <c r="V44" i="3" s="1"/>
  <c r="M43" i="3"/>
  <c r="V43" i="3" s="1"/>
  <c r="Q40" i="3"/>
  <c r="O40" i="3"/>
  <c r="M42" i="3"/>
  <c r="V42" i="3" s="1"/>
  <c r="M41" i="3"/>
  <c r="M40" i="3"/>
  <c r="M38" i="3"/>
  <c r="V38" i="3" s="1"/>
  <c r="M37" i="3"/>
  <c r="V37" i="3" s="1"/>
  <c r="M36" i="3"/>
  <c r="V36" i="3" s="1"/>
  <c r="O33" i="3"/>
  <c r="M35" i="3"/>
  <c r="V35" i="3" s="1"/>
  <c r="M34" i="3"/>
  <c r="M33" i="3"/>
  <c r="O31" i="3"/>
  <c r="O25" i="3" s="1"/>
  <c r="N31" i="3"/>
  <c r="M31" i="3"/>
  <c r="M30" i="3"/>
  <c r="V30" i="3" s="1"/>
  <c r="M29" i="3"/>
  <c r="V29" i="3" s="1"/>
  <c r="M28" i="3"/>
  <c r="V28" i="3" s="1"/>
  <c r="M27" i="3"/>
  <c r="M26" i="3"/>
  <c r="M25" i="3"/>
  <c r="O23" i="3"/>
  <c r="N23" i="3"/>
  <c r="M23" i="3"/>
  <c r="N21" i="3"/>
  <c r="Q21" i="3"/>
  <c r="Q20" i="3" s="1"/>
  <c r="M21" i="3"/>
  <c r="M20" i="3"/>
  <c r="H205" i="1"/>
  <c r="I205" i="1" s="1"/>
  <c r="J205" i="1" s="1"/>
  <c r="H204" i="1"/>
  <c r="H203" i="1"/>
  <c r="I203" i="1" s="1"/>
  <c r="J203" i="1" s="1"/>
  <c r="F202" i="1"/>
  <c r="E202" i="1"/>
  <c r="D202" i="1"/>
  <c r="O196" i="1"/>
  <c r="N196" i="1"/>
  <c r="K196" i="1"/>
  <c r="G196" i="1"/>
  <c r="F196" i="1"/>
  <c r="E196" i="1"/>
  <c r="Q195" i="1"/>
  <c r="P195" i="1"/>
  <c r="M195" i="1"/>
  <c r="L195" i="1" s="1"/>
  <c r="M194" i="1"/>
  <c r="L194" i="1" s="1"/>
  <c r="H194" i="1"/>
  <c r="P194" i="1" s="1"/>
  <c r="Q192" i="1"/>
  <c r="Q193" i="1" s="1"/>
  <c r="P192" i="1"/>
  <c r="P193" i="1" s="1"/>
  <c r="O192" i="1"/>
  <c r="O193" i="1" s="1"/>
  <c r="N192" i="1"/>
  <c r="N193" i="1" s="1"/>
  <c r="M192" i="1"/>
  <c r="M193" i="1" s="1"/>
  <c r="O190" i="1"/>
  <c r="N190" i="1"/>
  <c r="M190" i="1"/>
  <c r="H190" i="1"/>
  <c r="Q190" i="1" s="1"/>
  <c r="M189" i="1"/>
  <c r="L189" i="1" s="1"/>
  <c r="H189" i="1"/>
  <c r="P189" i="1" s="1"/>
  <c r="Q188" i="1"/>
  <c r="P188" i="1"/>
  <c r="O188" i="1"/>
  <c r="N188" i="1"/>
  <c r="M188" i="1"/>
  <c r="Q187" i="1"/>
  <c r="P187" i="1"/>
  <c r="O187" i="1"/>
  <c r="N187" i="1"/>
  <c r="M187" i="1"/>
  <c r="Q185" i="1"/>
  <c r="P185" i="1"/>
  <c r="M185" i="1"/>
  <c r="L185" i="1" s="1"/>
  <c r="P184" i="1"/>
  <c r="Q184" i="1" s="1"/>
  <c r="O184" i="1"/>
  <c r="N184" i="1"/>
  <c r="M184" i="1"/>
  <c r="Q183" i="1"/>
  <c r="P183" i="1"/>
  <c r="O183" i="1"/>
  <c r="N183" i="1"/>
  <c r="M183" i="1"/>
  <c r="O181" i="1"/>
  <c r="N181" i="1"/>
  <c r="K181" i="1"/>
  <c r="G181" i="1"/>
  <c r="F181" i="1"/>
  <c r="E181" i="1"/>
  <c r="Q180" i="1"/>
  <c r="P180" i="1"/>
  <c r="I180" i="1"/>
  <c r="M180" i="1" s="1"/>
  <c r="L180" i="1" s="1"/>
  <c r="M179" i="1"/>
  <c r="H179" i="1"/>
  <c r="P179" i="1" s="1"/>
  <c r="G178" i="1"/>
  <c r="F178" i="1"/>
  <c r="E178" i="1"/>
  <c r="I177" i="1"/>
  <c r="H177" i="1" s="1"/>
  <c r="Q176" i="1"/>
  <c r="P176" i="1"/>
  <c r="M176" i="1"/>
  <c r="L176" i="1" s="1"/>
  <c r="O175" i="1"/>
  <c r="O178" i="1" s="1"/>
  <c r="N175" i="1"/>
  <c r="N178" i="1" s="1"/>
  <c r="I175" i="1"/>
  <c r="H175" i="1" s="1"/>
  <c r="G174" i="1"/>
  <c r="F174" i="1"/>
  <c r="E174" i="1"/>
  <c r="Q173" i="1"/>
  <c r="P173" i="1"/>
  <c r="I173" i="1"/>
  <c r="M173" i="1" s="1"/>
  <c r="L173" i="1" s="1"/>
  <c r="O172" i="1"/>
  <c r="N172" i="1"/>
  <c r="I172" i="1"/>
  <c r="H172" i="1" s="1"/>
  <c r="Q171" i="1"/>
  <c r="P171" i="1"/>
  <c r="M171" i="1"/>
  <c r="L171" i="1" s="1"/>
  <c r="O170" i="1"/>
  <c r="N170" i="1"/>
  <c r="I170" i="1"/>
  <c r="H170" i="1" s="1"/>
  <c r="O169" i="1"/>
  <c r="N169" i="1"/>
  <c r="I169" i="1"/>
  <c r="H169" i="1" s="1"/>
  <c r="G168" i="1"/>
  <c r="F168" i="1"/>
  <c r="E168" i="1"/>
  <c r="M167" i="1"/>
  <c r="L167" i="1" s="1"/>
  <c r="H167" i="1"/>
  <c r="Q167" i="1" s="1"/>
  <c r="O166" i="1"/>
  <c r="N166" i="1"/>
  <c r="I166" i="1"/>
  <c r="H166" i="1" s="1"/>
  <c r="Q165" i="1"/>
  <c r="P165" i="1"/>
  <c r="M165" i="1"/>
  <c r="L165" i="1" s="1"/>
  <c r="O164" i="1"/>
  <c r="N164" i="1"/>
  <c r="I164" i="1"/>
  <c r="H164" i="1" s="1"/>
  <c r="O162" i="1"/>
  <c r="N162" i="1"/>
  <c r="K162" i="1"/>
  <c r="G162" i="1"/>
  <c r="F162" i="1"/>
  <c r="E162" i="1"/>
  <c r="Q161" i="1"/>
  <c r="P161" i="1"/>
  <c r="I161" i="1"/>
  <c r="M161" i="1" s="1"/>
  <c r="M160" i="1"/>
  <c r="L160" i="1" s="1"/>
  <c r="H160" i="1"/>
  <c r="Q160" i="1" s="1"/>
  <c r="Q162" i="1" s="1"/>
  <c r="G159" i="1"/>
  <c r="F159" i="1"/>
  <c r="E159" i="1"/>
  <c r="I158" i="1"/>
  <c r="H158" i="1" s="1"/>
  <c r="Q158" i="1" s="1"/>
  <c r="Q157" i="1"/>
  <c r="P157" i="1"/>
  <c r="M157" i="1"/>
  <c r="L157" i="1" s="1"/>
  <c r="O156" i="1"/>
  <c r="O159" i="1" s="1"/>
  <c r="N156" i="1"/>
  <c r="N159" i="1" s="1"/>
  <c r="I156" i="1"/>
  <c r="M156" i="1" s="1"/>
  <c r="G155" i="1"/>
  <c r="F155" i="1"/>
  <c r="E155" i="1"/>
  <c r="O154" i="1"/>
  <c r="N154" i="1"/>
  <c r="I154" i="1"/>
  <c r="H154" i="1" s="1"/>
  <c r="Q153" i="1"/>
  <c r="P153" i="1"/>
  <c r="M153" i="1"/>
  <c r="L153" i="1" s="1"/>
  <c r="O152" i="1"/>
  <c r="N152" i="1"/>
  <c r="N155" i="1" s="1"/>
  <c r="I152" i="1"/>
  <c r="H152" i="1" s="1"/>
  <c r="G151" i="1"/>
  <c r="F151" i="1"/>
  <c r="E151" i="1"/>
  <c r="O150" i="1"/>
  <c r="N150" i="1"/>
  <c r="I150" i="1"/>
  <c r="M150" i="1" s="1"/>
  <c r="Q149" i="1"/>
  <c r="P149" i="1"/>
  <c r="M149" i="1"/>
  <c r="L149" i="1" s="1"/>
  <c r="O148" i="1"/>
  <c r="N148" i="1"/>
  <c r="N151" i="1" s="1"/>
  <c r="I148" i="1"/>
  <c r="M148" i="1" s="1"/>
  <c r="O146" i="1"/>
  <c r="N146" i="1"/>
  <c r="K146" i="1"/>
  <c r="G146" i="1"/>
  <c r="F146" i="1"/>
  <c r="E146" i="1"/>
  <c r="Q145" i="1"/>
  <c r="P145" i="1"/>
  <c r="I145" i="1"/>
  <c r="M145" i="1" s="1"/>
  <c r="L145" i="1" s="1"/>
  <c r="M144" i="1"/>
  <c r="H144" i="1"/>
  <c r="P144" i="1" s="1"/>
  <c r="G143" i="1"/>
  <c r="F143" i="1"/>
  <c r="E143" i="1"/>
  <c r="I142" i="1"/>
  <c r="H142" i="1" s="1"/>
  <c r="P142" i="1" s="1"/>
  <c r="Q141" i="1"/>
  <c r="P141" i="1"/>
  <c r="M141" i="1"/>
  <c r="L141" i="1" s="1"/>
  <c r="O140" i="1"/>
  <c r="O143" i="1" s="1"/>
  <c r="N140" i="1"/>
  <c r="N143" i="1" s="1"/>
  <c r="I140" i="1"/>
  <c r="H140" i="1" s="1"/>
  <c r="P140" i="1" s="1"/>
  <c r="G139" i="1"/>
  <c r="F139" i="1"/>
  <c r="E139" i="1"/>
  <c r="O138" i="1"/>
  <c r="N138" i="1"/>
  <c r="I138" i="1"/>
  <c r="M138" i="1" s="1"/>
  <c r="Q137" i="1"/>
  <c r="P137" i="1"/>
  <c r="M137" i="1"/>
  <c r="L137" i="1" s="1"/>
  <c r="O136" i="1"/>
  <c r="O139" i="1" s="1"/>
  <c r="N136" i="1"/>
  <c r="I136" i="1"/>
  <c r="M136" i="1" s="1"/>
  <c r="G135" i="1"/>
  <c r="F135" i="1"/>
  <c r="E135" i="1"/>
  <c r="O134" i="1"/>
  <c r="N134" i="1"/>
  <c r="I134" i="1"/>
  <c r="H134" i="1" s="1"/>
  <c r="P134" i="1" s="1"/>
  <c r="Q133" i="1"/>
  <c r="P133" i="1"/>
  <c r="M133" i="1"/>
  <c r="L133" i="1" s="1"/>
  <c r="O132" i="1"/>
  <c r="O135" i="1" s="1"/>
  <c r="N132" i="1"/>
  <c r="N135" i="1" s="1"/>
  <c r="I132" i="1"/>
  <c r="H132" i="1" s="1"/>
  <c r="P132" i="1" s="1"/>
  <c r="O130" i="1"/>
  <c r="N130" i="1"/>
  <c r="K130" i="1"/>
  <c r="G130" i="1"/>
  <c r="F130" i="1"/>
  <c r="E130" i="1"/>
  <c r="Q129" i="1"/>
  <c r="P129" i="1"/>
  <c r="I129" i="1"/>
  <c r="M129" i="1" s="1"/>
  <c r="M128" i="1"/>
  <c r="L128" i="1" s="1"/>
  <c r="H128" i="1"/>
  <c r="Q128" i="1" s="1"/>
  <c r="Q130" i="1" s="1"/>
  <c r="G127" i="1"/>
  <c r="F127" i="1"/>
  <c r="E127" i="1"/>
  <c r="Q126" i="1"/>
  <c r="P126" i="1"/>
  <c r="Q125" i="1"/>
  <c r="P125" i="1"/>
  <c r="M125" i="1"/>
  <c r="L125" i="1" s="1"/>
  <c r="O124" i="1"/>
  <c r="O127" i="1" s="1"/>
  <c r="N124" i="1"/>
  <c r="N127" i="1" s="1"/>
  <c r="I124" i="1"/>
  <c r="M124" i="1" s="1"/>
  <c r="G123" i="1"/>
  <c r="F123" i="1"/>
  <c r="E123" i="1"/>
  <c r="O122" i="1"/>
  <c r="N122" i="1"/>
  <c r="I122" i="1"/>
  <c r="H122" i="1" s="1"/>
  <c r="P122" i="1" s="1"/>
  <c r="Q121" i="1"/>
  <c r="P121" i="1"/>
  <c r="M121" i="1"/>
  <c r="L121" i="1" s="1"/>
  <c r="O120" i="1"/>
  <c r="N120" i="1"/>
  <c r="I120" i="1"/>
  <c r="H120" i="1" s="1"/>
  <c r="P120" i="1" s="1"/>
  <c r="P123" i="1" s="1"/>
  <c r="G119" i="1"/>
  <c r="F119" i="1"/>
  <c r="E119" i="1"/>
  <c r="O118" i="1"/>
  <c r="N118" i="1"/>
  <c r="I118" i="1"/>
  <c r="M118" i="1" s="1"/>
  <c r="Q117" i="1"/>
  <c r="P117" i="1"/>
  <c r="M117" i="1"/>
  <c r="L117" i="1" s="1"/>
  <c r="O116" i="1"/>
  <c r="N116" i="1"/>
  <c r="I116" i="1"/>
  <c r="M116" i="1" s="1"/>
  <c r="O114" i="1"/>
  <c r="N114" i="1"/>
  <c r="K114" i="1"/>
  <c r="G114" i="1"/>
  <c r="F114" i="1"/>
  <c r="E114" i="1"/>
  <c r="Q113" i="1"/>
  <c r="P113" i="1"/>
  <c r="I113" i="1"/>
  <c r="M113" i="1" s="1"/>
  <c r="L113" i="1" s="1"/>
  <c r="M112" i="1"/>
  <c r="H112" i="1"/>
  <c r="P112" i="1" s="1"/>
  <c r="G111" i="1"/>
  <c r="F111" i="1"/>
  <c r="E111" i="1"/>
  <c r="Q110" i="1"/>
  <c r="P110" i="1"/>
  <c r="Q109" i="1"/>
  <c r="P109" i="1"/>
  <c r="M109" i="1"/>
  <c r="L109" i="1" s="1"/>
  <c r="O108" i="1"/>
  <c r="O111" i="1" s="1"/>
  <c r="N108" i="1"/>
  <c r="N111" i="1" s="1"/>
  <c r="I108" i="1"/>
  <c r="H108" i="1" s="1"/>
  <c r="P108" i="1" s="1"/>
  <c r="G107" i="1"/>
  <c r="F107" i="1"/>
  <c r="E107" i="1"/>
  <c r="Q106" i="1"/>
  <c r="P106" i="1"/>
  <c r="Q105" i="1"/>
  <c r="P105" i="1"/>
  <c r="M105" i="1"/>
  <c r="L105" i="1" s="1"/>
  <c r="O104" i="1"/>
  <c r="O107" i="1" s="1"/>
  <c r="N104" i="1"/>
  <c r="N107" i="1" s="1"/>
  <c r="I104" i="1"/>
  <c r="M104" i="1" s="1"/>
  <c r="G103" i="1"/>
  <c r="F103" i="1"/>
  <c r="E103" i="1"/>
  <c r="O102" i="1"/>
  <c r="N102" i="1"/>
  <c r="I102" i="1"/>
  <c r="H102" i="1" s="1"/>
  <c r="P102" i="1" s="1"/>
  <c r="Q101" i="1"/>
  <c r="P101" i="1"/>
  <c r="M101" i="1"/>
  <c r="L101" i="1" s="1"/>
  <c r="O100" i="1"/>
  <c r="N100" i="1"/>
  <c r="N103" i="1" s="1"/>
  <c r="I100" i="1"/>
  <c r="H100" i="1" s="1"/>
  <c r="P100" i="1" s="1"/>
  <c r="P103" i="1" s="1"/>
  <c r="Q207" i="3" l="1"/>
  <c r="O207" i="3"/>
  <c r="N20" i="3"/>
  <c r="V27" i="3"/>
  <c r="V26" i="3" s="1"/>
  <c r="U27" i="3"/>
  <c r="V23" i="3"/>
  <c r="U23" i="3"/>
  <c r="V99" i="3"/>
  <c r="V98" i="3" s="1"/>
  <c r="V97" i="3" s="1"/>
  <c r="U99" i="3"/>
  <c r="V132" i="3"/>
  <c r="V133" i="3" s="1"/>
  <c r="O133" i="3"/>
  <c r="V74" i="3"/>
  <c r="V73" i="3" s="1"/>
  <c r="T31" i="3"/>
  <c r="V14" i="3"/>
  <c r="V13" i="3" s="1"/>
  <c r="U51" i="3"/>
  <c r="V51" i="3"/>
  <c r="V49" i="3" s="1"/>
  <c r="V48" i="3" s="1"/>
  <c r="V31" i="3"/>
  <c r="U31" i="3"/>
  <c r="Q254" i="3"/>
  <c r="N174" i="1"/>
  <c r="M186" i="1"/>
  <c r="O186" i="1"/>
  <c r="O230" i="3"/>
  <c r="V182" i="3"/>
  <c r="V34" i="3"/>
  <c r="V33" i="3" s="1"/>
  <c r="V91" i="3"/>
  <c r="V90" i="3" s="1"/>
  <c r="V239" i="3"/>
  <c r="O246" i="3"/>
  <c r="N246" i="3" s="1"/>
  <c r="V246" i="3"/>
  <c r="G222" i="3"/>
  <c r="T126" i="3"/>
  <c r="Q126" i="3"/>
  <c r="V41" i="3"/>
  <c r="V40" i="3" s="1"/>
  <c r="V84" i="3"/>
  <c r="V83" i="3" s="1"/>
  <c r="N250" i="3"/>
  <c r="U246" i="3"/>
  <c r="G261" i="3"/>
  <c r="N219" i="3"/>
  <c r="N198" i="3"/>
  <c r="N191" i="3"/>
  <c r="Q222" i="3"/>
  <c r="T254" i="3"/>
  <c r="T262" i="3" s="1"/>
  <c r="N189" i="3"/>
  <c r="N201" i="3"/>
  <c r="N192" i="3"/>
  <c r="T222" i="3"/>
  <c r="Q237" i="3"/>
  <c r="G231" i="3"/>
  <c r="N197" i="3"/>
  <c r="V261" i="3"/>
  <c r="V233" i="3"/>
  <c r="G239" i="3"/>
  <c r="O73" i="3"/>
  <c r="Q97" i="3"/>
  <c r="O261" i="3"/>
  <c r="O208" i="3"/>
  <c r="N242" i="3"/>
  <c r="N248" i="3"/>
  <c r="G182" i="3"/>
  <c r="G157" i="3"/>
  <c r="T194" i="3"/>
  <c r="G194" i="3"/>
  <c r="G203" i="3"/>
  <c r="G208" i="3"/>
  <c r="Q208" i="3"/>
  <c r="T208" i="3"/>
  <c r="G155" i="3"/>
  <c r="G174" i="3"/>
  <c r="G210" i="3"/>
  <c r="Q167" i="3"/>
  <c r="U154" i="3"/>
  <c r="U155" i="3" s="1"/>
  <c r="J154" i="3"/>
  <c r="G143" i="3"/>
  <c r="N26" i="3"/>
  <c r="N25" i="3" s="1"/>
  <c r="O155" i="1"/>
  <c r="N168" i="1"/>
  <c r="N182" i="1" s="1"/>
  <c r="L187" i="1"/>
  <c r="G180" i="3"/>
  <c r="O103" i="1"/>
  <c r="O151" i="1"/>
  <c r="T50" i="3"/>
  <c r="T49" i="3" s="1"/>
  <c r="O167" i="3"/>
  <c r="T180" i="3"/>
  <c r="G131" i="3"/>
  <c r="T167" i="3"/>
  <c r="Q174" i="3"/>
  <c r="Q180" i="3"/>
  <c r="Q33" i="3"/>
  <c r="P111" i="1"/>
  <c r="O119" i="1"/>
  <c r="P143" i="1"/>
  <c r="O168" i="1"/>
  <c r="T59" i="3"/>
  <c r="U204" i="3"/>
  <c r="U208" i="3" s="1"/>
  <c r="T231" i="3"/>
  <c r="Q119" i="3"/>
  <c r="Q150" i="3"/>
  <c r="Q131" i="3"/>
  <c r="T29" i="3"/>
  <c r="T35" i="3"/>
  <c r="T37" i="3"/>
  <c r="T78" i="3"/>
  <c r="T88" i="3"/>
  <c r="T92" i="3"/>
  <c r="T94" i="3"/>
  <c r="T101" i="3"/>
  <c r="J135" i="3"/>
  <c r="U135" i="3" s="1"/>
  <c r="U143" i="3" s="1"/>
  <c r="U156" i="3"/>
  <c r="U157" i="3" s="1"/>
  <c r="N166" i="3"/>
  <c r="N224" i="3"/>
  <c r="N229" i="3"/>
  <c r="T100" i="3"/>
  <c r="T21" i="3"/>
  <c r="T28" i="3"/>
  <c r="T36" i="3"/>
  <c r="T42" i="3"/>
  <c r="T44" i="3"/>
  <c r="T46" i="3"/>
  <c r="T60" i="3"/>
  <c r="T75" i="3"/>
  <c r="T77" i="3"/>
  <c r="T81" i="3"/>
  <c r="T86" i="3"/>
  <c r="T95" i="3"/>
  <c r="T99" i="3"/>
  <c r="T23" i="3"/>
  <c r="T27" i="3"/>
  <c r="U28" i="3"/>
  <c r="T30" i="3"/>
  <c r="U37" i="3"/>
  <c r="U42" i="3"/>
  <c r="T45" i="3"/>
  <c r="U46" i="3"/>
  <c r="T54" i="3"/>
  <c r="T58" i="3"/>
  <c r="T61" i="3"/>
  <c r="V61" i="3"/>
  <c r="U65" i="3"/>
  <c r="U64" i="3" s="1"/>
  <c r="T76" i="3"/>
  <c r="U77" i="3"/>
  <c r="T85" i="3"/>
  <c r="U86" i="3"/>
  <c r="U92" i="3"/>
  <c r="U101" i="3"/>
  <c r="J120" i="3"/>
  <c r="U120" i="3" s="1"/>
  <c r="U126" i="3" s="1"/>
  <c r="J168" i="3"/>
  <c r="U168" i="3" s="1"/>
  <c r="J173" i="3"/>
  <c r="U173" i="3" s="1"/>
  <c r="J184" i="3"/>
  <c r="U184" i="3" s="1"/>
  <c r="J193" i="3"/>
  <c r="U193" i="3" s="1"/>
  <c r="U209" i="3"/>
  <c r="U221" i="3"/>
  <c r="U30" i="3"/>
  <c r="U35" i="3"/>
  <c r="T43" i="3"/>
  <c r="U44" i="3"/>
  <c r="U60" i="3"/>
  <c r="U75" i="3"/>
  <c r="U81" i="3"/>
  <c r="T93" i="3"/>
  <c r="U94" i="3"/>
  <c r="T102" i="3"/>
  <c r="N247" i="3"/>
  <c r="O157" i="3"/>
  <c r="N157" i="3"/>
  <c r="V179" i="3"/>
  <c r="U179" i="3"/>
  <c r="V236" i="3"/>
  <c r="U236" i="3"/>
  <c r="O20" i="3"/>
  <c r="U29" i="3"/>
  <c r="N34" i="3"/>
  <c r="N33" i="3" s="1"/>
  <c r="U36" i="3"/>
  <c r="N41" i="3"/>
  <c r="N40" i="3" s="1"/>
  <c r="U43" i="3"/>
  <c r="U45" i="3"/>
  <c r="U50" i="3"/>
  <c r="U54" i="3"/>
  <c r="N56" i="3"/>
  <c r="U58" i="3"/>
  <c r="V59" i="3"/>
  <c r="V57" i="3" s="1"/>
  <c r="V66" i="3"/>
  <c r="V64" i="3" s="1"/>
  <c r="T65" i="3"/>
  <c r="U71" i="3"/>
  <c r="U76" i="3"/>
  <c r="U78" i="3"/>
  <c r="U85" i="3"/>
  <c r="U88" i="3"/>
  <c r="N91" i="3"/>
  <c r="N90" i="3" s="1"/>
  <c r="U93" i="3"/>
  <c r="U95" i="3"/>
  <c r="U100" i="3"/>
  <c r="U102" i="3"/>
  <c r="J118" i="3"/>
  <c r="J127" i="3"/>
  <c r="U127" i="3" s="1"/>
  <c r="N132" i="3"/>
  <c r="U132" i="3"/>
  <c r="U133" i="3" s="1"/>
  <c r="V142" i="3"/>
  <c r="J149" i="3"/>
  <c r="V151" i="3"/>
  <c r="V155" i="3" s="1"/>
  <c r="J159" i="3"/>
  <c r="J166" i="3"/>
  <c r="J175" i="3"/>
  <c r="N181" i="3"/>
  <c r="U181" i="3"/>
  <c r="U182" i="3" s="1"/>
  <c r="J195" i="3"/>
  <c r="V207" i="3"/>
  <c r="J212" i="3"/>
  <c r="J220" i="3"/>
  <c r="J223" i="3"/>
  <c r="J224" i="3"/>
  <c r="U224" i="3" s="1"/>
  <c r="J229" i="3"/>
  <c r="J232" i="3"/>
  <c r="U232" i="3" s="1"/>
  <c r="N238" i="3"/>
  <c r="U238" i="3"/>
  <c r="U239" i="3" s="1"/>
  <c r="U260" i="3"/>
  <c r="U261" i="3" s="1"/>
  <c r="H104" i="1"/>
  <c r="Q104" i="1" s="1"/>
  <c r="Q107" i="1" s="1"/>
  <c r="P114" i="1"/>
  <c r="H118" i="1"/>
  <c r="Q118" i="1" s="1"/>
  <c r="N123" i="1"/>
  <c r="M122" i="1"/>
  <c r="L122" i="1" s="1"/>
  <c r="M127" i="1"/>
  <c r="L136" i="1"/>
  <c r="P146" i="1"/>
  <c r="M132" i="1"/>
  <c r="L132" i="1" s="1"/>
  <c r="H136" i="1"/>
  <c r="Q136" i="1" s="1"/>
  <c r="L138" i="1"/>
  <c r="N191" i="1"/>
  <c r="L188" i="1"/>
  <c r="L190" i="1"/>
  <c r="H202" i="1"/>
  <c r="I204" i="1"/>
  <c r="J204" i="1" s="1"/>
  <c r="J202" i="1" s="1"/>
  <c r="L116" i="1"/>
  <c r="L150" i="1"/>
  <c r="H156" i="1"/>
  <c r="Q156" i="1" s="1"/>
  <c r="Q159" i="1" s="1"/>
  <c r="P181" i="1"/>
  <c r="N186" i="1"/>
  <c r="L186" i="1" s="1"/>
  <c r="L184" i="1"/>
  <c r="L192" i="1"/>
  <c r="L193" i="1" s="1"/>
  <c r="P196" i="1"/>
  <c r="N115" i="1"/>
  <c r="L104" i="1"/>
  <c r="L107" i="1" s="1"/>
  <c r="M108" i="1"/>
  <c r="M111" i="1" s="1"/>
  <c r="H116" i="1"/>
  <c r="N119" i="1"/>
  <c r="N131" i="1" s="1"/>
  <c r="L118" i="1"/>
  <c r="M120" i="1"/>
  <c r="M123" i="1" s="1"/>
  <c r="O123" i="1"/>
  <c r="H124" i="1"/>
  <c r="Q124" i="1" s="1"/>
  <c r="Q127" i="1" s="1"/>
  <c r="L124" i="1"/>
  <c r="L127" i="1" s="1"/>
  <c r="P128" i="1"/>
  <c r="P130" i="1" s="1"/>
  <c r="P135" i="1"/>
  <c r="M134" i="1"/>
  <c r="L134" i="1" s="1"/>
  <c r="M139" i="1"/>
  <c r="N139" i="1"/>
  <c r="N147" i="1" s="1"/>
  <c r="H138" i="1"/>
  <c r="Q138" i="1" s="1"/>
  <c r="H148" i="1"/>
  <c r="Q148" i="1" s="1"/>
  <c r="N163" i="1"/>
  <c r="H150" i="1"/>
  <c r="Q150" i="1" s="1"/>
  <c r="P160" i="1"/>
  <c r="P162" i="1" s="1"/>
  <c r="P167" i="1"/>
  <c r="O174" i="1"/>
  <c r="M181" i="1"/>
  <c r="L183" i="1"/>
  <c r="N197" i="1"/>
  <c r="P186" i="1"/>
  <c r="M191" i="1"/>
  <c r="O191" i="1"/>
  <c r="P190" i="1"/>
  <c r="P191" i="1" s="1"/>
  <c r="L196" i="1"/>
  <c r="P104" i="1"/>
  <c r="P107" i="1" s="1"/>
  <c r="P115" i="1" s="1"/>
  <c r="O147" i="1"/>
  <c r="L139" i="1"/>
  <c r="L129" i="1"/>
  <c r="L130" i="1" s="1"/>
  <c r="M130" i="1"/>
  <c r="L108" i="1"/>
  <c r="L111" i="1" s="1"/>
  <c r="M114" i="1"/>
  <c r="L112" i="1"/>
  <c r="L114" i="1" s="1"/>
  <c r="P152" i="1"/>
  <c r="Q152" i="1"/>
  <c r="P154" i="1"/>
  <c r="Q154" i="1"/>
  <c r="M159" i="1"/>
  <c r="L156" i="1"/>
  <c r="L159" i="1" s="1"/>
  <c r="P164" i="1"/>
  <c r="Q164" i="1"/>
  <c r="P166" i="1"/>
  <c r="Q166" i="1"/>
  <c r="P169" i="1"/>
  <c r="Q169" i="1"/>
  <c r="P175" i="1"/>
  <c r="Q175" i="1"/>
  <c r="P177" i="1"/>
  <c r="Q177" i="1"/>
  <c r="M146" i="1"/>
  <c r="L144" i="1"/>
  <c r="L146" i="1" s="1"/>
  <c r="M151" i="1"/>
  <c r="L148" i="1"/>
  <c r="L161" i="1"/>
  <c r="L162" i="1" s="1"/>
  <c r="M162" i="1"/>
  <c r="P170" i="1"/>
  <c r="Q170" i="1"/>
  <c r="P172" i="1"/>
  <c r="Q172" i="1"/>
  <c r="Q102" i="1"/>
  <c r="M107" i="1"/>
  <c r="M119" i="1"/>
  <c r="Q140" i="1"/>
  <c r="Q144" i="1"/>
  <c r="Q146" i="1" s="1"/>
  <c r="M100" i="1"/>
  <c r="O115" i="1"/>
  <c r="M102" i="1"/>
  <c r="L102" i="1" s="1"/>
  <c r="Q108" i="1"/>
  <c r="Q111" i="1" s="1"/>
  <c r="Q112" i="1"/>
  <c r="Q114" i="1" s="1"/>
  <c r="Q120" i="1"/>
  <c r="Q123" i="1" s="1"/>
  <c r="Q122" i="1"/>
  <c r="P124" i="1"/>
  <c r="P127" i="1" s="1"/>
  <c r="Q132" i="1"/>
  <c r="Q134" i="1"/>
  <c r="P138" i="1"/>
  <c r="M140" i="1"/>
  <c r="Q142" i="1"/>
  <c r="O163" i="1"/>
  <c r="Q186" i="1"/>
  <c r="Q100" i="1"/>
  <c r="M152" i="1"/>
  <c r="M154" i="1"/>
  <c r="L154" i="1" s="1"/>
  <c r="P158" i="1"/>
  <c r="M164" i="1"/>
  <c r="M166" i="1"/>
  <c r="L166" i="1" s="1"/>
  <c r="M169" i="1"/>
  <c r="M170" i="1"/>
  <c r="L170" i="1" s="1"/>
  <c r="M172" i="1"/>
  <c r="L172" i="1" s="1"/>
  <c r="M175" i="1"/>
  <c r="Q179" i="1"/>
  <c r="Q181" i="1" s="1"/>
  <c r="Q189" i="1"/>
  <c r="Q191" i="1" s="1"/>
  <c r="Q194" i="1"/>
  <c r="Q196" i="1" s="1"/>
  <c r="M196" i="1"/>
  <c r="L179" i="1"/>
  <c r="L181" i="1" s="1"/>
  <c r="Q104" i="3" l="1"/>
  <c r="M197" i="1"/>
  <c r="O197" i="1"/>
  <c r="O182" i="1"/>
  <c r="P148" i="1"/>
  <c r="T98" i="3"/>
  <c r="T97" i="3" s="1"/>
  <c r="U108" i="3"/>
  <c r="V108" i="3"/>
  <c r="U74" i="3"/>
  <c r="U73" i="3" s="1"/>
  <c r="T74" i="3"/>
  <c r="T73" i="3" s="1"/>
  <c r="T64" i="3"/>
  <c r="T63" i="3" s="1"/>
  <c r="N220" i="3"/>
  <c r="N223" i="3"/>
  <c r="V63" i="3"/>
  <c r="U57" i="3"/>
  <c r="U56" i="3" s="1"/>
  <c r="V204" i="3"/>
  <c r="V208" i="3" s="1"/>
  <c r="O182" i="3"/>
  <c r="U49" i="3"/>
  <c r="U48" i="3" s="1"/>
  <c r="N182" i="3"/>
  <c r="V25" i="3"/>
  <c r="T12" i="3"/>
  <c r="N212" i="3"/>
  <c r="T48" i="3"/>
  <c r="T155" i="3"/>
  <c r="Q231" i="3"/>
  <c r="Q240" i="3" s="1"/>
  <c r="V12" i="3"/>
  <c r="O222" i="3"/>
  <c r="N233" i="3"/>
  <c r="O237" i="3"/>
  <c r="N232" i="3"/>
  <c r="N237" i="3" s="1"/>
  <c r="O239" i="3"/>
  <c r="N154" i="3"/>
  <c r="U84" i="3"/>
  <c r="U83" i="3" s="1"/>
  <c r="T84" i="3"/>
  <c r="T83" i="3" s="1"/>
  <c r="T237" i="3"/>
  <c r="T240" i="3" s="1"/>
  <c r="U26" i="3"/>
  <c r="U25" i="3" s="1"/>
  <c r="N118" i="3"/>
  <c r="N119" i="3" s="1"/>
  <c r="N120" i="3"/>
  <c r="O126" i="3"/>
  <c r="U98" i="3"/>
  <c r="U34" i="3"/>
  <c r="U33" i="3" s="1"/>
  <c r="U63" i="3"/>
  <c r="U41" i="3"/>
  <c r="U40" i="3" s="1"/>
  <c r="Q134" i="3"/>
  <c r="Q155" i="3"/>
  <c r="L135" i="1"/>
  <c r="U91" i="3"/>
  <c r="U90" i="3" s="1"/>
  <c r="T57" i="3"/>
  <c r="T56" i="3" s="1"/>
  <c r="T26" i="3"/>
  <c r="T25" i="3" s="1"/>
  <c r="T41" i="3"/>
  <c r="T40" i="3" s="1"/>
  <c r="T91" i="3"/>
  <c r="T90" i="3" s="1"/>
  <c r="T34" i="3"/>
  <c r="T33" i="3" s="1"/>
  <c r="N252" i="3"/>
  <c r="U252" i="3" s="1"/>
  <c r="O254" i="3"/>
  <c r="N254" i="3" s="1"/>
  <c r="N262" i="3" s="1"/>
  <c r="Q262" i="3"/>
  <c r="O180" i="3"/>
  <c r="O203" i="3"/>
  <c r="O194" i="3"/>
  <c r="Q194" i="3"/>
  <c r="Q203" i="3"/>
  <c r="T203" i="3"/>
  <c r="T211" i="3" s="1"/>
  <c r="N239" i="3"/>
  <c r="U194" i="3"/>
  <c r="N193" i="3"/>
  <c r="U20" i="3"/>
  <c r="N195" i="3"/>
  <c r="N144" i="3"/>
  <c r="N184" i="3"/>
  <c r="T174" i="3"/>
  <c r="T183" i="3" s="1"/>
  <c r="V120" i="3"/>
  <c r="V126" i="3" s="1"/>
  <c r="N204" i="3"/>
  <c r="N208" i="3" s="1"/>
  <c r="N202" i="3"/>
  <c r="N149" i="3"/>
  <c r="N168" i="3"/>
  <c r="V168" i="3"/>
  <c r="N135" i="3"/>
  <c r="V135" i="3"/>
  <c r="V143" i="3" s="1"/>
  <c r="N133" i="3"/>
  <c r="O174" i="3"/>
  <c r="N175" i="3"/>
  <c r="N180" i="3" s="1"/>
  <c r="V184" i="3"/>
  <c r="O143" i="3"/>
  <c r="Q183" i="3"/>
  <c r="N173" i="3"/>
  <c r="N159" i="3"/>
  <c r="N167" i="3" s="1"/>
  <c r="Q143" i="3"/>
  <c r="T150" i="3"/>
  <c r="N142" i="3"/>
  <c r="O119" i="3"/>
  <c r="N151" i="3"/>
  <c r="N127" i="3"/>
  <c r="N131" i="3" s="1"/>
  <c r="T143" i="3"/>
  <c r="L151" i="1"/>
  <c r="O150" i="3"/>
  <c r="V173" i="3"/>
  <c r="U97" i="3"/>
  <c r="O155" i="3"/>
  <c r="P118" i="1"/>
  <c r="O131" i="1"/>
  <c r="T20" i="3"/>
  <c r="O131" i="3"/>
  <c r="T119" i="3"/>
  <c r="T134" i="3" s="1"/>
  <c r="V193" i="3"/>
  <c r="V56" i="3"/>
  <c r="U174" i="3"/>
  <c r="V232" i="3"/>
  <c r="V237" i="3" s="1"/>
  <c r="U237" i="3"/>
  <c r="V224" i="3"/>
  <c r="V220" i="3"/>
  <c r="U220" i="3"/>
  <c r="V202" i="3"/>
  <c r="U202" i="3"/>
  <c r="V175" i="3"/>
  <c r="V180" i="3" s="1"/>
  <c r="U175" i="3"/>
  <c r="U180" i="3" s="1"/>
  <c r="V159" i="3"/>
  <c r="U159" i="3"/>
  <c r="V149" i="3"/>
  <c r="U149" i="3"/>
  <c r="V127" i="3"/>
  <c r="V131" i="3" s="1"/>
  <c r="U131" i="3"/>
  <c r="V118" i="3"/>
  <c r="U118" i="3"/>
  <c r="V229" i="3"/>
  <c r="U229" i="3"/>
  <c r="V223" i="3"/>
  <c r="U223" i="3"/>
  <c r="V212" i="3"/>
  <c r="U212" i="3"/>
  <c r="V195" i="3"/>
  <c r="U195" i="3"/>
  <c r="U203" i="3" s="1"/>
  <c r="V166" i="3"/>
  <c r="U166" i="3"/>
  <c r="V144" i="3"/>
  <c r="U144" i="3"/>
  <c r="L119" i="1"/>
  <c r="I202" i="1"/>
  <c r="Q139" i="1"/>
  <c r="P156" i="1"/>
  <c r="P136" i="1"/>
  <c r="L120" i="1"/>
  <c r="L123" i="1" s="1"/>
  <c r="P197" i="1"/>
  <c r="P159" i="1"/>
  <c r="P139" i="1"/>
  <c r="P147" i="1" s="1"/>
  <c r="Q135" i="1"/>
  <c r="Q143" i="1"/>
  <c r="Q116" i="1"/>
  <c r="Q119" i="1" s="1"/>
  <c r="Q131" i="1" s="1"/>
  <c r="P116" i="1"/>
  <c r="P119" i="1" s="1"/>
  <c r="P131" i="1" s="1"/>
  <c r="P150" i="1"/>
  <c r="P151" i="1" s="1"/>
  <c r="M135" i="1"/>
  <c r="L191" i="1"/>
  <c r="L197" i="1" s="1"/>
  <c r="Q151" i="1"/>
  <c r="L169" i="1"/>
  <c r="L174" i="1" s="1"/>
  <c r="M174" i="1"/>
  <c r="M155" i="1"/>
  <c r="M163" i="1" s="1"/>
  <c r="L163" i="1" s="1"/>
  <c r="L152" i="1"/>
  <c r="L155" i="1" s="1"/>
  <c r="M178" i="1"/>
  <c r="L175" i="1"/>
  <c r="L178" i="1" s="1"/>
  <c r="M103" i="1"/>
  <c r="M115" i="1" s="1"/>
  <c r="L115" i="1" s="1"/>
  <c r="L100" i="1"/>
  <c r="L103" i="1" s="1"/>
  <c r="Q103" i="1"/>
  <c r="Q115" i="1" s="1"/>
  <c r="M131" i="1"/>
  <c r="Q178" i="1"/>
  <c r="Q174" i="1"/>
  <c r="Q168" i="1"/>
  <c r="Q155" i="1"/>
  <c r="Q163" i="1" s="1"/>
  <c r="L164" i="1"/>
  <c r="L168" i="1" s="1"/>
  <c r="M168" i="1"/>
  <c r="M143" i="1"/>
  <c r="L140" i="1"/>
  <c r="L143" i="1" s="1"/>
  <c r="Q197" i="1"/>
  <c r="P178" i="1"/>
  <c r="P174" i="1"/>
  <c r="P168" i="1"/>
  <c r="P155" i="1"/>
  <c r="V203" i="3" l="1"/>
  <c r="O134" i="3"/>
  <c r="N134" i="3" s="1"/>
  <c r="W33" i="3"/>
  <c r="U254" i="3"/>
  <c r="U262" i="3" s="1"/>
  <c r="V252" i="3"/>
  <c r="V254" i="3" s="1"/>
  <c r="V262" i="3" s="1"/>
  <c r="N126" i="3"/>
  <c r="N222" i="3"/>
  <c r="M147" i="1"/>
  <c r="L147" i="1" s="1"/>
  <c r="Q211" i="3"/>
  <c r="N155" i="3"/>
  <c r="Q158" i="3"/>
  <c r="O183" i="3"/>
  <c r="N183" i="3" s="1"/>
  <c r="O262" i="3"/>
  <c r="N194" i="3"/>
  <c r="N203" i="3"/>
  <c r="V222" i="3"/>
  <c r="V21" i="3"/>
  <c r="V20" i="3" s="1"/>
  <c r="V194" i="3"/>
  <c r="O158" i="3"/>
  <c r="N150" i="3"/>
  <c r="N174" i="3"/>
  <c r="N143" i="3"/>
  <c r="V174" i="3"/>
  <c r="T158" i="3"/>
  <c r="L131" i="1"/>
  <c r="V119" i="3"/>
  <c r="V134" i="3" s="1"/>
  <c r="V150" i="3"/>
  <c r="V158" i="3" s="1"/>
  <c r="U167" i="3"/>
  <c r="U183" i="3" s="1"/>
  <c r="U119" i="3"/>
  <c r="U134" i="3" s="1"/>
  <c r="U150" i="3"/>
  <c r="U158" i="3" s="1"/>
  <c r="U222" i="3"/>
  <c r="V167" i="3"/>
  <c r="Q147" i="1"/>
  <c r="P163" i="1"/>
  <c r="P182" i="1"/>
  <c r="L182" i="1"/>
  <c r="Q182" i="1"/>
  <c r="M182" i="1"/>
  <c r="N158" i="3" l="1"/>
  <c r="V183" i="3"/>
  <c r="L26" i="1"/>
  <c r="M41" i="1"/>
  <c r="M40" i="1"/>
  <c r="M39" i="1"/>
  <c r="M33" i="1"/>
  <c r="M32" i="1"/>
  <c r="M26" i="1"/>
  <c r="M25" i="1"/>
  <c r="M24" i="1"/>
  <c r="M18" i="1"/>
  <c r="N92" i="1"/>
  <c r="N91" i="1"/>
  <c r="M92" i="1"/>
  <c r="M91" i="1"/>
  <c r="L92" i="1"/>
  <c r="L91" i="1"/>
  <c r="N85" i="1"/>
  <c r="N86" i="1"/>
  <c r="N87" i="1"/>
  <c r="N84" i="1"/>
  <c r="M85" i="1"/>
  <c r="M84" i="1"/>
  <c r="L85" i="1"/>
  <c r="L84" i="1"/>
  <c r="N78" i="1"/>
  <c r="N76" i="1" s="1"/>
  <c r="N77" i="1"/>
  <c r="M78" i="1"/>
  <c r="M77" i="1"/>
  <c r="L78" i="1"/>
  <c r="L79" i="1"/>
  <c r="L80" i="1"/>
  <c r="L81" i="1"/>
  <c r="L77" i="1"/>
  <c r="N70" i="1"/>
  <c r="N71" i="1"/>
  <c r="N69" i="1"/>
  <c r="M70" i="1"/>
  <c r="M71" i="1"/>
  <c r="M69" i="1"/>
  <c r="L70" i="1"/>
  <c r="L71" i="1"/>
  <c r="L69" i="1"/>
  <c r="N62" i="1"/>
  <c r="N63" i="1"/>
  <c r="N61" i="1"/>
  <c r="M62" i="1"/>
  <c r="M63" i="1"/>
  <c r="M61" i="1"/>
  <c r="L62" i="1"/>
  <c r="L63" i="1"/>
  <c r="L61" i="1"/>
  <c r="N55" i="1"/>
  <c r="N54" i="1"/>
  <c r="M55" i="1"/>
  <c r="M54" i="1"/>
  <c r="L55" i="1"/>
  <c r="L54" i="1"/>
  <c r="N48" i="1"/>
  <c r="M48" i="1"/>
  <c r="L48" i="1"/>
  <c r="N47" i="1"/>
  <c r="M47" i="1"/>
  <c r="L47" i="1"/>
  <c r="N44" i="1"/>
  <c r="N40" i="1"/>
  <c r="N41" i="1"/>
  <c r="N39" i="1"/>
  <c r="L40" i="1"/>
  <c r="L41" i="1"/>
  <c r="L39" i="1"/>
  <c r="N36" i="1"/>
  <c r="N33" i="1"/>
  <c r="N32" i="1"/>
  <c r="L32" i="1"/>
  <c r="N25" i="1"/>
  <c r="N26" i="1"/>
  <c r="L25" i="1"/>
  <c r="L24" i="1"/>
  <c r="N46" i="1" l="1"/>
  <c r="N83" i="1"/>
  <c r="N53" i="1"/>
  <c r="M38" i="1"/>
  <c r="M23" i="1"/>
  <c r="M68" i="1"/>
  <c r="M31" i="1"/>
  <c r="M53" i="1"/>
  <c r="N38" i="1"/>
  <c r="N37" i="1" s="1"/>
  <c r="M60" i="1"/>
  <c r="N90" i="1"/>
  <c r="M46" i="1"/>
  <c r="N68" i="1"/>
  <c r="M76" i="1"/>
  <c r="M90" i="1"/>
  <c r="M83" i="1"/>
  <c r="N60" i="1"/>
  <c r="N31" i="1"/>
  <c r="N30" i="1" s="1"/>
  <c r="N24" i="1" l="1"/>
  <c r="N23" i="1" s="1"/>
  <c r="O25" i="1"/>
  <c r="P25" i="1" s="1"/>
  <c r="Q25" i="1" s="1"/>
  <c r="M17" i="1"/>
  <c r="L90" i="1"/>
  <c r="L83" i="1"/>
  <c r="O83" i="1" s="1"/>
  <c r="P83" i="1" s="1"/>
  <c r="Q83" i="1" s="1"/>
  <c r="L76" i="1"/>
  <c r="L75" i="1" s="1"/>
  <c r="N18" i="1"/>
  <c r="N17" i="1" s="1"/>
  <c r="O77" i="1"/>
  <c r="P77" i="1" s="1"/>
  <c r="Q77" i="1" s="1"/>
  <c r="O78" i="1"/>
  <c r="P78" i="1" s="1"/>
  <c r="Q78" i="1" s="1"/>
  <c r="O84" i="1"/>
  <c r="P84" i="1" s="1"/>
  <c r="Q84" i="1" s="1"/>
  <c r="O85" i="1"/>
  <c r="P85" i="1" s="1"/>
  <c r="Q85" i="1" s="1"/>
  <c r="O90" i="1"/>
  <c r="P90" i="1" s="1"/>
  <c r="Q90" i="1" s="1"/>
  <c r="O91" i="1"/>
  <c r="P91" i="1" s="1"/>
  <c r="Q91" i="1" s="1"/>
  <c r="O92" i="1"/>
  <c r="P92" i="1" s="1"/>
  <c r="Q92" i="1" s="1"/>
  <c r="N12" i="1"/>
  <c r="N13" i="1"/>
  <c r="N14" i="1"/>
  <c r="N15" i="1"/>
  <c r="N19" i="1"/>
  <c r="N20" i="1"/>
  <c r="N21" i="1"/>
  <c r="N27" i="1"/>
  <c r="N28" i="1"/>
  <c r="N29" i="1"/>
  <c r="N34" i="1"/>
  <c r="N35" i="1"/>
  <c r="N42" i="1"/>
  <c r="N43" i="1"/>
  <c r="N49" i="1"/>
  <c r="N50" i="1"/>
  <c r="N51" i="1"/>
  <c r="N45" i="1" s="1"/>
  <c r="N56" i="1"/>
  <c r="N57" i="1"/>
  <c r="N58" i="1"/>
  <c r="N52" i="1" s="1"/>
  <c r="N64" i="1"/>
  <c r="N65" i="1"/>
  <c r="N66" i="1"/>
  <c r="N59" i="1" s="1"/>
  <c r="N72" i="1"/>
  <c r="N73" i="1"/>
  <c r="N74" i="1"/>
  <c r="N67" i="1" s="1"/>
  <c r="N79" i="1"/>
  <c r="N80" i="1"/>
  <c r="N81" i="1"/>
  <c r="N75" i="1" s="1"/>
  <c r="N88" i="1"/>
  <c r="N82" i="1" s="1"/>
  <c r="N93" i="1"/>
  <c r="N94" i="1"/>
  <c r="N95" i="1"/>
  <c r="N89" i="1" s="1"/>
  <c r="N11" i="1"/>
  <c r="M12" i="1"/>
  <c r="M13" i="1"/>
  <c r="M14" i="1"/>
  <c r="M15" i="1"/>
  <c r="M19" i="1"/>
  <c r="M20" i="1"/>
  <c r="M21" i="1"/>
  <c r="M27" i="1"/>
  <c r="M28" i="1"/>
  <c r="M29" i="1"/>
  <c r="M34" i="1"/>
  <c r="M35" i="1"/>
  <c r="M36" i="1"/>
  <c r="M30" i="1" s="1"/>
  <c r="M42" i="1"/>
  <c r="M43" i="1"/>
  <c r="M44" i="1"/>
  <c r="M37" i="1" s="1"/>
  <c r="M49" i="1"/>
  <c r="M50" i="1"/>
  <c r="M51" i="1"/>
  <c r="M45" i="1" s="1"/>
  <c r="M56" i="1"/>
  <c r="M57" i="1"/>
  <c r="M58" i="1"/>
  <c r="M52" i="1" s="1"/>
  <c r="M64" i="1"/>
  <c r="M65" i="1"/>
  <c r="M66" i="1"/>
  <c r="M59" i="1" s="1"/>
  <c r="M72" i="1"/>
  <c r="M73" i="1"/>
  <c r="M74" i="1"/>
  <c r="M67" i="1" s="1"/>
  <c r="M79" i="1"/>
  <c r="O79" i="1" s="1"/>
  <c r="P79" i="1" s="1"/>
  <c r="Q79" i="1" s="1"/>
  <c r="M80" i="1"/>
  <c r="O80" i="1" s="1"/>
  <c r="P80" i="1" s="1"/>
  <c r="Q80" i="1" s="1"/>
  <c r="M81" i="1"/>
  <c r="M75" i="1" s="1"/>
  <c r="M86" i="1"/>
  <c r="M87" i="1"/>
  <c r="M88" i="1"/>
  <c r="M82" i="1" s="1"/>
  <c r="M93" i="1"/>
  <c r="M94" i="1"/>
  <c r="M95" i="1"/>
  <c r="M89" i="1" s="1"/>
  <c r="M11" i="1"/>
  <c r="L12" i="1"/>
  <c r="O12" i="1" s="1"/>
  <c r="P12" i="1" s="1"/>
  <c r="Q12" i="1" s="1"/>
  <c r="L13" i="1"/>
  <c r="O13" i="1" s="1"/>
  <c r="P13" i="1" s="1"/>
  <c r="Q13" i="1" s="1"/>
  <c r="L14" i="1"/>
  <c r="O14" i="1" s="1"/>
  <c r="P14" i="1" s="1"/>
  <c r="Q14" i="1" s="1"/>
  <c r="L15" i="1"/>
  <c r="L18" i="1"/>
  <c r="L17" i="1" s="1"/>
  <c r="L19" i="1"/>
  <c r="L20" i="1"/>
  <c r="L21" i="1"/>
  <c r="L27" i="1"/>
  <c r="L28" i="1"/>
  <c r="L29" i="1"/>
  <c r="L33" i="1"/>
  <c r="O33" i="1" s="1"/>
  <c r="P33" i="1" s="1"/>
  <c r="Q33" i="1" s="1"/>
  <c r="L34" i="1"/>
  <c r="O34" i="1" s="1"/>
  <c r="P34" i="1" s="1"/>
  <c r="Q34" i="1" s="1"/>
  <c r="L35" i="1"/>
  <c r="O35" i="1" s="1"/>
  <c r="P35" i="1" s="1"/>
  <c r="Q35" i="1" s="1"/>
  <c r="L36" i="1"/>
  <c r="O36" i="1" s="1"/>
  <c r="P36" i="1" s="1"/>
  <c r="Q36" i="1" s="1"/>
  <c r="L38" i="1"/>
  <c r="O40" i="1"/>
  <c r="P40" i="1" s="1"/>
  <c r="Q40" i="1" s="1"/>
  <c r="O41" i="1"/>
  <c r="P41" i="1" s="1"/>
  <c r="Q41" i="1" s="1"/>
  <c r="L42" i="1"/>
  <c r="O42" i="1" s="1"/>
  <c r="P42" i="1" s="1"/>
  <c r="Q42" i="1" s="1"/>
  <c r="L43" i="1"/>
  <c r="L44" i="1"/>
  <c r="L46" i="1"/>
  <c r="O48" i="1"/>
  <c r="P48" i="1" s="1"/>
  <c r="Q48" i="1" s="1"/>
  <c r="L49" i="1"/>
  <c r="L50" i="1"/>
  <c r="O50" i="1" s="1"/>
  <c r="P50" i="1" s="1"/>
  <c r="Q50" i="1" s="1"/>
  <c r="L51" i="1"/>
  <c r="L53" i="1"/>
  <c r="O55" i="1"/>
  <c r="P55" i="1" s="1"/>
  <c r="Q55" i="1" s="1"/>
  <c r="L56" i="1"/>
  <c r="L57" i="1"/>
  <c r="L58" i="1"/>
  <c r="O58" i="1" s="1"/>
  <c r="P58" i="1" s="1"/>
  <c r="Q58" i="1" s="1"/>
  <c r="O61" i="1"/>
  <c r="P61" i="1" s="1"/>
  <c r="Q61" i="1" s="1"/>
  <c r="O62" i="1"/>
  <c r="P62" i="1" s="1"/>
  <c r="Q62" i="1" s="1"/>
  <c r="O63" i="1"/>
  <c r="P63" i="1" s="1"/>
  <c r="Q63" i="1" s="1"/>
  <c r="L64" i="1"/>
  <c r="O64" i="1" s="1"/>
  <c r="P64" i="1" s="1"/>
  <c r="Q64" i="1" s="1"/>
  <c r="L65" i="1"/>
  <c r="L66" i="1"/>
  <c r="O66" i="1" s="1"/>
  <c r="P66" i="1" s="1"/>
  <c r="Q66" i="1" s="1"/>
  <c r="L68" i="1"/>
  <c r="O70" i="1"/>
  <c r="P70" i="1" s="1"/>
  <c r="Q70" i="1" s="1"/>
  <c r="O71" i="1"/>
  <c r="P71" i="1" s="1"/>
  <c r="Q71" i="1" s="1"/>
  <c r="L72" i="1"/>
  <c r="O72" i="1" s="1"/>
  <c r="P72" i="1" s="1"/>
  <c r="Q72" i="1" s="1"/>
  <c r="L73" i="1"/>
  <c r="L74" i="1"/>
  <c r="L86" i="1"/>
  <c r="L87" i="1"/>
  <c r="O87" i="1" s="1"/>
  <c r="P87" i="1" s="1"/>
  <c r="Q87" i="1" s="1"/>
  <c r="L88" i="1"/>
  <c r="O88" i="1" s="1"/>
  <c r="P88" i="1" s="1"/>
  <c r="Q88" i="1" s="1"/>
  <c r="L93" i="1"/>
  <c r="O93" i="1" s="1"/>
  <c r="P93" i="1" s="1"/>
  <c r="Q93" i="1" s="1"/>
  <c r="L94" i="1"/>
  <c r="L95" i="1"/>
  <c r="O95" i="1" s="1"/>
  <c r="P95" i="1" s="1"/>
  <c r="Q95" i="1" s="1"/>
  <c r="L11" i="1"/>
  <c r="O11" i="1" s="1"/>
  <c r="P11" i="1" s="1"/>
  <c r="Q11" i="1" s="1"/>
  <c r="O73" i="1" l="1"/>
  <c r="P73" i="1" s="1"/>
  <c r="Q73" i="1" s="1"/>
  <c r="O29" i="1"/>
  <c r="P29" i="1" s="1"/>
  <c r="Q29" i="1" s="1"/>
  <c r="O20" i="1"/>
  <c r="P20" i="1" s="1"/>
  <c r="Q20" i="1" s="1"/>
  <c r="O74" i="1"/>
  <c r="P74" i="1" s="1"/>
  <c r="Q74" i="1" s="1"/>
  <c r="O94" i="1"/>
  <c r="P94" i="1" s="1"/>
  <c r="Q94" i="1" s="1"/>
  <c r="O86" i="1"/>
  <c r="P86" i="1" s="1"/>
  <c r="Q86" i="1" s="1"/>
  <c r="O65" i="1"/>
  <c r="P65" i="1" s="1"/>
  <c r="Q65" i="1" s="1"/>
  <c r="O15" i="1"/>
  <c r="P15" i="1" s="1"/>
  <c r="Q15" i="1" s="1"/>
  <c r="O56" i="1"/>
  <c r="P56" i="1" s="1"/>
  <c r="Q56" i="1" s="1"/>
  <c r="O44" i="1"/>
  <c r="P44" i="1" s="1"/>
  <c r="Q44" i="1" s="1"/>
  <c r="O27" i="1"/>
  <c r="P27" i="1" s="1"/>
  <c r="Q27" i="1" s="1"/>
  <c r="L16" i="1"/>
  <c r="O57" i="1"/>
  <c r="P57" i="1" s="1"/>
  <c r="Q57" i="1" s="1"/>
  <c r="O51" i="1"/>
  <c r="P51" i="1" s="1"/>
  <c r="Q51" i="1" s="1"/>
  <c r="O49" i="1"/>
  <c r="P49" i="1" s="1"/>
  <c r="Q49" i="1" s="1"/>
  <c r="O43" i="1"/>
  <c r="P43" i="1" s="1"/>
  <c r="Q43" i="1" s="1"/>
  <c r="O28" i="1"/>
  <c r="P28" i="1" s="1"/>
  <c r="Q28" i="1" s="1"/>
  <c r="O21" i="1"/>
  <c r="P21" i="1" s="1"/>
  <c r="Q21" i="1" s="1"/>
  <c r="O19" i="1"/>
  <c r="P19" i="1" s="1"/>
  <c r="Q19" i="1" s="1"/>
  <c r="N16" i="1"/>
  <c r="M10" i="1"/>
  <c r="M9" i="1" s="1"/>
  <c r="N10" i="1"/>
  <c r="N9" i="1" s="1"/>
  <c r="O81" i="1"/>
  <c r="P81" i="1" s="1"/>
  <c r="Q81" i="1" s="1"/>
  <c r="O75" i="1"/>
  <c r="P75" i="1" s="1"/>
  <c r="Q75" i="1" s="1"/>
  <c r="L89" i="1"/>
  <c r="L31" i="1"/>
  <c r="L30" i="1" s="1"/>
  <c r="O30" i="1" s="1"/>
  <c r="P30" i="1" s="1"/>
  <c r="Q30" i="1" s="1"/>
  <c r="N22" i="1"/>
  <c r="O76" i="1"/>
  <c r="P76" i="1" s="1"/>
  <c r="Q76" i="1" s="1"/>
  <c r="L82" i="1"/>
  <c r="O82" i="1" s="1"/>
  <c r="P82" i="1" s="1"/>
  <c r="Q82" i="1" s="1"/>
  <c r="L67" i="1"/>
  <c r="O67" i="1" s="1"/>
  <c r="P67" i="1" s="1"/>
  <c r="Q67" i="1" s="1"/>
  <c r="O68" i="1"/>
  <c r="P68" i="1" s="1"/>
  <c r="Q68" i="1" s="1"/>
  <c r="L45" i="1"/>
  <c r="O45" i="1" s="1"/>
  <c r="P45" i="1" s="1"/>
  <c r="Q45" i="1" s="1"/>
  <c r="O46" i="1"/>
  <c r="P46" i="1" s="1"/>
  <c r="Q46" i="1" s="1"/>
  <c r="O38" i="1"/>
  <c r="O37" i="1" s="1"/>
  <c r="L37" i="1"/>
  <c r="L52" i="1"/>
  <c r="O52" i="1" s="1"/>
  <c r="P52" i="1" s="1"/>
  <c r="Q52" i="1" s="1"/>
  <c r="O53" i="1"/>
  <c r="P53" i="1" s="1"/>
  <c r="Q53" i="1" s="1"/>
  <c r="O31" i="1"/>
  <c r="P31" i="1" s="1"/>
  <c r="Q31" i="1" s="1"/>
  <c r="O69" i="1"/>
  <c r="P69" i="1" s="1"/>
  <c r="Q69" i="1" s="1"/>
  <c r="O39" i="1"/>
  <c r="P39" i="1" s="1"/>
  <c r="Q39" i="1" s="1"/>
  <c r="O32" i="1"/>
  <c r="P32" i="1" s="1"/>
  <c r="Q32" i="1" s="1"/>
  <c r="L10" i="1"/>
  <c r="L60" i="1"/>
  <c r="M16" i="1"/>
  <c r="O54" i="1"/>
  <c r="P54" i="1" s="1"/>
  <c r="Q54" i="1" s="1"/>
  <c r="O47" i="1"/>
  <c r="P47" i="1" s="1"/>
  <c r="Q47" i="1" s="1"/>
  <c r="M22" i="1"/>
  <c r="O24" i="1"/>
  <c r="P24" i="1" s="1"/>
  <c r="Q24" i="1" s="1"/>
  <c r="L23" i="1"/>
  <c r="L22" i="1" s="1"/>
  <c r="O26" i="1"/>
  <c r="P26" i="1" s="1"/>
  <c r="Q26" i="1" s="1"/>
  <c r="O23" i="1"/>
  <c r="P23" i="1" s="1"/>
  <c r="Q23" i="1" s="1"/>
  <c r="O17" i="1"/>
  <c r="P17" i="1" s="1"/>
  <c r="Q17" i="1" s="1"/>
  <c r="O89" i="1"/>
  <c r="P89" i="1" s="1"/>
  <c r="Q89" i="1" s="1"/>
  <c r="O18" i="1"/>
  <c r="P18" i="1" s="1"/>
  <c r="Q18" i="1" s="1"/>
  <c r="K12" i="1"/>
  <c r="K13" i="1"/>
  <c r="K14" i="1"/>
  <c r="K15" i="1"/>
  <c r="K16" i="1"/>
  <c r="K17" i="1"/>
  <c r="K18" i="1"/>
  <c r="K19" i="1"/>
  <c r="K20" i="1"/>
  <c r="K21" i="1"/>
  <c r="K22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11" i="1"/>
  <c r="O16" i="1" l="1"/>
  <c r="P16" i="1" s="1"/>
  <c r="Q16" i="1" s="1"/>
  <c r="P38" i="1"/>
  <c r="P37" i="1" s="1"/>
  <c r="O22" i="1"/>
  <c r="P22" i="1" s="1"/>
  <c r="Q22" i="1" s="1"/>
  <c r="L59" i="1"/>
  <c r="O59" i="1" s="1"/>
  <c r="P59" i="1" s="1"/>
  <c r="Q59" i="1" s="1"/>
  <c r="O60" i="1"/>
  <c r="P60" i="1" s="1"/>
  <c r="Q60" i="1" s="1"/>
  <c r="O10" i="1"/>
  <c r="P10" i="1" s="1"/>
  <c r="Q10" i="1" s="1"/>
  <c r="L9" i="1"/>
  <c r="O9" i="1" s="1"/>
  <c r="K23" i="1"/>
  <c r="Q38" i="1" l="1"/>
  <c r="Q37" i="1" s="1"/>
  <c r="P9" i="1"/>
  <c r="Q9" i="1"/>
  <c r="U210" i="3"/>
  <c r="U211" i="3" s="1"/>
  <c r="O210" i="3"/>
  <c r="O211" i="3" s="1"/>
  <c r="N211" i="3" l="1"/>
  <c r="N210" i="3"/>
  <c r="V210" i="3"/>
  <c r="V211" i="3" s="1"/>
  <c r="O231" i="3"/>
  <c r="O240" i="3" s="1"/>
  <c r="J230" i="3"/>
  <c r="U230" i="3" s="1"/>
  <c r="U231" i="3" s="1"/>
  <c r="U240" i="3" s="1"/>
  <c r="N230" i="3" l="1"/>
  <c r="V230" i="3"/>
  <c r="V231" i="3" s="1"/>
  <c r="V240" i="3" s="1"/>
  <c r="N231" i="3" l="1"/>
  <c r="N240" i="3" s="1"/>
  <c r="M52" i="6"/>
  <c r="Q38" i="6"/>
  <c r="Q180" i="6" s="1"/>
  <c r="T52" i="6"/>
  <c r="T38" i="6" s="1"/>
  <c r="T180" i="6" l="1"/>
  <c r="X38" i="6"/>
  <c r="Y38" i="6" s="1"/>
  <c r="U52" i="6"/>
  <c r="V52" i="6" l="1"/>
  <c r="V38" i="6" s="1"/>
  <c r="V180" i="6" s="1"/>
  <c r="U38" i="6"/>
  <c r="U180" i="6" s="1"/>
  <c r="W180" i="6" s="1"/>
  <c r="W39" i="6" l="1"/>
</calcChain>
</file>

<file path=xl/comments1.xml><?xml version="1.0" encoding="utf-8"?>
<comments xmlns="http://schemas.openxmlformats.org/spreadsheetml/2006/main">
  <authors>
    <author>Бецку</author>
  </authors>
  <commentList>
    <comment ref="N16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6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29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29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-0,35</t>
        </r>
      </text>
    </comment>
    <comment ref="N43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43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58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58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-0,53</t>
        </r>
      </text>
    </comment>
    <comment ref="N7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7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84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10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0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113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13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128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28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143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43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157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57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-0,27</t>
        </r>
      </text>
    </comment>
    <comment ref="N17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70" authorId="0">
      <text>
        <r>
          <rPr>
            <b/>
            <sz val="9"/>
            <color indexed="81"/>
            <rFont val="Tahoma"/>
            <family val="2"/>
            <charset val="204"/>
          </rPr>
          <t>Бецку: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<sst xmlns="http://schemas.openxmlformats.org/spreadsheetml/2006/main" count="3669" uniqueCount="337">
  <si>
    <t>Группы общеразвивающей направленности (за исключением малокомплектных образовательных организаций)</t>
  </si>
  <si>
    <t>Нормативные затраты на оказание муниципальных услуг (работ) на 2016-2018 гг</t>
  </si>
  <si>
    <t>Приложение 3</t>
  </si>
  <si>
    <t>Наименование учреждения</t>
  </si>
  <si>
    <t>Ед. изм. объема услуги</t>
  </si>
  <si>
    <t>Значение объема муниципальной услуги (работы)</t>
  </si>
  <si>
    <t>Базовый норматив затрат на единицу объема</t>
  </si>
  <si>
    <t>Нормативные затраты на оказание муниципальной услуги (работы)</t>
  </si>
  <si>
    <t>2016 год</t>
  </si>
  <si>
    <t>2017 год</t>
  </si>
  <si>
    <t>2018 год</t>
  </si>
  <si>
    <t>в т.ч. Местный бюджет</t>
  </si>
  <si>
    <t>Итого:</t>
  </si>
  <si>
    <t>в соответствии с реестром</t>
  </si>
  <si>
    <t>в соответствии с перечнем</t>
  </si>
  <si>
    <t>по ОКЕИ</t>
  </si>
  <si>
    <t>в натуральных показателях</t>
  </si>
  <si>
    <t>в рублях</t>
  </si>
  <si>
    <t>МБДОУ д/с № 4</t>
  </si>
  <si>
    <t>до 3 лет</t>
  </si>
  <si>
    <t>чел.</t>
  </si>
  <si>
    <t>32</t>
  </si>
  <si>
    <t>0</t>
  </si>
  <si>
    <t>0,00</t>
  </si>
  <si>
    <t>от 3 до 7 лет</t>
  </si>
  <si>
    <t>88</t>
  </si>
  <si>
    <t>Мат. база</t>
  </si>
  <si>
    <t>120</t>
  </si>
  <si>
    <r>
      <rPr>
        <b/>
        <sz val="11"/>
        <rFont val="Times New Roman"/>
        <family val="1"/>
        <charset val="204"/>
      </rPr>
      <t>Присмотр и уход</t>
    </r>
  </si>
  <si>
    <t>МБДОУ д/с № 5</t>
  </si>
  <si>
    <t>Группы общеразвивающей направленности, созданные в малокомплектных образовательных организациях</t>
  </si>
  <si>
    <t>группы</t>
  </si>
  <si>
    <t>3</t>
  </si>
  <si>
    <t>Административноуправленческий и учебновспомогательный персонал</t>
  </si>
  <si>
    <t>37</t>
  </si>
  <si>
    <t>МБДОУ д/с № 7</t>
  </si>
  <si>
    <t>29</t>
  </si>
  <si>
    <t>43</t>
  </si>
  <si>
    <t>Группы компенсирующей направленности (за исключением малокомплектных образовательных организаций)</t>
  </si>
  <si>
    <t>48</t>
  </si>
  <si>
    <t>МБДОУ д/с № 8</t>
  </si>
  <si>
    <t>19</t>
  </si>
  <si>
    <t>87</t>
  </si>
  <si>
    <t>106</t>
  </si>
  <si>
    <t>МБДОУ д/с № 9</t>
  </si>
  <si>
    <t>52</t>
  </si>
  <si>
    <t>93</t>
  </si>
  <si>
    <t>72</t>
  </si>
  <si>
    <t>217</t>
  </si>
  <si>
    <t>МБДОУ д/с № 10</t>
  </si>
  <si>
    <t>21</t>
  </si>
  <si>
    <t>Мат.база</t>
  </si>
  <si>
    <t>108</t>
  </si>
  <si>
    <t>МБДОУ д/с № 12</t>
  </si>
  <si>
    <t>41</t>
  </si>
  <si>
    <t>109</t>
  </si>
  <si>
    <t>150</t>
  </si>
  <si>
    <t>МБДОУ д/с № 13</t>
  </si>
  <si>
    <t>18</t>
  </si>
  <si>
    <t>95</t>
  </si>
  <si>
    <t>113</t>
  </si>
  <si>
    <t>МБДОУ д/с № 14</t>
  </si>
  <si>
    <t>45</t>
  </si>
  <si>
    <t>190</t>
  </si>
  <si>
    <t>235</t>
  </si>
  <si>
    <t>МБДОУ д/с № 15</t>
  </si>
  <si>
    <t>31</t>
  </si>
  <si>
    <t>140</t>
  </si>
  <si>
    <t>МБДОУ д/с № 18</t>
  </si>
  <si>
    <t>28</t>
  </si>
  <si>
    <t>112</t>
  </si>
  <si>
    <t>МАДОУ д/с№ 17</t>
  </si>
  <si>
    <t>47</t>
  </si>
  <si>
    <t>198</t>
  </si>
  <si>
    <t>245</t>
  </si>
  <si>
    <r>
      <rPr>
        <b/>
        <sz val="11"/>
        <rFont val="Times New Roman"/>
        <family val="1"/>
        <charset val="204"/>
      </rPr>
      <t>Присмотр н уход</t>
    </r>
  </si>
  <si>
    <t>Реализация основных общеобразовательных программ дошкольного образования</t>
  </si>
  <si>
    <t>Административно-управленческий и учебно-вспомогательный персонал</t>
  </si>
  <si>
    <t>Группы общеразвивающей направленности, в которых воспитанники посещают бассейн</t>
  </si>
  <si>
    <t>в т.ч. Краевой бюджет пед.персонал</t>
  </si>
  <si>
    <t>в т.ч. Краевой бюджет адм-упр.и уч.-вспом.  персонал</t>
  </si>
  <si>
    <t>Наименование услуги</t>
  </si>
  <si>
    <t>27113,68</t>
  </si>
  <si>
    <t>в т.ч. Краевой бюджет адм-упр.и уч.-вспом. Персонал,руб.</t>
  </si>
  <si>
    <t>в т.ч. Местный бюджет, руб.</t>
  </si>
  <si>
    <t>в т.ч. Краевой бюджет пед.персонал, руб.</t>
  </si>
  <si>
    <t>Наименование услуги и уникальный номер реестровой записи</t>
  </si>
  <si>
    <t>Форма организации обучения детей</t>
  </si>
  <si>
    <t>Всего:</t>
  </si>
  <si>
    <t>краевой норматив на общеобразовательные программы</t>
  </si>
  <si>
    <t>краевой норматив на административно-управленч. и учебно-вспомогат.персонал</t>
  </si>
  <si>
    <t>норматив финансирования из местного бюджета</t>
  </si>
  <si>
    <t>Всего на 2016 год:</t>
  </si>
  <si>
    <t>в т.ч на  общеобразовательные программы</t>
  </si>
  <si>
    <t>на содержание административно-управленч. и учебно-вспомогат.персонал</t>
  </si>
  <si>
    <t>за счет финансирования из местного бюджета</t>
  </si>
  <si>
    <t>2017 год, всего</t>
  </si>
  <si>
    <t>2018 год, всего</t>
  </si>
  <si>
    <t>МБОУ Школа №2 им.Ю.А.Гагарина</t>
  </si>
  <si>
    <t>Реализация основных общеобразовательных программ начального общего образования</t>
  </si>
  <si>
    <t>Обучение детей  в образовательных организациях, реализующих программы общего образования (k = 1)</t>
  </si>
  <si>
    <t>человек</t>
  </si>
  <si>
    <t>Инклюзивное обучение детей c ограниченными возможностями здоровья в общеобразовательных классах образовательных организаций (k = 9)</t>
  </si>
  <si>
    <t>Х</t>
  </si>
  <si>
    <t>х</t>
  </si>
  <si>
    <t>Индивидуальное обучение детей при наличии соответствующего медицинского заключения и детей-инвалидов на дому (k = 10) город</t>
  </si>
  <si>
    <t>итого по услуге: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</si>
  <si>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</si>
  <si>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</si>
  <si>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общеразвивающих программ</t>
  </si>
  <si>
    <t>Реализация дополнительных общеобразовательных программ в физкультурно-спортивных клубах при образовательных организациях, реализующих основные общеобразовательные программы (город)</t>
  </si>
  <si>
    <t>. 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(город)</t>
  </si>
  <si>
    <t>Всего по учреждению:</t>
  </si>
  <si>
    <t>МБОУ СОШ №4</t>
  </si>
  <si>
    <t>МБОУ СОШ №5</t>
  </si>
  <si>
    <t>МБОУ СОШ № 9</t>
  </si>
  <si>
    <t>МАОУ гимназия №10</t>
  </si>
  <si>
    <t>Обучение детей, находящихся на длительном лечении в медицинских учреждениях (индивидуальное, групповое) (k = 11)</t>
  </si>
  <si>
    <t>Обучение детей  в образовательных организациях, реализующих программы общего образования (k = 1) с углубленным изучением предметов</t>
  </si>
  <si>
    <t>МБОУ СОШ № 7</t>
  </si>
  <si>
    <t xml:space="preserve">Обучение детей  в малокомплектных образовательных организациях, расположенных в городских населенных пунктах, и в классах с наполняемостью 20 и более человек, созданных в малокомплектных образовательных организациях, расположенных в сельских населенных </t>
  </si>
  <si>
    <t>класс/человек</t>
  </si>
  <si>
    <t>2\46</t>
  </si>
  <si>
    <t>2\49</t>
  </si>
  <si>
    <t>642642,05- на 1 класс+20730,64 на 1 человека</t>
  </si>
  <si>
    <t>642642,05- на 1 класс+ 952,08- на 1 человека</t>
  </si>
  <si>
    <t>3857,41- на 1 человека</t>
  </si>
  <si>
    <t>15921,15- на 1 человека</t>
  </si>
  <si>
    <t>Обучение детей в классах с наполняемостью менее 20 человек, созданных в малокомплектных образовательных организациях, расположенных в сельских населенных пунктах (за исключением детей с ограниченными возможностями здоровья, обучающихся в отдельных классах) (k = 5)</t>
  </si>
  <si>
    <t>4\61</t>
  </si>
  <si>
    <t>4\63</t>
  </si>
  <si>
    <t>604145,69 на 1 класс+ 20730,64 на 1 человека</t>
  </si>
  <si>
    <t>604145,69- на 1 класс+ 952,08 на 1 человека</t>
  </si>
  <si>
    <t>6\107</t>
  </si>
  <si>
    <t>6\109</t>
  </si>
  <si>
    <t>6\112</t>
  </si>
  <si>
    <t>3\66</t>
  </si>
  <si>
    <t>5\112</t>
  </si>
  <si>
    <t>955112,98- на 1 класс+ 20947,76 на 1 человека</t>
  </si>
  <si>
    <t>955112,98- на 1 класс+ 1169,2 на 1 человека</t>
  </si>
  <si>
    <t>3\47</t>
  </si>
  <si>
    <t>6\99</t>
  </si>
  <si>
    <t>756594,85 на 1 класс+ 20947,76 на 1 человека</t>
  </si>
  <si>
    <t>756594,85- на 1 класс+1169,2 на 1 человека</t>
  </si>
  <si>
    <t>. Индивидуальное обучение детей при наличии соответствующего медицинского заключения и детей-инвалидов на дому (k = 10) село</t>
  </si>
  <si>
    <t>6\113</t>
  </si>
  <si>
    <t>8\146</t>
  </si>
  <si>
    <t>9\174</t>
  </si>
  <si>
    <t>1\7</t>
  </si>
  <si>
    <t>2\17</t>
  </si>
  <si>
    <t>808407,62 на 1 класс+ 21146,23 на 1 человека</t>
  </si>
  <si>
    <t>808407,62 на 1 класс+1367,67 на 1 человека</t>
  </si>
  <si>
    <t>Форма организации обучения. Направленность групп</t>
  </si>
  <si>
    <t>к Приказу от 31.12.2015_№ 317</t>
  </si>
  <si>
    <t>2. Общеобразовательные учреждения</t>
  </si>
  <si>
    <t>1. Дошкольные образовательные учреждения</t>
  </si>
  <si>
    <t>3. Учреждения дополнительного образования детей (местный бюджет)</t>
  </si>
  <si>
    <t>МБОУ ДО "ДДТ"</t>
  </si>
  <si>
    <t xml:space="preserve">Реализация дополнительных общеразвивающих программ (учреждения дополнительного образования детей) </t>
  </si>
  <si>
    <t>Психолого-медико-педагогическое обследование детей</t>
  </si>
  <si>
    <t>МБОУ ДО "ДЭБС"</t>
  </si>
  <si>
    <t>Кочанова Марина Александровна (39144)3-09-14</t>
  </si>
  <si>
    <t>Группы комбинированной направленности (за исключением малокомплектных образовательных организаций), городской населенный пункт</t>
  </si>
  <si>
    <t>Инклюзивное обучение детей c ограниченными возможностями здоровья в общеобразовательных классах образовательных организаций (k = 9) в т.ч.:</t>
  </si>
  <si>
    <t>t=4</t>
  </si>
  <si>
    <t>t=6</t>
  </si>
  <si>
    <t>t=7</t>
  </si>
  <si>
    <t>t=8</t>
  </si>
  <si>
    <t>t=12</t>
  </si>
  <si>
    <t>t=5</t>
  </si>
  <si>
    <t>t=10</t>
  </si>
  <si>
    <t>t=2</t>
  </si>
  <si>
    <r>
      <t xml:space="preserve">Обучение детей  в образовательных организациях, реализующих программы общего образования </t>
    </r>
    <r>
      <rPr>
        <b/>
        <sz val="11"/>
        <color theme="1"/>
        <rFont val="Times New Roman"/>
        <family val="1"/>
        <charset val="204"/>
      </rPr>
      <t>математический класс</t>
    </r>
    <r>
      <rPr>
        <sz val="11"/>
        <color theme="1"/>
        <rFont val="Times New Roman"/>
        <family val="1"/>
        <charset val="204"/>
      </rPr>
      <t xml:space="preserve"> (k = 1)</t>
    </r>
  </si>
  <si>
    <t>Индивидуальное обучение детей при наличии соответствующего медицинского заключения и детей-инвалидов на дому (k = 10) село</t>
  </si>
  <si>
    <t>Обучение детей, находящихся на длительном лечении в медицинских учреждениях (индивидуальное, групповое) (k = 11) село</t>
  </si>
  <si>
    <t>Приложение № 3</t>
  </si>
  <si>
    <t>2019 год</t>
  </si>
  <si>
    <t>чел.-час.</t>
  </si>
  <si>
    <t>Чесалина Татьяна Викторовна (39144)3-16-33</t>
  </si>
  <si>
    <t>Разновозрастные группы общеразвивающей направленности (за исключением малокомплектных образовательных организаций)</t>
  </si>
  <si>
    <t>до 3 лет (b=3)</t>
  </si>
  <si>
    <t>от 3 до 7 лет (b=8)</t>
  </si>
  <si>
    <t>Группы комбинированной направленности, в которых воспитанники посещают бассейн</t>
  </si>
  <si>
    <t>2020 год</t>
  </si>
  <si>
    <t>2020 год, всего</t>
  </si>
  <si>
    <t>4001,99- на 1 человека</t>
  </si>
  <si>
    <t>Дополнительное образование детей в образовательных организациях, реализующих основные общеобразовательные программы (село)</t>
  </si>
  <si>
    <t>Дополнительное образование детей в образовательных организациях, реализующих основные общеобразовательные программы (город)</t>
  </si>
  <si>
    <t>3\34</t>
  </si>
  <si>
    <t>к Приказу от 27.12.2017 г. № 244</t>
  </si>
  <si>
    <t>t=9</t>
  </si>
  <si>
    <t>\</t>
  </si>
  <si>
    <t>3\67</t>
  </si>
  <si>
    <t>1\19</t>
  </si>
  <si>
    <t>628912,16- на 1 класс+ 1351,63 на 1 человека</t>
  </si>
  <si>
    <t>668575,57- на 1 класс+ 1351,63- на 1 человека</t>
  </si>
  <si>
    <t>787313,28- на 1 класс+1649,65 на 1 человека</t>
  </si>
  <si>
    <t>993246,10- на 1 класс+ 1649,65 на 1 человека</t>
  </si>
  <si>
    <t>4\86</t>
  </si>
  <si>
    <t>2\29</t>
  </si>
  <si>
    <t>841148,96 на 1 класс+1998,78 на 1 человека</t>
  </si>
  <si>
    <t>2\15</t>
  </si>
  <si>
    <t>6\116</t>
  </si>
  <si>
    <t>Приложение № 2</t>
  </si>
  <si>
    <t>к Приказу от 08.10.2018 г. №</t>
  </si>
  <si>
    <t>2021 год</t>
  </si>
  <si>
    <t>2019 год срзнач.</t>
  </si>
  <si>
    <t>Нормативные затраты на оказание муниципальных услуг (работ) на 2019-2021 гг.</t>
  </si>
  <si>
    <t>2019 год c 01.09.2019</t>
  </si>
  <si>
    <t>Всего на 2019 год:</t>
  </si>
  <si>
    <t>2021 год, всего</t>
  </si>
  <si>
    <t>2021год</t>
  </si>
  <si>
    <t xml:space="preserve">2019 год </t>
  </si>
  <si>
    <t>11625,23- на 1 человека</t>
  </si>
  <si>
    <t>668575,57- на 1 класс+16978,85 на 1 человека</t>
  </si>
  <si>
    <t>628912,16 на 1 класс+ 16978,85 на 1 человека</t>
  </si>
  <si>
    <t>993246,1- на 1 класс+ 17276,87 на 1 человека</t>
  </si>
  <si>
    <t>787313,28 на 1 класс+ 17276,87 на 1 человека</t>
  </si>
  <si>
    <t>841148,96 на 1 класс+ 17626,00 на 1 человека</t>
  </si>
  <si>
    <t>местный бюджет</t>
  </si>
  <si>
    <t>внебюджет</t>
  </si>
  <si>
    <t>в т.ч. ВНЕюджет, руб.</t>
  </si>
  <si>
    <t>МРОТ краевой</t>
  </si>
  <si>
    <t>МРОТ местный</t>
  </si>
  <si>
    <t>в т.ч. Краевой бюджет адм-упр.и уч.-вспом.  Персонал с коэффициентом</t>
  </si>
  <si>
    <t xml:space="preserve">Доплата до МРОТ </t>
  </si>
  <si>
    <t>краевой бюджет</t>
  </si>
  <si>
    <t>Доплата до МРОТ местный бюджет</t>
  </si>
  <si>
    <t>Доплата до МРОТ краевой бюджет</t>
  </si>
  <si>
    <t>Доплата до МРОТ</t>
  </si>
  <si>
    <t>ВСЕГО</t>
  </si>
  <si>
    <t>Итого по учреждению:</t>
  </si>
  <si>
    <t>ВСЕГО:</t>
  </si>
  <si>
    <t>ИТОГО</t>
  </si>
  <si>
    <t>Гайлит Светлана Геннадьевна (39144)3-79-43</t>
  </si>
  <si>
    <t xml:space="preserve"> договоров (штук)</t>
  </si>
  <si>
    <t>Услуга 1</t>
  </si>
  <si>
    <t>Работа 1</t>
  </si>
  <si>
    <t>Реализация основных общеобразовательных программ начального общего образования 801012О.99.0.БА81АЭ92001; 801012О.99.0.БА81АА00001; 801012О.99.0.БА81АЮ16001</t>
  </si>
  <si>
    <t>Реализация основных общеобразовательных программ основного общего образования 802111О.99.0.БАЮ58001; 802111О.99.0.БА96АА00001; 802111О.99.0.БА96АЮ83001</t>
  </si>
  <si>
    <t>Реализация основных общеобразовательных программ среднего общего образования 802112О.99.0.ББ11АЮ58001; 802112О.99.0.ББ11АА00001; 802112О.99.0.ББ11АЮ83001</t>
  </si>
  <si>
    <t xml:space="preserve">Реализация дополнительных общеобразовательных общеразвивающих программ 801012О.99.0.ББ57АЕ52000; 804200О.99.0.ББ52АЕ76000; 804200О.99.0.ББ52АЕ04000; 804200О.99.0.ББ52АЖ24000  </t>
  </si>
  <si>
    <t>Реализация дополнительных общеразвивающих программ (естественно-научное направление) 804200О.99.0.ББ52АЕ28000; 804200О.99.0.ББ52АЕ28000</t>
  </si>
  <si>
    <t>Реализация дополнительных общеразвивающих программ (социально-педагогическое направление) 804200О.99.0.ББ52АЖ24000</t>
  </si>
  <si>
    <t>Реализация дополнительных общеразвивающих программ (техническое направление) 804200О.99.0.ББ52АЕ04000</t>
  </si>
  <si>
    <t>Реализация дополнительных общеразвивающих программ (туристическо-краеведческое направление) 804200О.99.0.ББ52А368000</t>
  </si>
  <si>
    <t>Реализация дополнительных общеразвивающих программ (физкультурно-спортивная) 804200О.99.0.ББ52АЕ52000</t>
  </si>
  <si>
    <t>Реализация дополнительных общеразвивающих программ (художественное направление) 804200О.99.0.ББ52АЕ76000</t>
  </si>
  <si>
    <t>Обеспечение доступа к объектам спорта(бассейн) Р.03.1.0026.0001.001</t>
  </si>
  <si>
    <t>801011О.99.0.БВ24ДП02000; 801011О.99.0.БВ24ДН82000; 801011О.99.0.БВ24ГД82000; 801011О.99.0.БВ24АУ02000; 801011О.99.0.БВ24АВ42000;</t>
  </si>
  <si>
    <t>853211О.99.0.БВ19АА68000; 853211О.99.0.БВ19АА56000; 853211О.99.0.БВ19АБ82000; 853211О.99.0.БВ19АА20000</t>
  </si>
  <si>
    <t>Обеспечение доступа к объектам спорта (спортзал) Р.03.1.0026.0001.001</t>
  </si>
  <si>
    <t>ИТОГО по  услуге :</t>
  </si>
  <si>
    <t>ИТОГО по  работе :</t>
  </si>
  <si>
    <t>12601,86- на 1 человека</t>
  </si>
  <si>
    <t>в т.ч. ВНЕбюджет, руб.</t>
  </si>
  <si>
    <t>Заочное обучение детей в образовательных организациях, реализующие основные общеобразовательные программы (k =14)</t>
  </si>
  <si>
    <t>841148,96 на 1 класс+ 23463,21 на 1 человека</t>
  </si>
  <si>
    <t>Повышение оплаты труда до целевого показателя</t>
  </si>
  <si>
    <t>Дополнительное образование детей в образовательных организациях, реализующих основные общеобразовательные программы (дети, посещающие бассейн)</t>
  </si>
  <si>
    <t>Дополнительное образование детей в образовательных организациях, реализующих основные общеобразовательные программы (город) в т.ч.:</t>
  </si>
  <si>
    <t>Учреждение</t>
  </si>
  <si>
    <t>Численность</t>
  </si>
  <si>
    <t xml:space="preserve"> Норматив</t>
  </si>
  <si>
    <t>Сумма местный бюджет</t>
  </si>
  <si>
    <t>Норматив по эффективному учреждению СОШ 5</t>
  </si>
  <si>
    <t>Отклонение (- уменьшение; +увеличение)</t>
  </si>
  <si>
    <t>шк 2</t>
  </si>
  <si>
    <t>шк 4</t>
  </si>
  <si>
    <t>шк 5</t>
  </si>
  <si>
    <t>шк 7</t>
  </si>
  <si>
    <t>шк 9</t>
  </si>
  <si>
    <t>гим 10</t>
  </si>
  <si>
    <t>снять с сш 4</t>
  </si>
  <si>
    <t>доступно для снятия -137809</t>
  </si>
  <si>
    <t>АУП 4,3%</t>
  </si>
  <si>
    <t>11423,78835- на 1 человека</t>
  </si>
  <si>
    <t>668575,57- на 1 класс+22820,48 на 1 человека</t>
  </si>
  <si>
    <t>628912,16- на 1 класс+22820,48 на 1 человека</t>
  </si>
  <si>
    <t>молодой специалист</t>
  </si>
  <si>
    <t>Повышение на4,3%</t>
  </si>
  <si>
    <t>Молод спец-ты</t>
  </si>
  <si>
    <t>Нормативные затраты на оказание муниципальных услуг (работ) на 2020-2022 гг.</t>
  </si>
  <si>
    <t>2022 год</t>
  </si>
  <si>
    <t xml:space="preserve">2020 год </t>
  </si>
  <si>
    <t>Всего на 2020 год:</t>
  </si>
  <si>
    <t>2022 год, всего</t>
  </si>
  <si>
    <t>2020 год c 01.09.2020</t>
  </si>
  <si>
    <t>от 3 до 7 лет(b8)</t>
  </si>
  <si>
    <t>разновозрастные группы общеразвивающей направленности (за исключением малокомплектных образовательных организаций) (b13)</t>
  </si>
  <si>
    <t>от 3 до 7 лет (b8)</t>
  </si>
  <si>
    <t>разновозрастные группы (b13)</t>
  </si>
  <si>
    <t>до 3 лет (b3)</t>
  </si>
  <si>
    <t xml:space="preserve">К5 Группы общеразвивающей направленности, созданные в малокомплектных образовательных организациях </t>
  </si>
  <si>
    <t>К3 Группы комбинированной направленности (за исключением малокомплектных образовательных организаций), городской населенный пункт</t>
  </si>
  <si>
    <t>К1 Группы общеразвивающей направленности (за исключением малокомплектных образовательных организаций)</t>
  </si>
  <si>
    <t>К2 Группы компенсирующей направленности (за исключением малокомплектных образовательных организаций)</t>
  </si>
  <si>
    <t>К3 Группы комбинированной направленности (за исключением малокомплектных образовательных организаций)</t>
  </si>
  <si>
    <t>от 3 до 7 лет (b8) городской населенный пункт</t>
  </si>
  <si>
    <t>K1 Группы общеразвивающей направленности (за исключением малокомплектных образовательных организаций)</t>
  </si>
  <si>
    <t>K2 Группы компенсирующей направленности (за исключением малокомплектных образовательных организаций)</t>
  </si>
  <si>
    <t>K3 Группы комбинированной направленности (за исключением малокомплектных образовательных организаций), городской населенный пункт</t>
  </si>
  <si>
    <t>до 3 лет  (b3)</t>
  </si>
  <si>
    <t>K3 Разновозрастные группы общеразвивающей направленности (за исключением малокомплектных образовательных организаций)</t>
  </si>
  <si>
    <t>K2 Группы компенсирующей направленности для воспитанников с ограниченными возможностями здоровья (за исключением малокомплектных образовательных организаций)</t>
  </si>
  <si>
    <t>К11 Группы комбинированной направленности, в которых воспитанники посещают бассейн</t>
  </si>
  <si>
    <t>с 3 до 7 лет (b8)</t>
  </si>
  <si>
    <t>К9 Группы общеразвивающей направленности, в которых воспитанники посещают бассейн</t>
  </si>
  <si>
    <t>К=11 Группы комбинированной направленности, в которых воспитанники посещают бассейн</t>
  </si>
  <si>
    <t>К=3 Группы комбинированной направленности (за исключением малокомплектных образовательных организаций)</t>
  </si>
  <si>
    <t>Медведева Кира Георгиевна (39144)3-79-43</t>
  </si>
  <si>
    <t>Доплата до МРОТ(разница)</t>
  </si>
  <si>
    <t>На увелич.оплаты труда отдел.катег.раб.</t>
  </si>
  <si>
    <t>668575,57- на 1 класс+ 1329,32- на 1 человека</t>
  </si>
  <si>
    <t>4001,99*2,411294- на 1 человека</t>
  </si>
  <si>
    <t>628912,16- на 1 класс+ 1329,32 на 1 человека</t>
  </si>
  <si>
    <t>1\17</t>
  </si>
  <si>
    <t>4\85</t>
  </si>
  <si>
    <t>3\72</t>
  </si>
  <si>
    <t>3\44</t>
  </si>
  <si>
    <t>787313,28- на 1 класс+1622,42 на 1 человека</t>
  </si>
  <si>
    <t>877875,1- на 1 класс+ 23116,,46 на 1 человека</t>
  </si>
  <si>
    <t>877875,1- на 1 класс+ 1622,42 на 1 человека</t>
  </si>
  <si>
    <t>787313,28- на 1 класс+ 23116,,46 на 1 человека</t>
  </si>
  <si>
    <t>4001,99*2,411294 на 1 человека</t>
  </si>
  <si>
    <t>841148,96 на 1 класс+1965,79 на 1 человека</t>
  </si>
  <si>
    <t>Приложение № 1</t>
  </si>
  <si>
    <t>Доплата до МРОТ разница</t>
  </si>
  <si>
    <t>2022год</t>
  </si>
  <si>
    <t>Краевая доплата пед.работ.</t>
  </si>
  <si>
    <t>11462,74- на 1 человека</t>
  </si>
  <si>
    <t>ДДТ</t>
  </si>
  <si>
    <t>к Приказу от 09.01.2020 г. № 1</t>
  </si>
  <si>
    <t>к Приказу от 09.01.2020 г. №  1</t>
  </si>
  <si>
    <t>t1/речь</t>
  </si>
  <si>
    <t>t1/зрение</t>
  </si>
  <si>
    <t>к Приказу от 04.03.2020 г. №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</si>
</sst>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00000"/>
    <numFmt numFmtId="166" formatCode="#,##0.000000000"/>
  </numFmts>
  <fonts count="23" x14ac:knownFonts="1">
    <font>
      <sz val="10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8"/>
      <name val="Times New Roman"/>
      <family val="1"/>
      <charset val="204"/>
    </font>
    <font>
      <sz val="11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4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2" borderId="0" applyNumberFormat="0" applyBorder="0" applyAlignment="0" applyProtection="0"/>
    <xf numFmtId="0" fontId="6" fillId="0" borderId="3"/>
  </cellStyleXfs>
  <cellXfs count="353">
    <xf numFmtId="0" fontId="0" fillId="0" borderId="0" xfId="0"/>
    <xf numFmtId="0" fontId="0" fillId="0" borderId="1" xfId="0" applyBorder="1" applyAlignment="1">
      <alignment vertical="top"/>
    </xf>
    <xf numFmtId="0" fontId="1" fillId="0" borderId="0" xfId="0" applyFont="1"/>
    <xf numFmtId="0" fontId="1" fillId="0" borderId="3" xfId="0" applyFont="1" applyBorder="1" applyAlignment="1">
      <alignment vertical="top"/>
    </xf>
    <xf numFmtId="4" fontId="0" fillId="0" borderId="0" xfId="0" applyNumberFormat="1"/>
    <xf numFmtId="0" fontId="12" fillId="0" borderId="0" xfId="0" applyFont="1"/>
    <xf numFmtId="0" fontId="13" fillId="0" borderId="3" xfId="0" applyFont="1" applyBorder="1" applyAlignment="1">
      <alignment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4" fillId="3" borderId="4" xfId="0" applyFont="1" applyFill="1" applyBorder="1" applyAlignment="1">
      <alignment vertical="center" wrapText="1" readingOrder="1"/>
    </xf>
    <xf numFmtId="0" fontId="7" fillId="3" borderId="4" xfId="0" applyFont="1" applyFill="1" applyBorder="1" applyAlignment="1">
      <alignment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right" vertical="center" wrapText="1" readingOrder="1"/>
    </xf>
    <xf numFmtId="4" fontId="8" fillId="3" borderId="4" xfId="0" applyNumberFormat="1" applyFont="1" applyFill="1" applyBorder="1" applyAlignment="1">
      <alignment horizontal="center" vertical="center" wrapText="1" readingOrder="1"/>
    </xf>
    <xf numFmtId="4" fontId="4" fillId="3" borderId="4" xfId="0" applyNumberFormat="1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left" vertical="center"/>
    </xf>
    <xf numFmtId="2" fontId="9" fillId="3" borderId="4" xfId="0" applyNumberFormat="1" applyFont="1" applyFill="1" applyBorder="1" applyAlignment="1">
      <alignment horizontal="right" vertical="center" wrapText="1" readingOrder="1"/>
    </xf>
    <xf numFmtId="2" fontId="0" fillId="3" borderId="4" xfId="0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left" vertical="center" wrapText="1" readingOrder="1"/>
    </xf>
    <xf numFmtId="0" fontId="4" fillId="3" borderId="4" xfId="0" applyFont="1" applyFill="1" applyBorder="1" applyAlignment="1">
      <alignment horizontal="right" vertical="center" wrapText="1"/>
    </xf>
    <xf numFmtId="4" fontId="4" fillId="3" borderId="4" xfId="0" applyNumberFormat="1" applyFont="1" applyFill="1" applyBorder="1" applyAlignment="1">
      <alignment horizontal="right" vertical="center" wrapText="1"/>
    </xf>
    <xf numFmtId="0" fontId="7" fillId="3" borderId="4" xfId="0" applyFont="1" applyFill="1" applyBorder="1"/>
    <xf numFmtId="0" fontId="7" fillId="3" borderId="4" xfId="0" applyFont="1" applyFill="1" applyBorder="1" applyAlignment="1">
      <alignment horizontal="right"/>
    </xf>
    <xf numFmtId="0" fontId="11" fillId="3" borderId="4" xfId="0" applyFont="1" applyFill="1" applyBorder="1" applyAlignment="1">
      <alignment horizontal="right"/>
    </xf>
    <xf numFmtId="2" fontId="11" fillId="3" borderId="4" xfId="0" applyNumberFormat="1" applyFont="1" applyFill="1" applyBorder="1"/>
    <xf numFmtId="0" fontId="11" fillId="3" borderId="4" xfId="0" applyFont="1" applyFill="1" applyBorder="1"/>
    <xf numFmtId="0" fontId="11" fillId="3" borderId="4" xfId="0" applyFont="1" applyFill="1" applyBorder="1" applyAlignment="1"/>
    <xf numFmtId="4" fontId="11" fillId="3" borderId="4" xfId="0" applyNumberFormat="1" applyFont="1" applyFill="1" applyBorder="1"/>
    <xf numFmtId="17" fontId="4" fillId="3" borderId="4" xfId="0" applyNumberFormat="1" applyFont="1" applyFill="1" applyBorder="1" applyAlignment="1">
      <alignment horizontal="right" vertical="center" wrapText="1" readingOrder="1"/>
    </xf>
    <xf numFmtId="2" fontId="8" fillId="3" borderId="4" xfId="0" applyNumberFormat="1" applyFont="1" applyFill="1" applyBorder="1" applyAlignment="1">
      <alignment horizontal="center" vertical="center" wrapText="1" readingOrder="1"/>
    </xf>
    <xf numFmtId="4" fontId="0" fillId="3" borderId="4" xfId="0" applyNumberFormat="1" applyFont="1" applyFill="1" applyBorder="1" applyAlignment="1">
      <alignment horizontal="right" vertical="center"/>
    </xf>
    <xf numFmtId="17" fontId="4" fillId="3" borderId="4" xfId="0" applyNumberFormat="1" applyFont="1" applyFill="1" applyBorder="1" applyAlignment="1">
      <alignment horizontal="right" vertical="center" wrapText="1"/>
    </xf>
    <xf numFmtId="0" fontId="0" fillId="3" borderId="4" xfId="0" applyFill="1" applyBorder="1" applyAlignment="1">
      <alignment horizontal="right" vertical="center"/>
    </xf>
    <xf numFmtId="2" fontId="7" fillId="3" borderId="4" xfId="0" applyNumberFormat="1" applyFont="1" applyFill="1" applyBorder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top"/>
    </xf>
    <xf numFmtId="4" fontId="1" fillId="3" borderId="4" xfId="0" applyNumberFormat="1" applyFont="1" applyFill="1" applyBorder="1" applyAlignment="1">
      <alignment horizontal="right"/>
    </xf>
    <xf numFmtId="0" fontId="2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vertical="top" indent="2"/>
    </xf>
    <xf numFmtId="0" fontId="7" fillId="3" borderId="4" xfId="2" applyFont="1" applyFill="1" applyBorder="1" applyAlignment="1">
      <alignment horizontal="center" vertical="top" wrapText="1"/>
    </xf>
    <xf numFmtId="0" fontId="14" fillId="0" borderId="0" xfId="0" applyFont="1"/>
    <xf numFmtId="0" fontId="15" fillId="0" borderId="0" xfId="0" applyFont="1"/>
    <xf numFmtId="4" fontId="1" fillId="3" borderId="4" xfId="0" applyNumberFormat="1" applyFont="1" applyFill="1" applyBorder="1" applyAlignment="1">
      <alignment horizontal="left" vertical="top"/>
    </xf>
    <xf numFmtId="0" fontId="1" fillId="3" borderId="4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/>
    <xf numFmtId="3" fontId="4" fillId="0" borderId="4" xfId="0" applyNumberFormat="1" applyFont="1" applyFill="1" applyBorder="1" applyAlignment="1">
      <alignment horizontal="right" wrapText="1"/>
    </xf>
    <xf numFmtId="3" fontId="7" fillId="0" borderId="4" xfId="0" applyNumberFormat="1" applyFont="1" applyFill="1" applyBorder="1" applyAlignment="1"/>
    <xf numFmtId="0" fontId="7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3" fontId="9" fillId="0" borderId="4" xfId="0" applyNumberFormat="1" applyFont="1" applyFill="1" applyBorder="1" applyAlignment="1">
      <alignment horizontal="right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 wrapText="1" readingOrder="1"/>
    </xf>
    <xf numFmtId="3" fontId="1" fillId="0" borderId="4" xfId="0" applyNumberFormat="1" applyFont="1" applyFill="1" applyBorder="1" applyAlignment="1">
      <alignment horizontal="left"/>
    </xf>
    <xf numFmtId="0" fontId="11" fillId="0" borderId="4" xfId="0" applyFont="1" applyFill="1" applyBorder="1"/>
    <xf numFmtId="4" fontId="8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right" wrapText="1"/>
    </xf>
    <xf numFmtId="4" fontId="1" fillId="0" borderId="4" xfId="0" applyNumberFormat="1" applyFont="1" applyFill="1" applyBorder="1" applyAlignment="1">
      <alignment horizontal="left"/>
    </xf>
    <xf numFmtId="4" fontId="7" fillId="0" borderId="4" xfId="0" applyNumberFormat="1" applyFont="1" applyFill="1" applyBorder="1" applyAlignment="1">
      <alignment horizontal="right"/>
    </xf>
    <xf numFmtId="4" fontId="7" fillId="0" borderId="4" xfId="0" applyNumberFormat="1" applyFont="1" applyFill="1" applyBorder="1" applyAlignment="1"/>
    <xf numFmtId="4" fontId="1" fillId="0" borderId="4" xfId="0" applyNumberFormat="1" applyFont="1" applyFill="1" applyBorder="1" applyAlignment="1">
      <alignment horizontal="right"/>
    </xf>
    <xf numFmtId="0" fontId="7" fillId="0" borderId="4" xfId="0" applyFont="1" applyFill="1" applyBorder="1" applyAlignment="1">
      <alignment vertical="top" wrapText="1"/>
    </xf>
    <xf numFmtId="3" fontId="7" fillId="0" borderId="4" xfId="0" applyNumberFormat="1" applyFont="1" applyFill="1" applyBorder="1" applyAlignment="1">
      <alignment horizontal="right"/>
    </xf>
    <xf numFmtId="4" fontId="2" fillId="0" borderId="4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1" fillId="0" borderId="0" xfId="0" applyFont="1" applyFill="1"/>
    <xf numFmtId="0" fontId="2" fillId="0" borderId="3" xfId="0" applyFont="1" applyFill="1" applyBorder="1" applyAlignment="1">
      <alignment vertical="top"/>
    </xf>
    <xf numFmtId="0" fontId="1" fillId="0" borderId="4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4" fontId="1" fillId="0" borderId="0" xfId="0" applyNumberFormat="1" applyFont="1" applyFill="1"/>
    <xf numFmtId="0" fontId="1" fillId="0" borderId="4" xfId="0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left" vertical="top"/>
    </xf>
    <xf numFmtId="3" fontId="2" fillId="0" borderId="4" xfId="0" applyNumberFormat="1" applyFont="1" applyFill="1" applyBorder="1" applyAlignment="1">
      <alignment horizontal="left"/>
    </xf>
    <xf numFmtId="0" fontId="1" fillId="0" borderId="4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vertical="top" indent="2"/>
    </xf>
    <xf numFmtId="0" fontId="1" fillId="0" borderId="4" xfId="0" applyFont="1" applyFill="1" applyBorder="1" applyAlignment="1">
      <alignment horizontal="left" vertical="top" indent="2"/>
    </xf>
    <xf numFmtId="0" fontId="2" fillId="0" borderId="0" xfId="0" applyFont="1" applyFill="1"/>
    <xf numFmtId="0" fontId="1" fillId="0" borderId="4" xfId="0" applyFont="1" applyFill="1" applyBorder="1" applyAlignment="1">
      <alignment horizontal="left"/>
    </xf>
    <xf numFmtId="0" fontId="4" fillId="0" borderId="4" xfId="0" applyFont="1" applyFill="1" applyBorder="1" applyAlignment="1">
      <alignment vertical="center" wrapText="1" readingOrder="1"/>
    </xf>
    <xf numFmtId="3" fontId="4" fillId="0" borderId="4" xfId="0" applyNumberFormat="1" applyFont="1" applyFill="1" applyBorder="1" applyAlignment="1">
      <alignment wrapText="1"/>
    </xf>
    <xf numFmtId="4" fontId="1" fillId="0" borderId="4" xfId="0" applyNumberFormat="1" applyFont="1" applyFill="1" applyBorder="1" applyAlignment="1">
      <alignment horizontal="center"/>
    </xf>
    <xf numFmtId="0" fontId="11" fillId="0" borderId="4" xfId="0" applyFont="1" applyFill="1" applyBorder="1" applyAlignment="1"/>
    <xf numFmtId="3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left" wrapText="1"/>
    </xf>
    <xf numFmtId="0" fontId="1" fillId="0" borderId="5" xfId="0" applyFont="1" applyFill="1" applyBorder="1" applyAlignment="1"/>
    <xf numFmtId="4" fontId="8" fillId="0" borderId="4" xfId="0" applyNumberFormat="1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top"/>
    </xf>
    <xf numFmtId="4" fontId="9" fillId="0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right" wrapText="1"/>
    </xf>
    <xf numFmtId="3" fontId="7" fillId="3" borderId="4" xfId="0" applyNumberFormat="1" applyFont="1" applyFill="1" applyBorder="1" applyAlignment="1"/>
    <xf numFmtId="3" fontId="4" fillId="3" borderId="4" xfId="0" applyNumberFormat="1" applyFont="1" applyFill="1" applyBorder="1" applyAlignment="1">
      <alignment horizontal="right" wrapText="1"/>
    </xf>
    <xf numFmtId="165" fontId="1" fillId="0" borderId="0" xfId="0" applyNumberFormat="1" applyFont="1" applyFill="1"/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indent="2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4" fontId="2" fillId="0" borderId="4" xfId="0" applyNumberFormat="1" applyFont="1" applyFill="1" applyBorder="1" applyAlignment="1"/>
    <xf numFmtId="0" fontId="1" fillId="0" borderId="4" xfId="1" applyFont="1" applyFill="1" applyBorder="1" applyAlignment="1">
      <alignment horizontal="center" vertical="top" wrapText="1"/>
    </xf>
    <xf numFmtId="4" fontId="11" fillId="3" borderId="4" xfId="0" applyNumberFormat="1" applyFont="1" applyFill="1" applyBorder="1" applyAlignment="1"/>
    <xf numFmtId="0" fontId="1" fillId="0" borderId="4" xfId="0" applyFont="1" applyFill="1" applyBorder="1" applyAlignment="1">
      <alignment horizontal="left" vertical="center" wrapText="1"/>
    </xf>
    <xf numFmtId="4" fontId="4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7" fillId="0" borderId="4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4" fontId="4" fillId="4" borderId="4" xfId="0" applyNumberFormat="1" applyFont="1" applyFill="1" applyBorder="1" applyAlignment="1">
      <alignment horizontal="right" wrapText="1"/>
    </xf>
    <xf numFmtId="4" fontId="8" fillId="4" borderId="4" xfId="0" applyNumberFormat="1" applyFont="1" applyFill="1" applyBorder="1" applyAlignment="1">
      <alignment horizontal="right" wrapText="1"/>
    </xf>
    <xf numFmtId="4" fontId="1" fillId="4" borderId="4" xfId="0" applyNumberFormat="1" applyFont="1" applyFill="1" applyBorder="1" applyAlignment="1">
      <alignment horizontal="right"/>
    </xf>
    <xf numFmtId="4" fontId="7" fillId="4" borderId="4" xfId="0" applyNumberFormat="1" applyFont="1" applyFill="1" applyBorder="1" applyAlignment="1">
      <alignment horizontal="right"/>
    </xf>
    <xf numFmtId="4" fontId="16" fillId="0" borderId="4" xfId="0" applyNumberFormat="1" applyFont="1" applyFill="1" applyBorder="1" applyAlignment="1">
      <alignment horizontal="left"/>
    </xf>
    <xf numFmtId="4" fontId="8" fillId="5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wrapText="1"/>
    </xf>
    <xf numFmtId="4" fontId="1" fillId="5" borderId="4" xfId="0" applyNumberFormat="1" applyFont="1" applyFill="1" applyBorder="1" applyAlignment="1">
      <alignment horizontal="right"/>
    </xf>
    <xf numFmtId="164" fontId="4" fillId="0" borderId="4" xfId="0" applyNumberFormat="1" applyFont="1" applyFill="1" applyBorder="1" applyAlignment="1">
      <alignment horizontal="right" wrapText="1"/>
    </xf>
    <xf numFmtId="3" fontId="4" fillId="0" borderId="4" xfId="0" applyNumberFormat="1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vertical="center" wrapText="1"/>
    </xf>
    <xf numFmtId="4" fontId="2" fillId="5" borderId="4" xfId="0" applyNumberFormat="1" applyFont="1" applyFill="1" applyBorder="1" applyAlignment="1">
      <alignment horizontal="right"/>
    </xf>
    <xf numFmtId="4" fontId="1" fillId="6" borderId="4" xfId="0" applyNumberFormat="1" applyFont="1" applyFill="1" applyBorder="1" applyAlignment="1">
      <alignment horizontal="right"/>
    </xf>
    <xf numFmtId="4" fontId="8" fillId="5" borderId="4" xfId="0" applyNumberFormat="1" applyFont="1" applyFill="1" applyBorder="1" applyAlignment="1">
      <alignment horizontal="center" wrapText="1"/>
    </xf>
    <xf numFmtId="4" fontId="1" fillId="5" borderId="4" xfId="0" applyNumberFormat="1" applyFont="1" applyFill="1" applyBorder="1" applyAlignment="1">
      <alignment horizontal="left"/>
    </xf>
    <xf numFmtId="0" fontId="1" fillId="5" borderId="4" xfId="1" applyFont="1" applyFill="1" applyBorder="1" applyAlignment="1">
      <alignment horizontal="center" vertical="top" wrapText="1"/>
    </xf>
    <xf numFmtId="0" fontId="7" fillId="5" borderId="4" xfId="0" applyFont="1" applyFill="1" applyBorder="1" applyAlignment="1">
      <alignment wrapText="1"/>
    </xf>
    <xf numFmtId="0" fontId="4" fillId="5" borderId="4" xfId="0" applyFont="1" applyFill="1" applyBorder="1" applyAlignment="1">
      <alignment horizontal="left" vertical="center" wrapText="1"/>
    </xf>
    <xf numFmtId="3" fontId="7" fillId="5" borderId="4" xfId="0" applyNumberFormat="1" applyFont="1" applyFill="1" applyBorder="1" applyAlignment="1"/>
    <xf numFmtId="3" fontId="4" fillId="5" borderId="4" xfId="0" applyNumberFormat="1" applyFont="1" applyFill="1" applyBorder="1" applyAlignment="1">
      <alignment horizontal="right" wrapText="1"/>
    </xf>
    <xf numFmtId="4" fontId="1" fillId="7" borderId="4" xfId="0" applyNumberFormat="1" applyFont="1" applyFill="1" applyBorder="1" applyAlignment="1">
      <alignment horizontal="right"/>
    </xf>
    <xf numFmtId="4" fontId="7" fillId="5" borderId="4" xfId="0" applyNumberFormat="1" applyFont="1" applyFill="1" applyBorder="1" applyAlignment="1">
      <alignment horizontal="right"/>
    </xf>
    <xf numFmtId="0" fontId="1" fillId="5" borderId="4" xfId="0" applyFont="1" applyFill="1" applyBorder="1" applyAlignment="1">
      <alignment horizontal="right"/>
    </xf>
    <xf numFmtId="0" fontId="1" fillId="7" borderId="4" xfId="0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4" fontId="2" fillId="6" borderId="4" xfId="0" applyNumberFormat="1" applyFont="1" applyFill="1" applyBorder="1" applyAlignment="1">
      <alignment horizontal="right"/>
    </xf>
    <xf numFmtId="0" fontId="1" fillId="0" borderId="4" xfId="0" applyFont="1" applyFill="1" applyBorder="1"/>
    <xf numFmtId="0" fontId="1" fillId="0" borderId="4" xfId="0" applyFont="1" applyFill="1" applyBorder="1" applyAlignment="1">
      <alignment horizontal="right"/>
    </xf>
    <xf numFmtId="0" fontId="2" fillId="0" borderId="4" xfId="0" applyFont="1" applyFill="1" applyBorder="1"/>
    <xf numFmtId="4" fontId="2" fillId="0" borderId="4" xfId="0" applyNumberFormat="1" applyFont="1" applyFill="1" applyBorder="1"/>
    <xf numFmtId="0" fontId="2" fillId="0" borderId="4" xfId="0" applyFont="1" applyFill="1" applyBorder="1" applyAlignment="1">
      <alignment horizontal="left" vertical="center"/>
    </xf>
    <xf numFmtId="3" fontId="4" fillId="0" borderId="4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/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3" fontId="4" fillId="0" borderId="4" xfId="0" applyNumberFormat="1" applyFont="1" applyFill="1" applyBorder="1" applyAlignment="1">
      <alignment horizontal="center" wrapText="1"/>
    </xf>
    <xf numFmtId="0" fontId="7" fillId="0" borderId="4" xfId="2" applyFont="1" applyFill="1" applyBorder="1" applyAlignment="1">
      <alignment horizontal="center" vertical="top" wrapText="1"/>
    </xf>
    <xf numFmtId="2" fontId="1" fillId="0" borderId="4" xfId="0" applyNumberFormat="1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center"/>
    </xf>
    <xf numFmtId="4" fontId="2" fillId="0" borderId="0" xfId="0" applyNumberFormat="1" applyFont="1" applyFill="1"/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3" fontId="1" fillId="0" borderId="0" xfId="0" applyNumberFormat="1" applyFont="1" applyFill="1"/>
    <xf numFmtId="4" fontId="7" fillId="3" borderId="4" xfId="0" applyNumberFormat="1" applyFont="1" applyFill="1" applyBorder="1" applyAlignment="1">
      <alignment horizontal="right"/>
    </xf>
    <xf numFmtId="4" fontId="8" fillId="3" borderId="4" xfId="0" applyNumberFormat="1" applyFont="1" applyFill="1" applyBorder="1" applyAlignment="1">
      <alignment horizontal="center" wrapText="1"/>
    </xf>
    <xf numFmtId="4" fontId="4" fillId="3" borderId="4" xfId="0" applyNumberFormat="1" applyFont="1" applyFill="1" applyBorder="1" applyAlignment="1">
      <alignment horizontal="right" wrapText="1"/>
    </xf>
    <xf numFmtId="0" fontId="1" fillId="3" borderId="0" xfId="0" applyFont="1" applyFill="1"/>
    <xf numFmtId="4" fontId="4" fillId="3" borderId="4" xfId="0" applyNumberFormat="1" applyFont="1" applyFill="1" applyBorder="1" applyAlignment="1">
      <alignment horizontal="center" wrapText="1"/>
    </xf>
    <xf numFmtId="4" fontId="1" fillId="3" borderId="4" xfId="0" applyNumberFormat="1" applyFont="1" applyFill="1" applyBorder="1" applyAlignment="1">
      <alignment horizontal="left"/>
    </xf>
    <xf numFmtId="4" fontId="7" fillId="3" borderId="4" xfId="0" applyNumberFormat="1" applyFont="1" applyFill="1" applyBorder="1" applyAlignment="1"/>
    <xf numFmtId="4" fontId="16" fillId="3" borderId="4" xfId="0" applyNumberFormat="1" applyFont="1" applyFill="1" applyBorder="1" applyAlignment="1">
      <alignment horizontal="left"/>
    </xf>
    <xf numFmtId="0" fontId="1" fillId="3" borderId="3" xfId="0" applyFont="1" applyFill="1" applyBorder="1" applyAlignment="1">
      <alignment vertical="top"/>
    </xf>
    <xf numFmtId="4" fontId="9" fillId="3" borderId="4" xfId="0" applyNumberFormat="1" applyFont="1" applyFill="1" applyBorder="1" applyAlignment="1">
      <alignment horizontal="right" wrapText="1"/>
    </xf>
    <xf numFmtId="4" fontId="1" fillId="3" borderId="0" xfId="0" applyNumberFormat="1" applyFont="1" applyFill="1"/>
    <xf numFmtId="4" fontId="7" fillId="5" borderId="4" xfId="0" applyNumberFormat="1" applyFont="1" applyFill="1" applyBorder="1" applyAlignment="1"/>
    <xf numFmtId="0" fontId="1" fillId="0" borderId="4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center"/>
    </xf>
    <xf numFmtId="0" fontId="20" fillId="0" borderId="4" xfId="0" applyFont="1" applyBorder="1" applyAlignment="1">
      <alignment horizontal="center" wrapText="1"/>
    </xf>
    <xf numFmtId="2" fontId="20" fillId="0" borderId="4" xfId="0" applyNumberFormat="1" applyFont="1" applyBorder="1" applyAlignment="1">
      <alignment horizontal="center" wrapText="1"/>
    </xf>
    <xf numFmtId="0" fontId="0" fillId="0" borderId="3" xfId="0" applyBorder="1"/>
    <xf numFmtId="4" fontId="20" fillId="0" borderId="4" xfId="0" applyNumberFormat="1" applyFont="1" applyBorder="1" applyAlignment="1">
      <alignment horizontal="center"/>
    </xf>
    <xf numFmtId="4" fontId="20" fillId="0" borderId="4" xfId="0" applyNumberFormat="1" applyFont="1" applyBorder="1" applyAlignment="1">
      <alignment horizontal="center" wrapText="1"/>
    </xf>
    <xf numFmtId="4" fontId="20" fillId="0" borderId="4" xfId="0" applyNumberFormat="1" applyFont="1" applyFill="1" applyBorder="1" applyAlignment="1">
      <alignment horizontal="center" wrapText="1"/>
    </xf>
    <xf numFmtId="4" fontId="0" fillId="0" borderId="3" xfId="0" applyNumberFormat="1" applyBorder="1"/>
    <xf numFmtId="0" fontId="20" fillId="0" borderId="4" xfId="0" applyFont="1" applyBorder="1"/>
    <xf numFmtId="0" fontId="20" fillId="0" borderId="3" xfId="0" applyFont="1" applyBorder="1"/>
    <xf numFmtId="4" fontId="20" fillId="0" borderId="3" xfId="0" applyNumberFormat="1" applyFont="1" applyBorder="1"/>
    <xf numFmtId="4" fontId="20" fillId="0" borderId="3" xfId="0" applyNumberFormat="1" applyFont="1" applyBorder="1" applyAlignment="1">
      <alignment wrapText="1"/>
    </xf>
    <xf numFmtId="0" fontId="1" fillId="0" borderId="4" xfId="0" applyFont="1" applyFill="1" applyBorder="1" applyAlignment="1">
      <alignment horizontal="center" vertical="center"/>
    </xf>
    <xf numFmtId="4" fontId="1" fillId="0" borderId="4" xfId="0" applyNumberFormat="1" applyFont="1" applyFill="1" applyBorder="1"/>
    <xf numFmtId="0" fontId="1" fillId="5" borderId="0" xfId="0" applyFont="1" applyFill="1"/>
    <xf numFmtId="4" fontId="1" fillId="3" borderId="3" xfId="0" applyNumberFormat="1" applyFont="1" applyFill="1" applyBorder="1"/>
    <xf numFmtId="0" fontId="2" fillId="3" borderId="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left" vertical="center"/>
    </xf>
    <xf numFmtId="3" fontId="1" fillId="3" borderId="4" xfId="0" applyNumberFormat="1" applyFont="1" applyFill="1" applyBorder="1" applyAlignment="1">
      <alignment horizontal="center"/>
    </xf>
    <xf numFmtId="3" fontId="4" fillId="0" borderId="4" xfId="0" applyNumberFormat="1" applyFont="1" applyFill="1" applyBorder="1" applyAlignment="1">
      <alignment horizontal="center" wrapText="1"/>
    </xf>
    <xf numFmtId="4" fontId="2" fillId="3" borderId="4" xfId="0" applyNumberFormat="1" applyFont="1" applyFill="1" applyBorder="1" applyAlignment="1">
      <alignment horizontal="right"/>
    </xf>
    <xf numFmtId="4" fontId="2" fillId="3" borderId="4" xfId="0" applyNumberFormat="1" applyFont="1" applyFill="1" applyBorder="1"/>
    <xf numFmtId="0" fontId="1" fillId="3" borderId="3" xfId="0" applyFont="1" applyFill="1" applyBorder="1"/>
    <xf numFmtId="2" fontId="1" fillId="3" borderId="0" xfId="0" applyNumberFormat="1" applyFont="1" applyFill="1"/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vertical="center" wrapText="1"/>
    </xf>
    <xf numFmtId="3" fontId="1" fillId="8" borderId="4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left" vertical="top" wrapText="1"/>
    </xf>
    <xf numFmtId="0" fontId="1" fillId="8" borderId="0" xfId="0" applyFont="1" applyFill="1" applyAlignment="1">
      <alignment horizontal="center"/>
    </xf>
    <xf numFmtId="0" fontId="1" fillId="0" borderId="7" xfId="0" applyFont="1" applyFill="1" applyBorder="1" applyAlignment="1">
      <alignment horizontal="center" vertical="center"/>
    </xf>
    <xf numFmtId="3" fontId="1" fillId="9" borderId="4" xfId="0" applyNumberFormat="1" applyFont="1" applyFill="1" applyBorder="1" applyAlignment="1">
      <alignment horizontal="center"/>
    </xf>
    <xf numFmtId="3" fontId="1" fillId="3" borderId="4" xfId="0" applyNumberFormat="1" applyFont="1" applyFill="1" applyBorder="1" applyAlignment="1">
      <alignment horizontal="right"/>
    </xf>
    <xf numFmtId="3" fontId="2" fillId="3" borderId="4" xfId="0" applyNumberFormat="1" applyFont="1" applyFill="1" applyBorder="1" applyAlignment="1">
      <alignment horizontal="right"/>
    </xf>
    <xf numFmtId="3" fontId="17" fillId="3" borderId="4" xfId="0" applyNumberFormat="1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3" xfId="0" applyFont="1" applyFill="1" applyBorder="1"/>
    <xf numFmtId="4" fontId="1" fillId="0" borderId="3" xfId="0" applyNumberFormat="1" applyFont="1" applyFill="1" applyBorder="1"/>
    <xf numFmtId="166" fontId="1" fillId="0" borderId="3" xfId="0" applyNumberFormat="1" applyFont="1" applyFill="1" applyBorder="1"/>
    <xf numFmtId="0" fontId="1" fillId="0" borderId="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4" fontId="1" fillId="3" borderId="4" xfId="0" applyNumberFormat="1" applyFont="1" applyFill="1" applyBorder="1" applyAlignment="1">
      <alignment horizontal="center"/>
    </xf>
    <xf numFmtId="4" fontId="1" fillId="7" borderId="3" xfId="0" applyNumberFormat="1" applyFont="1" applyFill="1" applyBorder="1"/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wrapText="1"/>
    </xf>
    <xf numFmtId="0" fontId="1" fillId="3" borderId="9" xfId="0" applyFont="1" applyFill="1" applyBorder="1" applyAlignment="1">
      <alignment vertical="center" wrapText="1"/>
    </xf>
    <xf numFmtId="0" fontId="1" fillId="3" borderId="10" xfId="0" applyFont="1" applyFill="1" applyBorder="1" applyAlignment="1">
      <alignment vertical="center" wrapText="1"/>
    </xf>
    <xf numFmtId="3" fontId="4" fillId="3" borderId="4" xfId="0" applyNumberFormat="1" applyFont="1" applyFill="1" applyBorder="1" applyAlignment="1">
      <alignment horizontal="center" vertical="center" wrapText="1"/>
    </xf>
    <xf numFmtId="3" fontId="21" fillId="3" borderId="4" xfId="0" applyNumberFormat="1" applyFont="1" applyFill="1" applyBorder="1" applyAlignment="1">
      <alignment horizontal="center"/>
    </xf>
    <xf numFmtId="4" fontId="8" fillId="3" borderId="4" xfId="0" applyNumberFormat="1" applyFont="1" applyFill="1" applyBorder="1" applyAlignment="1"/>
    <xf numFmtId="4" fontId="8" fillId="3" borderId="4" xfId="0" applyNumberFormat="1" applyFont="1" applyFill="1" applyBorder="1" applyAlignment="1">
      <alignment horizontal="right"/>
    </xf>
    <xf numFmtId="3" fontId="1" fillId="3" borderId="4" xfId="0" applyNumberFormat="1" applyFont="1" applyFill="1" applyBorder="1" applyAlignment="1">
      <alignment horizontal="left"/>
    </xf>
    <xf numFmtId="3" fontId="2" fillId="3" borderId="4" xfId="0" applyNumberFormat="1" applyFont="1" applyFill="1" applyBorder="1" applyAlignment="1">
      <alignment horizontal="left"/>
    </xf>
    <xf numFmtId="4" fontId="2" fillId="3" borderId="4" xfId="0" applyNumberFormat="1" applyFont="1" applyFill="1" applyBorder="1" applyAlignment="1"/>
    <xf numFmtId="0" fontId="13" fillId="0" borderId="3" xfId="0" applyFont="1" applyFill="1" applyBorder="1" applyAlignment="1">
      <alignment vertical="top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164" fontId="1" fillId="3" borderId="4" xfId="0" applyNumberFormat="1" applyFont="1" applyFill="1" applyBorder="1" applyAlignment="1">
      <alignment horizontal="right"/>
    </xf>
    <xf numFmtId="164" fontId="2" fillId="3" borderId="4" xfId="0" applyNumberFormat="1" applyFont="1" applyFill="1" applyBorder="1"/>
    <xf numFmtId="3" fontId="22" fillId="3" borderId="5" xfId="0" applyNumberFormat="1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left" wrapText="1"/>
    </xf>
    <xf numFmtId="0" fontId="1" fillId="7" borderId="4" xfId="0" applyFont="1" applyFill="1" applyBorder="1" applyAlignment="1">
      <alignment horizontal="center" vertical="center"/>
    </xf>
    <xf numFmtId="3" fontId="1" fillId="7" borderId="4" xfId="0" applyNumberFormat="1" applyFont="1" applyFill="1" applyBorder="1" applyAlignment="1">
      <alignment horizontal="center"/>
    </xf>
    <xf numFmtId="4" fontId="8" fillId="7" borderId="4" xfId="0" applyNumberFormat="1" applyFont="1" applyFill="1" applyBorder="1" applyAlignment="1">
      <alignment horizontal="right"/>
    </xf>
    <xf numFmtId="4" fontId="4" fillId="3" borderId="4" xfId="0" applyNumberFormat="1" applyFont="1" applyFill="1" applyBorder="1" applyAlignment="1">
      <alignment horizontal="center" wrapText="1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3" borderId="4" xfId="2" applyFont="1" applyFill="1" applyBorder="1" applyAlignment="1">
      <alignment horizontal="center" vertical="top" wrapText="1"/>
    </xf>
    <xf numFmtId="0" fontId="10" fillId="3" borderId="4" xfId="1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top"/>
    </xf>
    <xf numFmtId="0" fontId="13" fillId="0" borderId="3" xfId="0" applyFont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13" fillId="3" borderId="4" xfId="0" applyFont="1" applyFill="1" applyBorder="1" applyAlignment="1">
      <alignment horizontal="center"/>
    </xf>
    <xf numFmtId="4" fontId="4" fillId="0" borderId="4" xfId="0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3" fontId="4" fillId="0" borderId="4" xfId="0" applyNumberFormat="1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0" fontId="7" fillId="0" borderId="5" xfId="2" applyFont="1" applyFill="1" applyBorder="1" applyAlignment="1">
      <alignment horizontal="center" vertical="top" wrapText="1"/>
    </xf>
    <xf numFmtId="0" fontId="7" fillId="0" borderId="6" xfId="2" applyFont="1" applyFill="1" applyBorder="1" applyAlignment="1">
      <alignment horizontal="center" vertical="top" wrapText="1"/>
    </xf>
    <xf numFmtId="0" fontId="7" fillId="0" borderId="7" xfId="2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right"/>
    </xf>
    <xf numFmtId="0" fontId="2" fillId="0" borderId="9" xfId="0" applyFont="1" applyFill="1" applyBorder="1" applyAlignment="1">
      <alignment horizontal="right"/>
    </xf>
    <xf numFmtId="0" fontId="2" fillId="0" borderId="10" xfId="0" applyFont="1" applyFill="1" applyBorder="1" applyAlignment="1">
      <alignment horizontal="right"/>
    </xf>
    <xf numFmtId="4" fontId="4" fillId="3" borderId="4" xfId="0" applyNumberFormat="1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0" fontId="1" fillId="3" borderId="8" xfId="0" applyFont="1" applyFill="1" applyBorder="1" applyAlignment="1">
      <alignment horizontal="center" vertical="center" wrapText="1"/>
    </xf>
    <xf numFmtId="0" fontId="0" fillId="3" borderId="9" xfId="0" applyFill="1" applyBorder="1"/>
    <xf numFmtId="0" fontId="0" fillId="3" borderId="10" xfId="0" applyFill="1" applyBorder="1"/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left" wrapText="1"/>
    </xf>
    <xf numFmtId="0" fontId="1" fillId="0" borderId="7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 vertical="top" wrapText="1"/>
    </xf>
    <xf numFmtId="0" fontId="0" fillId="0" borderId="7" xfId="0" applyBorder="1" applyAlignment="1">
      <alignment horizontal="left" wrapText="1"/>
    </xf>
  </cellXfs>
  <cellStyles count="3">
    <cellStyle name="Обычный" xfId="0" builtinId="0"/>
    <cellStyle name="Обычный 2" xfId="2"/>
    <cellStyle name="Плохой" xfId="1" builtinId="27"/>
  </cellStyles>
  <dxfs count="0"/>
  <tableStyles count="0" defaultTableStyle="TableStyleMedium9" defaultPivotStyle="PivotStyleLight16"/>
  <colors>
    <mruColors>
      <color rgb="FFFFFFCC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8"/>
  <sheetViews>
    <sheetView zoomScale="80" zoomScaleNormal="80" workbookViewId="0">
      <pane xSplit="3" ySplit="8" topLeftCell="D18" activePane="bottomRight" state="frozen"/>
      <selection pane="topRight" activeCell="D1" sqref="D1"/>
      <selection pane="bottomLeft" activeCell="A9" sqref="A9"/>
      <selection pane="bottomRight" activeCell="N21" sqref="N21"/>
    </sheetView>
  </sheetViews>
  <sheetFormatPr defaultRowHeight="12.75" x14ac:dyDescent="0.2"/>
  <cols>
    <col min="1" max="1" width="19.42578125" customWidth="1"/>
    <col min="2" max="2" width="19.85546875" customWidth="1"/>
    <col min="3" max="3" width="23.7109375" customWidth="1"/>
    <col min="4" max="4" width="8.7109375" customWidth="1"/>
    <col min="5" max="5" width="12.42578125" customWidth="1"/>
    <col min="6" max="7" width="12.7109375" customWidth="1"/>
    <col min="8" max="8" width="14.140625" bestFit="1" customWidth="1"/>
    <col min="9" max="9" width="16" customWidth="1"/>
    <col min="10" max="10" width="13.85546875" customWidth="1"/>
    <col min="11" max="11" width="12.140625" bestFit="1" customWidth="1"/>
    <col min="12" max="12" width="16.7109375" customWidth="1"/>
    <col min="13" max="13" width="15.42578125" customWidth="1"/>
    <col min="14" max="14" width="13.28515625" customWidth="1"/>
    <col min="15" max="15" width="14.28515625" customWidth="1"/>
    <col min="16" max="16" width="13.140625" customWidth="1"/>
    <col min="17" max="17" width="14.85546875" bestFit="1" customWidth="1"/>
    <col min="19" max="19" width="13.5703125" bestFit="1" customWidth="1"/>
  </cols>
  <sheetData>
    <row r="1" spans="1:19" ht="15" x14ac:dyDescent="0.2">
      <c r="A1" s="1"/>
      <c r="O1" s="3" t="s">
        <v>2</v>
      </c>
    </row>
    <row r="2" spans="1:19" ht="15" x14ac:dyDescent="0.2">
      <c r="O2" s="3" t="s">
        <v>153</v>
      </c>
    </row>
    <row r="3" spans="1:19" ht="18.75" x14ac:dyDescent="0.2">
      <c r="A3" s="305" t="s">
        <v>1</v>
      </c>
      <c r="B3" s="305"/>
      <c r="C3" s="306"/>
      <c r="D3" s="305"/>
      <c r="E3" s="305"/>
      <c r="F3" s="305"/>
      <c r="G3" s="305"/>
      <c r="H3" s="305"/>
      <c r="I3" s="306"/>
      <c r="J3" s="305"/>
      <c r="K3" s="305"/>
      <c r="L3" s="305"/>
      <c r="M3" s="305"/>
      <c r="N3" s="306"/>
      <c r="O3" s="305"/>
      <c r="P3" s="305"/>
      <c r="Q3" s="305"/>
    </row>
    <row r="4" spans="1:19" ht="36.75" customHeight="1" x14ac:dyDescent="0.3">
      <c r="A4" s="6" t="s">
        <v>155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9" ht="15.75" hidden="1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9" ht="45" x14ac:dyDescent="0.2">
      <c r="A6" s="38" t="s">
        <v>3</v>
      </c>
      <c r="B6" s="38" t="s">
        <v>81</v>
      </c>
      <c r="C6" s="38" t="s">
        <v>152</v>
      </c>
      <c r="D6" s="38" t="s">
        <v>4</v>
      </c>
      <c r="E6" s="299" t="s">
        <v>5</v>
      </c>
      <c r="F6" s="299"/>
      <c r="G6" s="299"/>
      <c r="H6" s="300" t="s">
        <v>6</v>
      </c>
      <c r="I6" s="300"/>
      <c r="J6" s="300"/>
      <c r="K6" s="300"/>
      <c r="L6" s="300" t="s">
        <v>7</v>
      </c>
      <c r="M6" s="300"/>
      <c r="N6" s="300"/>
      <c r="O6" s="300"/>
      <c r="P6" s="300"/>
      <c r="Q6" s="300"/>
    </row>
    <row r="7" spans="1:19" ht="60" x14ac:dyDescent="0.25">
      <c r="A7" s="39"/>
      <c r="B7" s="39"/>
      <c r="C7" s="39"/>
      <c r="D7" s="39"/>
      <c r="E7" s="40" t="s">
        <v>8</v>
      </c>
      <c r="F7" s="40" t="s">
        <v>9</v>
      </c>
      <c r="G7" s="40" t="s">
        <v>10</v>
      </c>
      <c r="H7" s="41" t="s">
        <v>79</v>
      </c>
      <c r="I7" s="38" t="s">
        <v>80</v>
      </c>
      <c r="J7" s="41" t="s">
        <v>11</v>
      </c>
      <c r="K7" s="40" t="s">
        <v>12</v>
      </c>
      <c r="L7" s="304" t="s">
        <v>8</v>
      </c>
      <c r="M7" s="304"/>
      <c r="N7" s="304"/>
      <c r="O7" s="304"/>
      <c r="P7" s="40" t="s">
        <v>9</v>
      </c>
      <c r="Q7" s="40" t="s">
        <v>10</v>
      </c>
    </row>
    <row r="8" spans="1:19" ht="43.5" customHeight="1" x14ac:dyDescent="0.25">
      <c r="A8" s="42" t="s">
        <v>13</v>
      </c>
      <c r="B8" s="42" t="s">
        <v>14</v>
      </c>
      <c r="C8" s="42"/>
      <c r="D8" s="43" t="s">
        <v>15</v>
      </c>
      <c r="E8" s="42" t="s">
        <v>16</v>
      </c>
      <c r="F8" s="42" t="s">
        <v>16</v>
      </c>
      <c r="G8" s="42" t="s">
        <v>16</v>
      </c>
      <c r="H8" s="43" t="s">
        <v>17</v>
      </c>
      <c r="I8" s="43" t="s">
        <v>17</v>
      </c>
      <c r="J8" s="43" t="s">
        <v>17</v>
      </c>
      <c r="K8" s="43" t="s">
        <v>17</v>
      </c>
      <c r="L8" s="43" t="s">
        <v>85</v>
      </c>
      <c r="M8" s="43" t="s">
        <v>83</v>
      </c>
      <c r="N8" s="43" t="s">
        <v>84</v>
      </c>
      <c r="O8" s="43" t="s">
        <v>12</v>
      </c>
      <c r="P8" s="43" t="s">
        <v>17</v>
      </c>
      <c r="Q8" s="43" t="s">
        <v>17</v>
      </c>
    </row>
    <row r="9" spans="1:19" ht="15" x14ac:dyDescent="0.25">
      <c r="A9" s="44" t="s">
        <v>18</v>
      </c>
      <c r="B9" s="45"/>
      <c r="C9" s="45"/>
      <c r="D9" s="45"/>
      <c r="E9" s="45"/>
      <c r="F9" s="45"/>
      <c r="G9" s="45"/>
      <c r="H9" s="46"/>
      <c r="I9" s="46"/>
      <c r="J9" s="46"/>
      <c r="K9" s="46"/>
      <c r="L9" s="46">
        <f>L10+L15</f>
        <v>4839183.68</v>
      </c>
      <c r="M9" s="46">
        <f t="shared" ref="M9:N9" si="0">M10+M15</f>
        <v>1411442.4</v>
      </c>
      <c r="N9" s="46">
        <f t="shared" si="0"/>
        <v>6372720</v>
      </c>
      <c r="O9" s="46">
        <f>L9+M9+N9</f>
        <v>12623346.08</v>
      </c>
      <c r="P9" s="46">
        <f>L9</f>
        <v>4839183.68</v>
      </c>
      <c r="Q9" s="46">
        <f>L9</f>
        <v>4839183.68</v>
      </c>
    </row>
    <row r="10" spans="1:19" ht="85.5" x14ac:dyDescent="0.25">
      <c r="A10" s="47"/>
      <c r="B10" s="47" t="s">
        <v>76</v>
      </c>
      <c r="C10" s="47"/>
      <c r="D10" s="45"/>
      <c r="E10" s="48"/>
      <c r="F10" s="48"/>
      <c r="G10" s="48"/>
      <c r="H10" s="46"/>
      <c r="I10" s="46"/>
      <c r="J10" s="46"/>
      <c r="K10" s="46"/>
      <c r="L10" s="46">
        <f>L11+L12</f>
        <v>4839183.68</v>
      </c>
      <c r="M10" s="46">
        <f t="shared" ref="M10:N10" si="1">M11+M12</f>
        <v>1411442.4</v>
      </c>
      <c r="N10" s="46">
        <f t="shared" si="1"/>
        <v>3253642.8</v>
      </c>
      <c r="O10" s="46">
        <f>L10+M10+N10</f>
        <v>9504268.879999999</v>
      </c>
      <c r="P10" s="46">
        <f>O10</f>
        <v>9504268.879999999</v>
      </c>
      <c r="Q10" s="46">
        <f>P10</f>
        <v>9504268.879999999</v>
      </c>
      <c r="S10" s="4"/>
    </row>
    <row r="11" spans="1:19" ht="105" x14ac:dyDescent="0.25">
      <c r="A11" s="42"/>
      <c r="B11" s="44" t="s">
        <v>19</v>
      </c>
      <c r="C11" s="42" t="s">
        <v>0</v>
      </c>
      <c r="D11" s="44" t="s">
        <v>20</v>
      </c>
      <c r="E11" s="44" t="s">
        <v>21</v>
      </c>
      <c r="F11" s="44" t="s">
        <v>21</v>
      </c>
      <c r="G11" s="44" t="s">
        <v>21</v>
      </c>
      <c r="H11" s="46">
        <v>47587</v>
      </c>
      <c r="I11" s="46">
        <v>11762.02</v>
      </c>
      <c r="J11" s="46">
        <v>27113.69</v>
      </c>
      <c r="K11" s="46">
        <f>H11+I11+J11</f>
        <v>86462.71</v>
      </c>
      <c r="L11" s="46">
        <f>E11*H11</f>
        <v>1522784</v>
      </c>
      <c r="M11" s="46">
        <f>F11*I11</f>
        <v>376384.64</v>
      </c>
      <c r="N11" s="46">
        <f>G11*J11</f>
        <v>867638.08</v>
      </c>
      <c r="O11" s="46">
        <f>L11+M11+N11</f>
        <v>2766806.72</v>
      </c>
      <c r="P11" s="46">
        <f>O11</f>
        <v>2766806.72</v>
      </c>
      <c r="Q11" s="46">
        <f>P11</f>
        <v>2766806.72</v>
      </c>
      <c r="S11" s="4"/>
    </row>
    <row r="12" spans="1:19" ht="15" x14ac:dyDescent="0.25">
      <c r="A12" s="49"/>
      <c r="B12" s="50" t="s">
        <v>24</v>
      </c>
      <c r="C12" s="50"/>
      <c r="D12" s="50" t="s">
        <v>20</v>
      </c>
      <c r="E12" s="44" t="s">
        <v>25</v>
      </c>
      <c r="F12" s="44" t="s">
        <v>25</v>
      </c>
      <c r="G12" s="44" t="s">
        <v>25</v>
      </c>
      <c r="H12" s="46">
        <v>37686.36</v>
      </c>
      <c r="I12" s="46">
        <v>11762.02</v>
      </c>
      <c r="J12" s="46">
        <v>27113.69</v>
      </c>
      <c r="K12" s="46">
        <f t="shared" ref="K12:K75" si="2">H12+I12+J12</f>
        <v>76562.070000000007</v>
      </c>
      <c r="L12" s="46">
        <f t="shared" ref="L12:L74" si="3">E12*H12</f>
        <v>3316399.68</v>
      </c>
      <c r="M12" s="46">
        <f t="shared" ref="M12:M74" si="4">F12*I12</f>
        <v>1035057.76</v>
      </c>
      <c r="N12" s="46">
        <f t="shared" ref="N12:N74" si="5">G12*J12</f>
        <v>2386004.7199999997</v>
      </c>
      <c r="O12" s="46">
        <f t="shared" ref="O12:O75" si="6">L12+M12+N12</f>
        <v>6737462.1600000001</v>
      </c>
      <c r="P12" s="46">
        <f t="shared" ref="P12:Q75" si="7">O12</f>
        <v>6737462.1600000001</v>
      </c>
      <c r="Q12" s="46">
        <f t="shared" si="7"/>
        <v>6737462.1600000001</v>
      </c>
      <c r="S12" s="4"/>
    </row>
    <row r="13" spans="1:19" ht="75" hidden="1" x14ac:dyDescent="0.25">
      <c r="A13" s="42" t="s">
        <v>77</v>
      </c>
      <c r="B13" s="45"/>
      <c r="C13" s="45"/>
      <c r="D13" s="44" t="s">
        <v>20</v>
      </c>
      <c r="E13" s="44" t="s">
        <v>27</v>
      </c>
      <c r="F13" s="44" t="s">
        <v>27</v>
      </c>
      <c r="G13" s="44" t="s">
        <v>27</v>
      </c>
      <c r="H13" s="46"/>
      <c r="I13" s="46"/>
      <c r="J13" s="46"/>
      <c r="K13" s="46">
        <f t="shared" si="2"/>
        <v>0</v>
      </c>
      <c r="L13" s="46">
        <f t="shared" si="3"/>
        <v>0</v>
      </c>
      <c r="M13" s="46">
        <f t="shared" si="4"/>
        <v>0</v>
      </c>
      <c r="N13" s="46">
        <f t="shared" si="5"/>
        <v>0</v>
      </c>
      <c r="O13" s="46">
        <f t="shared" si="6"/>
        <v>0</v>
      </c>
      <c r="P13" s="46">
        <f t="shared" si="7"/>
        <v>0</v>
      </c>
      <c r="Q13" s="46">
        <f t="shared" si="7"/>
        <v>0</v>
      </c>
    </row>
    <row r="14" spans="1:19" ht="15" hidden="1" x14ac:dyDescent="0.25">
      <c r="A14" s="43"/>
      <c r="B14" s="45"/>
      <c r="C14" s="45"/>
      <c r="D14" s="45"/>
      <c r="E14" s="44" t="s">
        <v>27</v>
      </c>
      <c r="F14" s="44" t="s">
        <v>27</v>
      </c>
      <c r="G14" s="44" t="s">
        <v>27</v>
      </c>
      <c r="H14" s="46"/>
      <c r="I14" s="46"/>
      <c r="J14" s="46">
        <v>0</v>
      </c>
      <c r="K14" s="46">
        <f t="shared" si="2"/>
        <v>0</v>
      </c>
      <c r="L14" s="46">
        <f t="shared" si="3"/>
        <v>0</v>
      </c>
      <c r="M14" s="46">
        <f t="shared" si="4"/>
        <v>0</v>
      </c>
      <c r="N14" s="46">
        <f t="shared" si="5"/>
        <v>0</v>
      </c>
      <c r="O14" s="46">
        <f t="shared" si="6"/>
        <v>0</v>
      </c>
      <c r="P14" s="46">
        <f t="shared" si="7"/>
        <v>0</v>
      </c>
      <c r="Q14" s="46">
        <f t="shared" si="7"/>
        <v>0</v>
      </c>
    </row>
    <row r="15" spans="1:19" ht="15" x14ac:dyDescent="0.25">
      <c r="A15" s="50"/>
      <c r="B15" s="50" t="s">
        <v>28</v>
      </c>
      <c r="C15" s="50"/>
      <c r="D15" s="45"/>
      <c r="E15" s="44" t="s">
        <v>27</v>
      </c>
      <c r="F15" s="44" t="s">
        <v>27</v>
      </c>
      <c r="G15" s="44" t="s">
        <v>27</v>
      </c>
      <c r="H15" s="46" t="s">
        <v>23</v>
      </c>
      <c r="I15" s="46"/>
      <c r="J15" s="46">
        <v>25992.31</v>
      </c>
      <c r="K15" s="46">
        <f t="shared" si="2"/>
        <v>25992.31</v>
      </c>
      <c r="L15" s="46">
        <f t="shared" si="3"/>
        <v>0</v>
      </c>
      <c r="M15" s="46">
        <f t="shared" si="4"/>
        <v>0</v>
      </c>
      <c r="N15" s="46">
        <f t="shared" si="5"/>
        <v>3119077.2</v>
      </c>
      <c r="O15" s="46">
        <f t="shared" si="6"/>
        <v>3119077.2</v>
      </c>
      <c r="P15" s="46">
        <f t="shared" si="7"/>
        <v>3119077.2</v>
      </c>
      <c r="Q15" s="46">
        <f t="shared" si="7"/>
        <v>3119077.2</v>
      </c>
    </row>
    <row r="16" spans="1:19" ht="15" x14ac:dyDescent="0.25">
      <c r="A16" s="50" t="s">
        <v>29</v>
      </c>
      <c r="B16" s="50"/>
      <c r="C16" s="50"/>
      <c r="D16" s="45"/>
      <c r="E16" s="44"/>
      <c r="F16" s="44"/>
      <c r="G16" s="44"/>
      <c r="H16" s="46"/>
      <c r="I16" s="46"/>
      <c r="J16" s="46"/>
      <c r="K16" s="46">
        <f t="shared" si="2"/>
        <v>0</v>
      </c>
      <c r="L16" s="46">
        <f>L17+L21</f>
        <v>2191749.33</v>
      </c>
      <c r="M16" s="46">
        <f t="shared" ref="M16:N16" si="8">M17+M21</f>
        <v>435194.74</v>
      </c>
      <c r="N16" s="46">
        <f t="shared" si="8"/>
        <v>1964922</v>
      </c>
      <c r="O16" s="46">
        <f t="shared" si="6"/>
        <v>4591866.07</v>
      </c>
      <c r="P16" s="46">
        <f t="shared" si="7"/>
        <v>4591866.07</v>
      </c>
      <c r="Q16" s="46">
        <f t="shared" si="7"/>
        <v>4591866.07</v>
      </c>
    </row>
    <row r="17" spans="1:17" ht="85.5" x14ac:dyDescent="0.25">
      <c r="A17" s="51"/>
      <c r="B17" s="47" t="s">
        <v>76</v>
      </c>
      <c r="C17" s="47"/>
      <c r="D17" s="45"/>
      <c r="E17" s="48"/>
      <c r="F17" s="48"/>
      <c r="G17" s="48"/>
      <c r="H17" s="46"/>
      <c r="I17" s="46"/>
      <c r="J17" s="46"/>
      <c r="K17" s="46">
        <f t="shared" si="2"/>
        <v>0</v>
      </c>
      <c r="L17" s="46">
        <f>L18</f>
        <v>2191749.33</v>
      </c>
      <c r="M17" s="46">
        <f t="shared" ref="M17:N17" si="9">M18</f>
        <v>435194.74</v>
      </c>
      <c r="N17" s="46">
        <f t="shared" si="9"/>
        <v>1003206.5299999999</v>
      </c>
      <c r="O17" s="46">
        <f>L17+M17+N17</f>
        <v>3630150.6</v>
      </c>
      <c r="P17" s="46">
        <f t="shared" si="7"/>
        <v>3630150.6</v>
      </c>
      <c r="Q17" s="46">
        <f t="shared" si="7"/>
        <v>3630150.6</v>
      </c>
    </row>
    <row r="18" spans="1:17" ht="105" x14ac:dyDescent="0.25">
      <c r="A18" s="42"/>
      <c r="B18" s="45"/>
      <c r="C18" s="42" t="s">
        <v>30</v>
      </c>
      <c r="D18" s="50" t="s">
        <v>31</v>
      </c>
      <c r="E18" s="44" t="s">
        <v>32</v>
      </c>
      <c r="F18" s="44" t="s">
        <v>32</v>
      </c>
      <c r="G18" s="44">
        <v>3</v>
      </c>
      <c r="H18" s="46">
        <v>730583.11</v>
      </c>
      <c r="I18" s="46">
        <v>11762.02</v>
      </c>
      <c r="J18" s="46">
        <v>27113.69</v>
      </c>
      <c r="K18" s="46">
        <f t="shared" si="2"/>
        <v>769458.82</v>
      </c>
      <c r="L18" s="46">
        <f t="shared" si="3"/>
        <v>2191749.33</v>
      </c>
      <c r="M18" s="46">
        <f>E21*I18</f>
        <v>435194.74</v>
      </c>
      <c r="N18" s="46">
        <f>E21*J18</f>
        <v>1003206.5299999999</v>
      </c>
      <c r="O18" s="46">
        <f t="shared" si="6"/>
        <v>3630150.6</v>
      </c>
      <c r="P18" s="46">
        <f t="shared" si="7"/>
        <v>3630150.6</v>
      </c>
      <c r="Q18" s="46">
        <f t="shared" si="7"/>
        <v>3630150.6</v>
      </c>
    </row>
    <row r="19" spans="1:17" ht="15" hidden="1" x14ac:dyDescent="0.25">
      <c r="A19" s="50" t="s">
        <v>26</v>
      </c>
      <c r="B19" s="45"/>
      <c r="C19" s="45"/>
      <c r="D19" s="50" t="s">
        <v>31</v>
      </c>
      <c r="E19" s="44" t="s">
        <v>32</v>
      </c>
      <c r="F19" s="44" t="s">
        <v>32</v>
      </c>
      <c r="G19" s="44" t="s">
        <v>32</v>
      </c>
      <c r="H19" s="46"/>
      <c r="I19" s="46">
        <v>11762.02</v>
      </c>
      <c r="J19" s="46">
        <v>27113.69</v>
      </c>
      <c r="K19" s="46">
        <f t="shared" si="2"/>
        <v>38875.71</v>
      </c>
      <c r="L19" s="46">
        <f t="shared" si="3"/>
        <v>0</v>
      </c>
      <c r="M19" s="46">
        <f t="shared" si="4"/>
        <v>35286.06</v>
      </c>
      <c r="N19" s="46">
        <f t="shared" si="5"/>
        <v>81341.069999999992</v>
      </c>
      <c r="O19" s="46">
        <f t="shared" si="6"/>
        <v>116627.12999999999</v>
      </c>
      <c r="P19" s="46">
        <f t="shared" si="7"/>
        <v>116627.12999999999</v>
      </c>
      <c r="Q19" s="46">
        <f t="shared" si="7"/>
        <v>116627.12999999999</v>
      </c>
    </row>
    <row r="20" spans="1:17" ht="75" hidden="1" x14ac:dyDescent="0.25">
      <c r="A20" s="42" t="s">
        <v>77</v>
      </c>
      <c r="B20" s="45"/>
      <c r="C20" s="45"/>
      <c r="D20" s="50" t="s">
        <v>20</v>
      </c>
      <c r="E20" s="44" t="s">
        <v>34</v>
      </c>
      <c r="F20" s="44" t="s">
        <v>34</v>
      </c>
      <c r="G20" s="44" t="s">
        <v>34</v>
      </c>
      <c r="H20" s="46"/>
      <c r="I20" s="46"/>
      <c r="J20" s="46"/>
      <c r="K20" s="46">
        <f t="shared" si="2"/>
        <v>0</v>
      </c>
      <c r="L20" s="46">
        <f t="shared" si="3"/>
        <v>0</v>
      </c>
      <c r="M20" s="46">
        <f t="shared" si="4"/>
        <v>0</v>
      </c>
      <c r="N20" s="46">
        <f t="shared" si="5"/>
        <v>0</v>
      </c>
      <c r="O20" s="46">
        <f t="shared" si="6"/>
        <v>0</v>
      </c>
      <c r="P20" s="46">
        <f t="shared" si="7"/>
        <v>0</v>
      </c>
      <c r="Q20" s="46">
        <f t="shared" si="7"/>
        <v>0</v>
      </c>
    </row>
    <row r="21" spans="1:17" ht="15" x14ac:dyDescent="0.25">
      <c r="A21" s="50"/>
      <c r="B21" s="50" t="s">
        <v>28</v>
      </c>
      <c r="C21" s="50"/>
      <c r="D21" s="50" t="s">
        <v>20</v>
      </c>
      <c r="E21" s="44" t="s">
        <v>34</v>
      </c>
      <c r="F21" s="44" t="s">
        <v>34</v>
      </c>
      <c r="G21" s="44" t="s">
        <v>34</v>
      </c>
      <c r="H21" s="46" t="s">
        <v>23</v>
      </c>
      <c r="I21" s="46"/>
      <c r="J21" s="46">
        <v>25992.31</v>
      </c>
      <c r="K21" s="46">
        <f t="shared" si="2"/>
        <v>25992.31</v>
      </c>
      <c r="L21" s="46">
        <f t="shared" si="3"/>
        <v>0</v>
      </c>
      <c r="M21" s="46">
        <f t="shared" si="4"/>
        <v>0</v>
      </c>
      <c r="N21" s="46">
        <f t="shared" si="5"/>
        <v>961715.47000000009</v>
      </c>
      <c r="O21" s="46">
        <f t="shared" si="6"/>
        <v>961715.47000000009</v>
      </c>
      <c r="P21" s="46">
        <f t="shared" si="7"/>
        <v>961715.47000000009</v>
      </c>
      <c r="Q21" s="46">
        <f t="shared" si="7"/>
        <v>961715.47000000009</v>
      </c>
    </row>
    <row r="22" spans="1:17" ht="15" x14ac:dyDescent="0.25">
      <c r="A22" s="44" t="s">
        <v>35</v>
      </c>
      <c r="B22" s="45"/>
      <c r="C22" s="45"/>
      <c r="D22" s="45"/>
      <c r="E22" s="48"/>
      <c r="F22" s="48"/>
      <c r="G22" s="48"/>
      <c r="H22" s="46"/>
      <c r="I22" s="46"/>
      <c r="J22" s="46"/>
      <c r="K22" s="46">
        <f t="shared" si="2"/>
        <v>0</v>
      </c>
      <c r="L22" s="46">
        <f>L23+L29</f>
        <v>9194014.25</v>
      </c>
      <c r="M22" s="46">
        <f t="shared" ref="M22:N22" si="10">M23+M29</f>
        <v>1411442.4</v>
      </c>
      <c r="N22" s="46">
        <f t="shared" si="10"/>
        <v>6372720</v>
      </c>
      <c r="O22" s="46">
        <f>L22+M22+N22</f>
        <v>16978176.649999999</v>
      </c>
      <c r="P22" s="46">
        <f t="shared" si="7"/>
        <v>16978176.649999999</v>
      </c>
      <c r="Q22" s="46">
        <f t="shared" si="7"/>
        <v>16978176.649999999</v>
      </c>
    </row>
    <row r="23" spans="1:17" ht="85.5" x14ac:dyDescent="0.25">
      <c r="A23" s="42"/>
      <c r="B23" s="47" t="s">
        <v>76</v>
      </c>
      <c r="C23" s="47"/>
      <c r="D23" s="45"/>
      <c r="E23" s="48"/>
      <c r="F23" s="48"/>
      <c r="G23" s="48"/>
      <c r="H23" s="46"/>
      <c r="I23" s="46"/>
      <c r="J23" s="46"/>
      <c r="K23" s="46">
        <f t="shared" si="2"/>
        <v>0</v>
      </c>
      <c r="L23" s="46">
        <f>L24+L25+L26</f>
        <v>9194014.25</v>
      </c>
      <c r="M23" s="46">
        <f>M24+M25+M26</f>
        <v>1411442.4</v>
      </c>
      <c r="N23" s="46">
        <f t="shared" ref="N23" si="11">N24+N25+N26</f>
        <v>3253642.8</v>
      </c>
      <c r="O23" s="46">
        <f>L23+M23+N23</f>
        <v>13859099.449999999</v>
      </c>
      <c r="P23" s="46">
        <f t="shared" si="7"/>
        <v>13859099.449999999</v>
      </c>
      <c r="Q23" s="46">
        <f t="shared" si="7"/>
        <v>13859099.449999999</v>
      </c>
    </row>
    <row r="24" spans="1:17" ht="105" x14ac:dyDescent="0.25">
      <c r="A24" s="42"/>
      <c r="B24" s="44" t="s">
        <v>19</v>
      </c>
      <c r="C24" s="42" t="s">
        <v>0</v>
      </c>
      <c r="D24" s="50" t="s">
        <v>20</v>
      </c>
      <c r="E24" s="44" t="s">
        <v>36</v>
      </c>
      <c r="F24" s="44" t="s">
        <v>36</v>
      </c>
      <c r="G24" s="44" t="s">
        <v>36</v>
      </c>
      <c r="H24" s="46">
        <v>41608.51</v>
      </c>
      <c r="I24" s="46">
        <v>11762.02</v>
      </c>
      <c r="J24" s="46">
        <v>27113.69</v>
      </c>
      <c r="K24" s="46">
        <f t="shared" si="2"/>
        <v>80484.22</v>
      </c>
      <c r="L24" s="46">
        <f>E24*H24</f>
        <v>1206646.79</v>
      </c>
      <c r="M24" s="46">
        <f>E24*I24</f>
        <v>341098.58</v>
      </c>
      <c r="N24" s="46">
        <f>E24*J24</f>
        <v>786297.01</v>
      </c>
      <c r="O24" s="46">
        <f t="shared" ref="O24:O29" si="12">L24+M24+N24</f>
        <v>2334042.38</v>
      </c>
      <c r="P24" s="46">
        <f t="shared" si="7"/>
        <v>2334042.38</v>
      </c>
      <c r="Q24" s="46">
        <f t="shared" si="7"/>
        <v>2334042.38</v>
      </c>
    </row>
    <row r="25" spans="1:17" ht="15" x14ac:dyDescent="0.25">
      <c r="A25" s="49"/>
      <c r="B25" s="44" t="s">
        <v>24</v>
      </c>
      <c r="C25" s="44"/>
      <c r="D25" s="44" t="s">
        <v>20</v>
      </c>
      <c r="E25" s="44" t="s">
        <v>37</v>
      </c>
      <c r="F25" s="44" t="s">
        <v>37</v>
      </c>
      <c r="G25" s="44" t="s">
        <v>37</v>
      </c>
      <c r="H25" s="46">
        <v>32991.18</v>
      </c>
      <c r="I25" s="46">
        <v>11762.02</v>
      </c>
      <c r="J25" s="46">
        <v>27113.69</v>
      </c>
      <c r="K25" s="46">
        <f t="shared" si="2"/>
        <v>71866.89</v>
      </c>
      <c r="L25" s="46">
        <f t="shared" ref="L25" si="13">E25*H25</f>
        <v>1418620.74</v>
      </c>
      <c r="M25" s="46">
        <f>E25*I25</f>
        <v>505766.86000000004</v>
      </c>
      <c r="N25" s="46">
        <f t="shared" ref="N25:N26" si="14">E25*J25</f>
        <v>1165888.67</v>
      </c>
      <c r="O25" s="46">
        <f t="shared" si="12"/>
        <v>3090276.27</v>
      </c>
      <c r="P25" s="46">
        <f t="shared" si="7"/>
        <v>3090276.27</v>
      </c>
      <c r="Q25" s="46">
        <f t="shared" si="7"/>
        <v>3090276.27</v>
      </c>
    </row>
    <row r="26" spans="1:17" ht="105" x14ac:dyDescent="0.25">
      <c r="A26" s="42"/>
      <c r="B26" s="45"/>
      <c r="C26" s="42" t="s">
        <v>38</v>
      </c>
      <c r="D26" s="50" t="s">
        <v>20</v>
      </c>
      <c r="E26" s="44" t="s">
        <v>39</v>
      </c>
      <c r="F26" s="44" t="s">
        <v>39</v>
      </c>
      <c r="G26" s="44" t="s">
        <v>39</v>
      </c>
      <c r="H26" s="46">
        <v>136848.89000000001</v>
      </c>
      <c r="I26" s="46">
        <v>11762.02</v>
      </c>
      <c r="J26" s="46">
        <v>27113.69</v>
      </c>
      <c r="K26" s="46">
        <f t="shared" si="2"/>
        <v>175724.6</v>
      </c>
      <c r="L26" s="46">
        <f>E26*H26</f>
        <v>6568746.7200000007</v>
      </c>
      <c r="M26" s="46">
        <f>E26*I26</f>
        <v>564576.96</v>
      </c>
      <c r="N26" s="46">
        <f t="shared" si="14"/>
        <v>1301457.1199999999</v>
      </c>
      <c r="O26" s="46">
        <f t="shared" si="12"/>
        <v>8434780.8000000007</v>
      </c>
      <c r="P26" s="46">
        <f t="shared" si="7"/>
        <v>8434780.8000000007</v>
      </c>
      <c r="Q26" s="46">
        <f t="shared" si="7"/>
        <v>8434780.8000000007</v>
      </c>
    </row>
    <row r="27" spans="1:17" ht="15" hidden="1" x14ac:dyDescent="0.25">
      <c r="A27" s="44" t="s">
        <v>26</v>
      </c>
      <c r="B27" s="45"/>
      <c r="C27" s="45"/>
      <c r="D27" s="44" t="s">
        <v>20</v>
      </c>
      <c r="E27" s="44" t="s">
        <v>27</v>
      </c>
      <c r="F27" s="44" t="s">
        <v>27</v>
      </c>
      <c r="G27" s="44" t="s">
        <v>27</v>
      </c>
      <c r="H27" s="46"/>
      <c r="I27" s="46">
        <v>11762.02</v>
      </c>
      <c r="J27" s="46"/>
      <c r="K27" s="46">
        <f t="shared" si="2"/>
        <v>11762.02</v>
      </c>
      <c r="L27" s="46">
        <f t="shared" si="3"/>
        <v>0</v>
      </c>
      <c r="M27" s="46">
        <f t="shared" si="4"/>
        <v>1411442.4000000001</v>
      </c>
      <c r="N27" s="46">
        <f t="shared" si="5"/>
        <v>0</v>
      </c>
      <c r="O27" s="46">
        <f t="shared" si="12"/>
        <v>1411442.4000000001</v>
      </c>
      <c r="P27" s="46">
        <f t="shared" si="7"/>
        <v>1411442.4000000001</v>
      </c>
      <c r="Q27" s="46">
        <f t="shared" si="7"/>
        <v>1411442.4000000001</v>
      </c>
    </row>
    <row r="28" spans="1:17" ht="75" hidden="1" x14ac:dyDescent="0.25">
      <c r="A28" s="42" t="s">
        <v>77</v>
      </c>
      <c r="B28" s="45"/>
      <c r="C28" s="45"/>
      <c r="D28" s="50" t="s">
        <v>20</v>
      </c>
      <c r="E28" s="44" t="s">
        <v>27</v>
      </c>
      <c r="F28" s="44" t="s">
        <v>27</v>
      </c>
      <c r="G28" s="44" t="s">
        <v>27</v>
      </c>
      <c r="H28" s="46"/>
      <c r="I28" s="46"/>
      <c r="J28" s="46" t="s">
        <v>22</v>
      </c>
      <c r="K28" s="46">
        <f t="shared" si="2"/>
        <v>0</v>
      </c>
      <c r="L28" s="46">
        <f t="shared" si="3"/>
        <v>0</v>
      </c>
      <c r="M28" s="46">
        <f t="shared" si="4"/>
        <v>0</v>
      </c>
      <c r="N28" s="46">
        <f t="shared" si="5"/>
        <v>0</v>
      </c>
      <c r="O28" s="46">
        <f t="shared" si="12"/>
        <v>0</v>
      </c>
      <c r="P28" s="46">
        <f t="shared" si="7"/>
        <v>0</v>
      </c>
      <c r="Q28" s="46">
        <f t="shared" si="7"/>
        <v>0</v>
      </c>
    </row>
    <row r="29" spans="1:17" ht="15" x14ac:dyDescent="0.25">
      <c r="A29" s="44"/>
      <c r="B29" s="44" t="s">
        <v>28</v>
      </c>
      <c r="C29" s="44"/>
      <c r="D29" s="50" t="s">
        <v>20</v>
      </c>
      <c r="E29" s="44" t="s">
        <v>27</v>
      </c>
      <c r="F29" s="44" t="s">
        <v>27</v>
      </c>
      <c r="G29" s="44" t="s">
        <v>27</v>
      </c>
      <c r="H29" s="46" t="s">
        <v>23</v>
      </c>
      <c r="I29" s="46"/>
      <c r="J29" s="46">
        <v>25992.31</v>
      </c>
      <c r="K29" s="46">
        <f t="shared" si="2"/>
        <v>25992.31</v>
      </c>
      <c r="L29" s="46">
        <f t="shared" si="3"/>
        <v>0</v>
      </c>
      <c r="M29" s="46">
        <f t="shared" si="4"/>
        <v>0</v>
      </c>
      <c r="N29" s="46">
        <f t="shared" si="5"/>
        <v>3119077.2</v>
      </c>
      <c r="O29" s="46">
        <f t="shared" si="12"/>
        <v>3119077.2</v>
      </c>
      <c r="P29" s="46">
        <f t="shared" si="7"/>
        <v>3119077.2</v>
      </c>
      <c r="Q29" s="46">
        <f t="shared" si="7"/>
        <v>3119077.2</v>
      </c>
    </row>
    <row r="30" spans="1:17" ht="15" x14ac:dyDescent="0.25">
      <c r="A30" s="44" t="s">
        <v>40</v>
      </c>
      <c r="B30" s="52"/>
      <c r="C30" s="52"/>
      <c r="D30" s="52"/>
      <c r="E30" s="48"/>
      <c r="F30" s="48"/>
      <c r="G30" s="48"/>
      <c r="H30" s="46"/>
      <c r="I30" s="46"/>
      <c r="J30" s="46"/>
      <c r="K30" s="46">
        <f t="shared" si="2"/>
        <v>0</v>
      </c>
      <c r="L30" s="46">
        <f>L31+L36</f>
        <v>3660794.35</v>
      </c>
      <c r="M30" s="46">
        <f t="shared" ref="M30:N30" si="15">M31+M36</f>
        <v>1246774.1200000001</v>
      </c>
      <c r="N30" s="46">
        <f t="shared" si="15"/>
        <v>5629236</v>
      </c>
      <c r="O30" s="46">
        <f t="shared" si="6"/>
        <v>10536804.470000001</v>
      </c>
      <c r="P30" s="46">
        <f t="shared" si="7"/>
        <v>10536804.470000001</v>
      </c>
      <c r="Q30" s="46">
        <f t="shared" si="7"/>
        <v>10536804.470000001</v>
      </c>
    </row>
    <row r="31" spans="1:17" ht="85.5" x14ac:dyDescent="0.25">
      <c r="A31" s="42"/>
      <c r="B31" s="47" t="s">
        <v>76</v>
      </c>
      <c r="C31" s="47"/>
      <c r="D31" s="52"/>
      <c r="E31" s="48"/>
      <c r="F31" s="48"/>
      <c r="G31" s="48"/>
      <c r="H31" s="46"/>
      <c r="I31" s="46"/>
      <c r="J31" s="46"/>
      <c r="K31" s="46">
        <f t="shared" si="2"/>
        <v>0</v>
      </c>
      <c r="L31" s="46">
        <f>L32+L33</f>
        <v>3660794.35</v>
      </c>
      <c r="M31" s="46">
        <f>M32+M33</f>
        <v>1246774.1200000001</v>
      </c>
      <c r="N31" s="46">
        <f t="shared" ref="N31" si="16">N32+N33</f>
        <v>2874051.1399999997</v>
      </c>
      <c r="O31" s="46">
        <f t="shared" si="6"/>
        <v>7781619.6100000003</v>
      </c>
      <c r="P31" s="46">
        <f t="shared" si="7"/>
        <v>7781619.6100000003</v>
      </c>
      <c r="Q31" s="46">
        <f t="shared" si="7"/>
        <v>7781619.6100000003</v>
      </c>
    </row>
    <row r="32" spans="1:17" ht="105" x14ac:dyDescent="0.25">
      <c r="A32" s="42"/>
      <c r="B32" s="44" t="s">
        <v>19</v>
      </c>
      <c r="C32" s="42" t="s">
        <v>0</v>
      </c>
      <c r="D32" s="50" t="s">
        <v>20</v>
      </c>
      <c r="E32" s="44" t="s">
        <v>41</v>
      </c>
      <c r="F32" s="44" t="s">
        <v>41</v>
      </c>
      <c r="G32" s="44" t="s">
        <v>41</v>
      </c>
      <c r="H32" s="46">
        <v>41608.51</v>
      </c>
      <c r="I32" s="46">
        <v>11762.02</v>
      </c>
      <c r="J32" s="46">
        <v>27113.69</v>
      </c>
      <c r="K32" s="46">
        <f t="shared" si="2"/>
        <v>80484.22</v>
      </c>
      <c r="L32" s="46">
        <f>E32*H32</f>
        <v>790561.69000000006</v>
      </c>
      <c r="M32" s="46">
        <f>E32*I32</f>
        <v>223478.38</v>
      </c>
      <c r="N32" s="46">
        <f>E32*J32</f>
        <v>515160.11</v>
      </c>
      <c r="O32" s="46">
        <f t="shared" si="6"/>
        <v>1529200.1800000002</v>
      </c>
      <c r="P32" s="46">
        <f t="shared" si="7"/>
        <v>1529200.1800000002</v>
      </c>
      <c r="Q32" s="46">
        <f t="shared" si="7"/>
        <v>1529200.1800000002</v>
      </c>
    </row>
    <row r="33" spans="1:17" ht="15" x14ac:dyDescent="0.25">
      <c r="A33" s="49"/>
      <c r="B33" s="44" t="s">
        <v>24</v>
      </c>
      <c r="C33" s="44"/>
      <c r="D33" s="44" t="s">
        <v>20</v>
      </c>
      <c r="E33" s="44" t="s">
        <v>42</v>
      </c>
      <c r="F33" s="44" t="s">
        <v>42</v>
      </c>
      <c r="G33" s="44" t="s">
        <v>42</v>
      </c>
      <c r="H33" s="46">
        <v>32991.18</v>
      </c>
      <c r="I33" s="46">
        <v>11762.02</v>
      </c>
      <c r="J33" s="46">
        <v>27113.69</v>
      </c>
      <c r="K33" s="46">
        <f t="shared" si="2"/>
        <v>71866.89</v>
      </c>
      <c r="L33" s="46">
        <f t="shared" si="3"/>
        <v>2870232.66</v>
      </c>
      <c r="M33" s="46">
        <f>E33*I33</f>
        <v>1023295.74</v>
      </c>
      <c r="N33" s="46">
        <f>E33*J33</f>
        <v>2358891.0299999998</v>
      </c>
      <c r="O33" s="46">
        <f t="shared" si="6"/>
        <v>6252419.4299999997</v>
      </c>
      <c r="P33" s="46">
        <f t="shared" si="7"/>
        <v>6252419.4299999997</v>
      </c>
      <c r="Q33" s="46">
        <f t="shared" si="7"/>
        <v>6252419.4299999997</v>
      </c>
    </row>
    <row r="34" spans="1:17" ht="15" hidden="1" x14ac:dyDescent="0.25">
      <c r="A34" s="44" t="s">
        <v>26</v>
      </c>
      <c r="B34" s="52"/>
      <c r="C34" s="52"/>
      <c r="D34" s="44" t="s">
        <v>20</v>
      </c>
      <c r="E34" s="44" t="s">
        <v>43</v>
      </c>
      <c r="F34" s="44" t="s">
        <v>43</v>
      </c>
      <c r="G34" s="44" t="s">
        <v>43</v>
      </c>
      <c r="H34" s="46"/>
      <c r="I34" s="46">
        <v>11762.02</v>
      </c>
      <c r="J34" s="46"/>
      <c r="K34" s="46">
        <f t="shared" si="2"/>
        <v>11762.02</v>
      </c>
      <c r="L34" s="46">
        <f t="shared" si="3"/>
        <v>0</v>
      </c>
      <c r="M34" s="46">
        <f t="shared" si="4"/>
        <v>1246774.1200000001</v>
      </c>
      <c r="N34" s="46">
        <f t="shared" si="5"/>
        <v>0</v>
      </c>
      <c r="O34" s="46">
        <f t="shared" si="6"/>
        <v>1246774.1200000001</v>
      </c>
      <c r="P34" s="46">
        <f t="shared" si="7"/>
        <v>1246774.1200000001</v>
      </c>
      <c r="Q34" s="46">
        <f t="shared" si="7"/>
        <v>1246774.1200000001</v>
      </c>
    </row>
    <row r="35" spans="1:17" ht="60" hidden="1" x14ac:dyDescent="0.25">
      <c r="A35" s="42" t="s">
        <v>33</v>
      </c>
      <c r="B35" s="52"/>
      <c r="C35" s="52"/>
      <c r="D35" s="50" t="s">
        <v>20</v>
      </c>
      <c r="E35" s="44" t="s">
        <v>43</v>
      </c>
      <c r="F35" s="44" t="s">
        <v>43</v>
      </c>
      <c r="G35" s="44" t="s">
        <v>43</v>
      </c>
      <c r="H35" s="46"/>
      <c r="I35" s="46"/>
      <c r="J35" s="46" t="s">
        <v>22</v>
      </c>
      <c r="K35" s="46">
        <f t="shared" si="2"/>
        <v>0</v>
      </c>
      <c r="L35" s="46">
        <f t="shared" si="3"/>
        <v>0</v>
      </c>
      <c r="M35" s="46">
        <f t="shared" si="4"/>
        <v>0</v>
      </c>
      <c r="N35" s="46">
        <f t="shared" si="5"/>
        <v>0</v>
      </c>
      <c r="O35" s="46">
        <f t="shared" si="6"/>
        <v>0</v>
      </c>
      <c r="P35" s="46">
        <f t="shared" si="7"/>
        <v>0</v>
      </c>
      <c r="Q35" s="46">
        <f t="shared" si="7"/>
        <v>0</v>
      </c>
    </row>
    <row r="36" spans="1:17" ht="15" x14ac:dyDescent="0.25">
      <c r="A36" s="44"/>
      <c r="B36" s="44" t="s">
        <v>28</v>
      </c>
      <c r="C36" s="44"/>
      <c r="D36" s="44" t="s">
        <v>20</v>
      </c>
      <c r="E36" s="44" t="s">
        <v>43</v>
      </c>
      <c r="F36" s="44" t="s">
        <v>43</v>
      </c>
      <c r="G36" s="44" t="s">
        <v>43</v>
      </c>
      <c r="H36" s="46" t="s">
        <v>23</v>
      </c>
      <c r="I36" s="46"/>
      <c r="J36" s="46">
        <v>25992.31</v>
      </c>
      <c r="K36" s="46">
        <f t="shared" si="2"/>
        <v>25992.31</v>
      </c>
      <c r="L36" s="46">
        <f t="shared" si="3"/>
        <v>0</v>
      </c>
      <c r="M36" s="46">
        <f t="shared" si="4"/>
        <v>0</v>
      </c>
      <c r="N36" s="46">
        <f>E36*J36</f>
        <v>2755184.8600000003</v>
      </c>
      <c r="O36" s="46">
        <f t="shared" si="6"/>
        <v>2755184.8600000003</v>
      </c>
      <c r="P36" s="46">
        <f t="shared" si="7"/>
        <v>2755184.8600000003</v>
      </c>
      <c r="Q36" s="46">
        <f t="shared" si="7"/>
        <v>2755184.8600000003</v>
      </c>
    </row>
    <row r="37" spans="1:17" ht="15" x14ac:dyDescent="0.25">
      <c r="A37" s="44" t="s">
        <v>44</v>
      </c>
      <c r="B37" s="52"/>
      <c r="C37" s="52"/>
      <c r="D37" s="52"/>
      <c r="E37" s="48"/>
      <c r="F37" s="48"/>
      <c r="G37" s="48"/>
      <c r="H37" s="46"/>
      <c r="I37" s="46"/>
      <c r="J37" s="46"/>
      <c r="K37" s="46">
        <f t="shared" si="2"/>
        <v>0</v>
      </c>
      <c r="L37" s="46">
        <f>L38+L44</f>
        <v>15084942.340000002</v>
      </c>
      <c r="M37" s="46">
        <f t="shared" ref="M37:N37" si="17">M38+M44</f>
        <v>2552358.3400000003</v>
      </c>
      <c r="N37" s="46">
        <f t="shared" si="17"/>
        <v>11524002</v>
      </c>
      <c r="O37" s="46">
        <f t="shared" ref="O37:Q37" si="18">O38+O44</f>
        <v>29161302.680000003</v>
      </c>
      <c r="P37" s="46">
        <f t="shared" si="18"/>
        <v>29161302.680000003</v>
      </c>
      <c r="Q37" s="46">
        <f t="shared" si="18"/>
        <v>29161302.680000003</v>
      </c>
    </row>
    <row r="38" spans="1:17" ht="85.5" x14ac:dyDescent="0.25">
      <c r="A38" s="42"/>
      <c r="B38" s="47" t="s">
        <v>76</v>
      </c>
      <c r="C38" s="47"/>
      <c r="D38" s="52"/>
      <c r="E38" s="48"/>
      <c r="F38" s="48"/>
      <c r="G38" s="48"/>
      <c r="H38" s="46"/>
      <c r="I38" s="46"/>
      <c r="J38" s="46"/>
      <c r="K38" s="46">
        <f t="shared" si="2"/>
        <v>0</v>
      </c>
      <c r="L38" s="46">
        <f>L39+L40+L41</f>
        <v>15084942.340000002</v>
      </c>
      <c r="M38" s="46">
        <f>M39+M40+M41</f>
        <v>2552358.3400000003</v>
      </c>
      <c r="N38" s="46">
        <f t="shared" ref="N38" si="19">N39+N40+N41</f>
        <v>5883670.7299999995</v>
      </c>
      <c r="O38" s="46">
        <f t="shared" si="6"/>
        <v>23520971.410000004</v>
      </c>
      <c r="P38" s="46">
        <f t="shared" si="7"/>
        <v>23520971.410000004</v>
      </c>
      <c r="Q38" s="46">
        <f t="shared" si="7"/>
        <v>23520971.410000004</v>
      </c>
    </row>
    <row r="39" spans="1:17" ht="105" x14ac:dyDescent="0.25">
      <c r="A39" s="42"/>
      <c r="B39" s="44" t="s">
        <v>19</v>
      </c>
      <c r="C39" s="42" t="s">
        <v>0</v>
      </c>
      <c r="D39" s="50" t="s">
        <v>20</v>
      </c>
      <c r="E39" s="44" t="s">
        <v>45</v>
      </c>
      <c r="F39" s="44" t="s">
        <v>45</v>
      </c>
      <c r="G39" s="44" t="s">
        <v>45</v>
      </c>
      <c r="H39" s="46">
        <v>41608.51</v>
      </c>
      <c r="I39" s="46">
        <v>11762.02</v>
      </c>
      <c r="J39" s="46">
        <v>27113.69</v>
      </c>
      <c r="K39" s="46">
        <f t="shared" si="2"/>
        <v>80484.22</v>
      </c>
      <c r="L39" s="46">
        <f>E39*H39</f>
        <v>2163642.52</v>
      </c>
      <c r="M39" s="46">
        <f>E39*I39</f>
        <v>611625.04</v>
      </c>
      <c r="N39" s="46">
        <f>E39*J39</f>
        <v>1409911.88</v>
      </c>
      <c r="O39" s="46">
        <f t="shared" si="6"/>
        <v>4185179.44</v>
      </c>
      <c r="P39" s="46">
        <f t="shared" si="7"/>
        <v>4185179.44</v>
      </c>
      <c r="Q39" s="46">
        <f t="shared" si="7"/>
        <v>4185179.44</v>
      </c>
    </row>
    <row r="40" spans="1:17" ht="15" x14ac:dyDescent="0.25">
      <c r="A40" s="49"/>
      <c r="B40" s="44" t="s">
        <v>24</v>
      </c>
      <c r="C40" s="44"/>
      <c r="D40" s="44" t="s">
        <v>20</v>
      </c>
      <c r="E40" s="44" t="s">
        <v>46</v>
      </c>
      <c r="F40" s="44" t="s">
        <v>46</v>
      </c>
      <c r="G40" s="44" t="s">
        <v>46</v>
      </c>
      <c r="H40" s="46">
        <v>32991.18</v>
      </c>
      <c r="I40" s="46">
        <v>11762.02</v>
      </c>
      <c r="J40" s="46">
        <v>27113.69</v>
      </c>
      <c r="K40" s="46">
        <f t="shared" si="2"/>
        <v>71866.89</v>
      </c>
      <c r="L40" s="46">
        <f t="shared" ref="L40:L41" si="20">E40*H40</f>
        <v>3068179.74</v>
      </c>
      <c r="M40" s="46">
        <f>E40*I40</f>
        <v>1093867.8600000001</v>
      </c>
      <c r="N40" s="46">
        <f t="shared" ref="N40:N41" si="21">E40*J40</f>
        <v>2521573.17</v>
      </c>
      <c r="O40" s="46">
        <f t="shared" si="6"/>
        <v>6683620.7700000005</v>
      </c>
      <c r="P40" s="46">
        <f t="shared" si="7"/>
        <v>6683620.7700000005</v>
      </c>
      <c r="Q40" s="46">
        <f t="shared" si="7"/>
        <v>6683620.7700000005</v>
      </c>
    </row>
    <row r="41" spans="1:17" ht="105" x14ac:dyDescent="0.25">
      <c r="A41" s="42"/>
      <c r="B41" s="52"/>
      <c r="C41" s="42" t="s">
        <v>38</v>
      </c>
      <c r="D41" s="50" t="s">
        <v>20</v>
      </c>
      <c r="E41" s="44" t="s">
        <v>47</v>
      </c>
      <c r="F41" s="44" t="s">
        <v>47</v>
      </c>
      <c r="G41" s="44" t="s">
        <v>47</v>
      </c>
      <c r="H41" s="46">
        <v>136848.89000000001</v>
      </c>
      <c r="I41" s="46">
        <v>11762.02</v>
      </c>
      <c r="J41" s="46">
        <v>27113.69</v>
      </c>
      <c r="K41" s="46">
        <f t="shared" si="2"/>
        <v>175724.6</v>
      </c>
      <c r="L41" s="46">
        <f t="shared" si="20"/>
        <v>9853120.0800000019</v>
      </c>
      <c r="M41" s="46">
        <f>E41*I41</f>
        <v>846865.44000000006</v>
      </c>
      <c r="N41" s="46">
        <f t="shared" si="21"/>
        <v>1952185.68</v>
      </c>
      <c r="O41" s="46">
        <f t="shared" si="6"/>
        <v>12652171.200000001</v>
      </c>
      <c r="P41" s="46">
        <f t="shared" si="7"/>
        <v>12652171.200000001</v>
      </c>
      <c r="Q41" s="46">
        <f t="shared" si="7"/>
        <v>12652171.200000001</v>
      </c>
    </row>
    <row r="42" spans="1:17" ht="15" hidden="1" x14ac:dyDescent="0.25">
      <c r="A42" s="44" t="s">
        <v>26</v>
      </c>
      <c r="B42" s="52"/>
      <c r="C42" s="52"/>
      <c r="D42" s="44" t="s">
        <v>20</v>
      </c>
      <c r="E42" s="44" t="s">
        <v>48</v>
      </c>
      <c r="F42" s="44" t="s">
        <v>48</v>
      </c>
      <c r="G42" s="44" t="s">
        <v>48</v>
      </c>
      <c r="H42" s="46"/>
      <c r="I42" s="46">
        <v>11762.02</v>
      </c>
      <c r="J42" s="46"/>
      <c r="K42" s="46">
        <f t="shared" si="2"/>
        <v>11762.02</v>
      </c>
      <c r="L42" s="46">
        <f t="shared" si="3"/>
        <v>0</v>
      </c>
      <c r="M42" s="46">
        <f t="shared" si="4"/>
        <v>2552358.3400000003</v>
      </c>
      <c r="N42" s="46">
        <f t="shared" si="5"/>
        <v>0</v>
      </c>
      <c r="O42" s="46">
        <f t="shared" si="6"/>
        <v>2552358.3400000003</v>
      </c>
      <c r="P42" s="46">
        <f t="shared" si="7"/>
        <v>2552358.3400000003</v>
      </c>
      <c r="Q42" s="46">
        <f t="shared" si="7"/>
        <v>2552358.3400000003</v>
      </c>
    </row>
    <row r="43" spans="1:17" ht="75" hidden="1" x14ac:dyDescent="0.25">
      <c r="A43" s="42" t="s">
        <v>77</v>
      </c>
      <c r="B43" s="52"/>
      <c r="C43" s="52"/>
      <c r="D43" s="50" t="s">
        <v>20</v>
      </c>
      <c r="E43" s="44" t="s">
        <v>48</v>
      </c>
      <c r="F43" s="44" t="s">
        <v>48</v>
      </c>
      <c r="G43" s="44" t="s">
        <v>48</v>
      </c>
      <c r="H43" s="46"/>
      <c r="I43" s="46"/>
      <c r="J43" s="46" t="s">
        <v>22</v>
      </c>
      <c r="K43" s="46">
        <f t="shared" si="2"/>
        <v>0</v>
      </c>
      <c r="L43" s="46">
        <f t="shared" si="3"/>
        <v>0</v>
      </c>
      <c r="M43" s="46">
        <f t="shared" si="4"/>
        <v>0</v>
      </c>
      <c r="N43" s="46">
        <f t="shared" si="5"/>
        <v>0</v>
      </c>
      <c r="O43" s="46">
        <f t="shared" si="6"/>
        <v>0</v>
      </c>
      <c r="P43" s="46">
        <f t="shared" si="7"/>
        <v>0</v>
      </c>
      <c r="Q43" s="46">
        <f t="shared" si="7"/>
        <v>0</v>
      </c>
    </row>
    <row r="44" spans="1:17" ht="15" x14ac:dyDescent="0.25">
      <c r="A44" s="44"/>
      <c r="B44" s="44" t="s">
        <v>28</v>
      </c>
      <c r="C44" s="44"/>
      <c r="D44" s="44" t="s">
        <v>20</v>
      </c>
      <c r="E44" s="44" t="s">
        <v>48</v>
      </c>
      <c r="F44" s="44" t="s">
        <v>48</v>
      </c>
      <c r="G44" s="44" t="s">
        <v>48</v>
      </c>
      <c r="H44" s="46" t="s">
        <v>23</v>
      </c>
      <c r="I44" s="46"/>
      <c r="J44" s="46">
        <v>25992.31</v>
      </c>
      <c r="K44" s="46">
        <f t="shared" si="2"/>
        <v>25992.31</v>
      </c>
      <c r="L44" s="46">
        <f t="shared" si="3"/>
        <v>0</v>
      </c>
      <c r="M44" s="46">
        <f t="shared" si="4"/>
        <v>0</v>
      </c>
      <c r="N44" s="46">
        <f t="shared" si="5"/>
        <v>5640331.2700000005</v>
      </c>
      <c r="O44" s="46">
        <f t="shared" si="6"/>
        <v>5640331.2700000005</v>
      </c>
      <c r="P44" s="46">
        <f t="shared" si="7"/>
        <v>5640331.2700000005</v>
      </c>
      <c r="Q44" s="46">
        <f t="shared" si="7"/>
        <v>5640331.2700000005</v>
      </c>
    </row>
    <row r="45" spans="1:17" ht="15" x14ac:dyDescent="0.25">
      <c r="A45" s="44" t="s">
        <v>49</v>
      </c>
      <c r="B45" s="52"/>
      <c r="C45" s="52"/>
      <c r="D45" s="52"/>
      <c r="E45" s="48"/>
      <c r="F45" s="48"/>
      <c r="G45" s="48"/>
      <c r="H45" s="46"/>
      <c r="I45" s="46"/>
      <c r="J45" s="46"/>
      <c r="K45" s="46">
        <f t="shared" si="2"/>
        <v>0</v>
      </c>
      <c r="L45" s="46">
        <f>L46+L51</f>
        <v>3744011.37</v>
      </c>
      <c r="M45" s="46">
        <f t="shared" ref="M45:N45" si="22">M46+M51</f>
        <v>1270298.1599999999</v>
      </c>
      <c r="N45" s="46">
        <f t="shared" si="22"/>
        <v>5735448</v>
      </c>
      <c r="O45" s="46">
        <f t="shared" si="6"/>
        <v>10749757.530000001</v>
      </c>
      <c r="P45" s="46">
        <f t="shared" si="7"/>
        <v>10749757.530000001</v>
      </c>
      <c r="Q45" s="46">
        <f t="shared" si="7"/>
        <v>10749757.530000001</v>
      </c>
    </row>
    <row r="46" spans="1:17" ht="85.5" x14ac:dyDescent="0.25">
      <c r="A46" s="42"/>
      <c r="B46" s="47" t="s">
        <v>76</v>
      </c>
      <c r="C46" s="47"/>
      <c r="D46" s="52"/>
      <c r="E46" s="48"/>
      <c r="F46" s="48"/>
      <c r="G46" s="48"/>
      <c r="H46" s="46"/>
      <c r="I46" s="46"/>
      <c r="J46" s="46"/>
      <c r="K46" s="46">
        <f t="shared" si="2"/>
        <v>0</v>
      </c>
      <c r="L46" s="46">
        <f>L47+L48</f>
        <v>3744011.37</v>
      </c>
      <c r="M46" s="46">
        <f t="shared" ref="M46:N46" si="23">M47+M48</f>
        <v>1270298.1599999999</v>
      </c>
      <c r="N46" s="46">
        <f t="shared" si="23"/>
        <v>2928278.5199999996</v>
      </c>
      <c r="O46" s="46">
        <f t="shared" si="6"/>
        <v>7942588.0499999998</v>
      </c>
      <c r="P46" s="46">
        <f t="shared" si="7"/>
        <v>7942588.0499999998</v>
      </c>
      <c r="Q46" s="46">
        <f t="shared" si="7"/>
        <v>7942588.0499999998</v>
      </c>
    </row>
    <row r="47" spans="1:17" ht="105" x14ac:dyDescent="0.25">
      <c r="A47" s="42"/>
      <c r="B47" s="44" t="s">
        <v>19</v>
      </c>
      <c r="C47" s="42" t="s">
        <v>0</v>
      </c>
      <c r="D47" s="50" t="s">
        <v>20</v>
      </c>
      <c r="E47" s="44" t="s">
        <v>50</v>
      </c>
      <c r="F47" s="44" t="s">
        <v>50</v>
      </c>
      <c r="G47" s="44" t="s">
        <v>50</v>
      </c>
      <c r="H47" s="46">
        <v>41608.51</v>
      </c>
      <c r="I47" s="46">
        <v>11762.02</v>
      </c>
      <c r="J47" s="46">
        <v>27113.69</v>
      </c>
      <c r="K47" s="46">
        <f t="shared" si="2"/>
        <v>80484.22</v>
      </c>
      <c r="L47" s="46">
        <f>E47*H47</f>
        <v>873778.71000000008</v>
      </c>
      <c r="M47" s="46">
        <f>E47*I47</f>
        <v>247002.42</v>
      </c>
      <c r="N47" s="46">
        <f>E47*J47</f>
        <v>569387.49</v>
      </c>
      <c r="O47" s="46">
        <f t="shared" si="6"/>
        <v>1690168.62</v>
      </c>
      <c r="P47" s="46">
        <f t="shared" si="7"/>
        <v>1690168.62</v>
      </c>
      <c r="Q47" s="46">
        <f t="shared" si="7"/>
        <v>1690168.62</v>
      </c>
    </row>
    <row r="48" spans="1:17" ht="15" x14ac:dyDescent="0.25">
      <c r="A48" s="49"/>
      <c r="B48" s="44" t="s">
        <v>24</v>
      </c>
      <c r="C48" s="44"/>
      <c r="D48" s="44" t="s">
        <v>20</v>
      </c>
      <c r="E48" s="44" t="s">
        <v>42</v>
      </c>
      <c r="F48" s="44" t="s">
        <v>42</v>
      </c>
      <c r="G48" s="44" t="s">
        <v>42</v>
      </c>
      <c r="H48" s="46">
        <v>32991.18</v>
      </c>
      <c r="I48" s="46">
        <v>11762.02</v>
      </c>
      <c r="J48" s="46">
        <v>27113.69</v>
      </c>
      <c r="K48" s="46">
        <f t="shared" si="2"/>
        <v>71866.89</v>
      </c>
      <c r="L48" s="46">
        <f>E48*H48</f>
        <v>2870232.66</v>
      </c>
      <c r="M48" s="46">
        <f>E48*I48</f>
        <v>1023295.74</v>
      </c>
      <c r="N48" s="46">
        <f>E48*J48</f>
        <v>2358891.0299999998</v>
      </c>
      <c r="O48" s="46">
        <f t="shared" si="6"/>
        <v>6252419.4299999997</v>
      </c>
      <c r="P48" s="46">
        <f t="shared" si="7"/>
        <v>6252419.4299999997</v>
      </c>
      <c r="Q48" s="46">
        <f t="shared" si="7"/>
        <v>6252419.4299999997</v>
      </c>
    </row>
    <row r="49" spans="1:17" ht="15" hidden="1" x14ac:dyDescent="0.25">
      <c r="A49" s="44" t="s">
        <v>51</v>
      </c>
      <c r="B49" s="52"/>
      <c r="C49" s="52"/>
      <c r="D49" s="52"/>
      <c r="E49" s="44" t="s">
        <v>52</v>
      </c>
      <c r="F49" s="44" t="s">
        <v>52</v>
      </c>
      <c r="G49" s="44" t="s">
        <v>52</v>
      </c>
      <c r="H49" s="46"/>
      <c r="I49" s="46">
        <v>11762.02</v>
      </c>
      <c r="J49" s="46"/>
      <c r="K49" s="46">
        <f t="shared" si="2"/>
        <v>11762.02</v>
      </c>
      <c r="L49" s="46">
        <f t="shared" si="3"/>
        <v>0</v>
      </c>
      <c r="M49" s="46">
        <f t="shared" si="4"/>
        <v>1270298.1600000001</v>
      </c>
      <c r="N49" s="46">
        <f t="shared" si="5"/>
        <v>0</v>
      </c>
      <c r="O49" s="46">
        <f t="shared" si="6"/>
        <v>1270298.1600000001</v>
      </c>
      <c r="P49" s="46">
        <f t="shared" si="7"/>
        <v>1270298.1600000001</v>
      </c>
      <c r="Q49" s="46">
        <f t="shared" si="7"/>
        <v>1270298.1600000001</v>
      </c>
    </row>
    <row r="50" spans="1:17" ht="60" hidden="1" x14ac:dyDescent="0.25">
      <c r="A50" s="42" t="s">
        <v>33</v>
      </c>
      <c r="B50" s="52"/>
      <c r="C50" s="52"/>
      <c r="D50" s="52"/>
      <c r="E50" s="44" t="s">
        <v>52</v>
      </c>
      <c r="F50" s="44" t="s">
        <v>52</v>
      </c>
      <c r="G50" s="44" t="s">
        <v>52</v>
      </c>
      <c r="H50" s="46"/>
      <c r="I50" s="46"/>
      <c r="J50" s="46" t="s">
        <v>22</v>
      </c>
      <c r="K50" s="46">
        <f t="shared" si="2"/>
        <v>0</v>
      </c>
      <c r="L50" s="46">
        <f t="shared" si="3"/>
        <v>0</v>
      </c>
      <c r="M50" s="46">
        <f t="shared" si="4"/>
        <v>0</v>
      </c>
      <c r="N50" s="46">
        <f t="shared" si="5"/>
        <v>0</v>
      </c>
      <c r="O50" s="46">
        <f t="shared" si="6"/>
        <v>0</v>
      </c>
      <c r="P50" s="46">
        <f t="shared" si="7"/>
        <v>0</v>
      </c>
      <c r="Q50" s="46">
        <f t="shared" si="7"/>
        <v>0</v>
      </c>
    </row>
    <row r="51" spans="1:17" ht="15" x14ac:dyDescent="0.25">
      <c r="A51" s="44"/>
      <c r="B51" s="44" t="s">
        <v>28</v>
      </c>
      <c r="C51" s="44"/>
      <c r="D51" s="44" t="s">
        <v>20</v>
      </c>
      <c r="E51" s="44" t="s">
        <v>52</v>
      </c>
      <c r="F51" s="44" t="s">
        <v>52</v>
      </c>
      <c r="G51" s="44" t="s">
        <v>52</v>
      </c>
      <c r="H51" s="46" t="s">
        <v>23</v>
      </c>
      <c r="I51" s="46"/>
      <c r="J51" s="46">
        <v>25992.31</v>
      </c>
      <c r="K51" s="46">
        <f t="shared" si="2"/>
        <v>25992.31</v>
      </c>
      <c r="L51" s="46">
        <f t="shared" si="3"/>
        <v>0</v>
      </c>
      <c r="M51" s="46">
        <f t="shared" si="4"/>
        <v>0</v>
      </c>
      <c r="N51" s="46">
        <f t="shared" si="5"/>
        <v>2807169.48</v>
      </c>
      <c r="O51" s="46">
        <f t="shared" si="6"/>
        <v>2807169.48</v>
      </c>
      <c r="P51" s="46">
        <f t="shared" si="7"/>
        <v>2807169.48</v>
      </c>
      <c r="Q51" s="46">
        <f t="shared" si="7"/>
        <v>2807169.48</v>
      </c>
    </row>
    <row r="52" spans="1:17" ht="15" x14ac:dyDescent="0.25">
      <c r="A52" s="44" t="s">
        <v>53</v>
      </c>
      <c r="B52" s="52"/>
      <c r="C52" s="52"/>
      <c r="D52" s="52"/>
      <c r="E52" s="48"/>
      <c r="F52" s="48"/>
      <c r="G52" s="48"/>
      <c r="H52" s="46"/>
      <c r="I52" s="46"/>
      <c r="J52" s="46"/>
      <c r="K52" s="46">
        <f t="shared" si="2"/>
        <v>0</v>
      </c>
      <c r="L52" s="46">
        <f>L53+L58</f>
        <v>5301987.53</v>
      </c>
      <c r="M52" s="46">
        <f t="shared" ref="M52:N52" si="24">M53+M58</f>
        <v>1764303</v>
      </c>
      <c r="N52" s="46">
        <f t="shared" si="24"/>
        <v>7965900</v>
      </c>
      <c r="O52" s="46">
        <f t="shared" si="6"/>
        <v>15032190.530000001</v>
      </c>
      <c r="P52" s="46">
        <f t="shared" si="7"/>
        <v>15032190.530000001</v>
      </c>
      <c r="Q52" s="46">
        <f t="shared" si="7"/>
        <v>15032190.530000001</v>
      </c>
    </row>
    <row r="53" spans="1:17" ht="85.5" x14ac:dyDescent="0.25">
      <c r="A53" s="42"/>
      <c r="B53" s="47" t="s">
        <v>76</v>
      </c>
      <c r="C53" s="47"/>
      <c r="D53" s="52"/>
      <c r="E53" s="48"/>
      <c r="F53" s="48"/>
      <c r="G53" s="48"/>
      <c r="H53" s="46"/>
      <c r="I53" s="46"/>
      <c r="J53" s="46"/>
      <c r="K53" s="46">
        <f t="shared" si="2"/>
        <v>0</v>
      </c>
      <c r="L53" s="46">
        <f>L54+L55</f>
        <v>5301987.53</v>
      </c>
      <c r="M53" s="46">
        <f t="shared" ref="M53:N53" si="25">M54+M55</f>
        <v>1764303</v>
      </c>
      <c r="N53" s="46">
        <f t="shared" si="25"/>
        <v>4067053.5</v>
      </c>
      <c r="O53" s="46">
        <f t="shared" si="6"/>
        <v>11133344.030000001</v>
      </c>
      <c r="P53" s="46">
        <f t="shared" si="7"/>
        <v>11133344.030000001</v>
      </c>
      <c r="Q53" s="46">
        <f t="shared" si="7"/>
        <v>11133344.030000001</v>
      </c>
    </row>
    <row r="54" spans="1:17" ht="105" x14ac:dyDescent="0.25">
      <c r="A54" s="42"/>
      <c r="B54" s="44" t="s">
        <v>19</v>
      </c>
      <c r="C54" s="42" t="s">
        <v>0</v>
      </c>
      <c r="D54" s="50" t="s">
        <v>20</v>
      </c>
      <c r="E54" s="44" t="s">
        <v>54</v>
      </c>
      <c r="F54" s="44" t="s">
        <v>54</v>
      </c>
      <c r="G54" s="44" t="s">
        <v>54</v>
      </c>
      <c r="H54" s="46">
        <v>41608.51</v>
      </c>
      <c r="I54" s="46">
        <v>11762.02</v>
      </c>
      <c r="J54" s="46">
        <v>27113.69</v>
      </c>
      <c r="K54" s="46">
        <f t="shared" si="2"/>
        <v>80484.22</v>
      </c>
      <c r="L54" s="46">
        <f>E54*H54</f>
        <v>1705948.9100000001</v>
      </c>
      <c r="M54" s="46">
        <f>E54*I54</f>
        <v>482242.82</v>
      </c>
      <c r="N54" s="46">
        <f>E54*J54</f>
        <v>1111661.29</v>
      </c>
      <c r="O54" s="46">
        <f t="shared" si="6"/>
        <v>3299853.02</v>
      </c>
      <c r="P54" s="46">
        <f t="shared" si="7"/>
        <v>3299853.02</v>
      </c>
      <c r="Q54" s="46">
        <f t="shared" si="7"/>
        <v>3299853.02</v>
      </c>
    </row>
    <row r="55" spans="1:17" ht="15" x14ac:dyDescent="0.25">
      <c r="A55" s="49"/>
      <c r="B55" s="44" t="s">
        <v>24</v>
      </c>
      <c r="C55" s="44"/>
      <c r="D55" s="44" t="s">
        <v>20</v>
      </c>
      <c r="E55" s="44" t="s">
        <v>55</v>
      </c>
      <c r="F55" s="44" t="s">
        <v>55</v>
      </c>
      <c r="G55" s="44" t="s">
        <v>55</v>
      </c>
      <c r="H55" s="46">
        <v>32991.18</v>
      </c>
      <c r="I55" s="46">
        <v>11762.02</v>
      </c>
      <c r="J55" s="46">
        <v>27113.69</v>
      </c>
      <c r="K55" s="46">
        <f t="shared" si="2"/>
        <v>71866.89</v>
      </c>
      <c r="L55" s="46">
        <f>E55*H55</f>
        <v>3596038.62</v>
      </c>
      <c r="M55" s="46">
        <f>E55*I55</f>
        <v>1282060.18</v>
      </c>
      <c r="N55" s="46">
        <f>E55*J55</f>
        <v>2955392.21</v>
      </c>
      <c r="O55" s="46">
        <f t="shared" si="6"/>
        <v>7833491.0099999998</v>
      </c>
      <c r="P55" s="46">
        <f t="shared" si="7"/>
        <v>7833491.0099999998</v>
      </c>
      <c r="Q55" s="46">
        <f t="shared" si="7"/>
        <v>7833491.0099999998</v>
      </c>
    </row>
    <row r="56" spans="1:17" ht="15" hidden="1" x14ac:dyDescent="0.25">
      <c r="A56" s="44" t="s">
        <v>51</v>
      </c>
      <c r="B56" s="52"/>
      <c r="C56" s="52"/>
      <c r="D56" s="44" t="s">
        <v>20</v>
      </c>
      <c r="E56" s="44" t="s">
        <v>56</v>
      </c>
      <c r="F56" s="44" t="s">
        <v>56</v>
      </c>
      <c r="G56" s="44" t="s">
        <v>56</v>
      </c>
      <c r="H56" s="46"/>
      <c r="I56" s="46">
        <v>11762.02</v>
      </c>
      <c r="J56" s="46"/>
      <c r="K56" s="46">
        <f t="shared" si="2"/>
        <v>11762.02</v>
      </c>
      <c r="L56" s="46">
        <f t="shared" si="3"/>
        <v>0</v>
      </c>
      <c r="M56" s="46">
        <f t="shared" si="4"/>
        <v>1764303</v>
      </c>
      <c r="N56" s="46">
        <f t="shared" si="5"/>
        <v>0</v>
      </c>
      <c r="O56" s="46">
        <f t="shared" si="6"/>
        <v>1764303</v>
      </c>
      <c r="P56" s="46">
        <f t="shared" si="7"/>
        <v>1764303</v>
      </c>
      <c r="Q56" s="46">
        <f t="shared" si="7"/>
        <v>1764303</v>
      </c>
    </row>
    <row r="57" spans="1:17" ht="75" hidden="1" x14ac:dyDescent="0.25">
      <c r="A57" s="42" t="s">
        <v>77</v>
      </c>
      <c r="B57" s="52"/>
      <c r="C57" s="52"/>
      <c r="D57" s="50" t="s">
        <v>20</v>
      </c>
      <c r="E57" s="44" t="s">
        <v>56</v>
      </c>
      <c r="F57" s="44" t="s">
        <v>56</v>
      </c>
      <c r="G57" s="44" t="s">
        <v>56</v>
      </c>
      <c r="H57" s="46"/>
      <c r="I57" s="46"/>
      <c r="J57" s="46" t="s">
        <v>22</v>
      </c>
      <c r="K57" s="46">
        <f t="shared" si="2"/>
        <v>0</v>
      </c>
      <c r="L57" s="46">
        <f t="shared" si="3"/>
        <v>0</v>
      </c>
      <c r="M57" s="46">
        <f t="shared" si="4"/>
        <v>0</v>
      </c>
      <c r="N57" s="46">
        <f t="shared" si="5"/>
        <v>0</v>
      </c>
      <c r="O57" s="46">
        <f t="shared" si="6"/>
        <v>0</v>
      </c>
      <c r="P57" s="46">
        <f t="shared" si="7"/>
        <v>0</v>
      </c>
      <c r="Q57" s="46">
        <f t="shared" si="7"/>
        <v>0</v>
      </c>
    </row>
    <row r="58" spans="1:17" ht="15" x14ac:dyDescent="0.25">
      <c r="A58" s="44"/>
      <c r="B58" s="44" t="s">
        <v>28</v>
      </c>
      <c r="C58" s="44"/>
      <c r="D58" s="44" t="s">
        <v>20</v>
      </c>
      <c r="E58" s="44" t="s">
        <v>56</v>
      </c>
      <c r="F58" s="44" t="s">
        <v>56</v>
      </c>
      <c r="G58" s="44" t="s">
        <v>56</v>
      </c>
      <c r="H58" s="46" t="s">
        <v>23</v>
      </c>
      <c r="I58" s="46"/>
      <c r="J58" s="46">
        <v>25992.31</v>
      </c>
      <c r="K58" s="46">
        <f t="shared" si="2"/>
        <v>25992.31</v>
      </c>
      <c r="L58" s="46">
        <f t="shared" si="3"/>
        <v>0</v>
      </c>
      <c r="M58" s="46">
        <f t="shared" si="4"/>
        <v>0</v>
      </c>
      <c r="N58" s="46">
        <f t="shared" si="5"/>
        <v>3898846.5</v>
      </c>
      <c r="O58" s="46">
        <f t="shared" si="6"/>
        <v>3898846.5</v>
      </c>
      <c r="P58" s="46">
        <f t="shared" si="7"/>
        <v>3898846.5</v>
      </c>
      <c r="Q58" s="46">
        <f t="shared" si="7"/>
        <v>3898846.5</v>
      </c>
    </row>
    <row r="59" spans="1:17" ht="15" x14ac:dyDescent="0.25">
      <c r="A59" s="44" t="s">
        <v>57</v>
      </c>
      <c r="B59" s="52"/>
      <c r="C59" s="52"/>
      <c r="D59" s="52"/>
      <c r="E59" s="48"/>
      <c r="F59" s="48"/>
      <c r="G59" s="48"/>
      <c r="H59" s="46"/>
      <c r="I59" s="46"/>
      <c r="J59" s="46"/>
      <c r="K59" s="46">
        <f t="shared" si="2"/>
        <v>0</v>
      </c>
      <c r="L59" s="46">
        <f>L60+L66</f>
        <v>4025136.4800000004</v>
      </c>
      <c r="M59" s="46">
        <f t="shared" ref="M59:N59" si="26">M60+M66</f>
        <v>1329108.2600000002</v>
      </c>
      <c r="N59" s="46">
        <f t="shared" si="26"/>
        <v>6000976.8700000001</v>
      </c>
      <c r="O59" s="46">
        <f t="shared" si="6"/>
        <v>11355221.609999999</v>
      </c>
      <c r="P59" s="46">
        <f t="shared" si="7"/>
        <v>11355221.609999999</v>
      </c>
      <c r="Q59" s="46">
        <f t="shared" si="7"/>
        <v>11355221.609999999</v>
      </c>
    </row>
    <row r="60" spans="1:17" ht="85.5" x14ac:dyDescent="0.25">
      <c r="A60" s="42"/>
      <c r="B60" s="47" t="s">
        <v>76</v>
      </c>
      <c r="C60" s="47"/>
      <c r="D60" s="52"/>
      <c r="E60" s="48"/>
      <c r="F60" s="48"/>
      <c r="G60" s="48"/>
      <c r="H60" s="46"/>
      <c r="I60" s="46"/>
      <c r="J60" s="46"/>
      <c r="K60" s="46">
        <f t="shared" si="2"/>
        <v>0</v>
      </c>
      <c r="L60" s="46">
        <f>L61+L62+L63</f>
        <v>4025136.4800000004</v>
      </c>
      <c r="M60" s="46">
        <f t="shared" ref="M60:N60" si="27">M61+M62+M63</f>
        <v>1329108.2600000002</v>
      </c>
      <c r="N60" s="46">
        <f t="shared" si="27"/>
        <v>3063845.84</v>
      </c>
      <c r="O60" s="46">
        <f t="shared" si="6"/>
        <v>8418090.5800000001</v>
      </c>
      <c r="P60" s="46">
        <f t="shared" si="7"/>
        <v>8418090.5800000001</v>
      </c>
      <c r="Q60" s="46">
        <f t="shared" si="7"/>
        <v>8418090.5800000001</v>
      </c>
    </row>
    <row r="61" spans="1:17" ht="105" x14ac:dyDescent="0.25">
      <c r="A61" s="42"/>
      <c r="B61" s="44" t="s">
        <v>19</v>
      </c>
      <c r="C61" s="42" t="s">
        <v>0</v>
      </c>
      <c r="D61" s="50" t="s">
        <v>20</v>
      </c>
      <c r="E61" s="44" t="s">
        <v>58</v>
      </c>
      <c r="F61" s="44" t="s">
        <v>58</v>
      </c>
      <c r="G61" s="44" t="s">
        <v>58</v>
      </c>
      <c r="H61" s="46">
        <v>41608.51</v>
      </c>
      <c r="I61" s="46">
        <v>11762.02</v>
      </c>
      <c r="J61" s="46" t="s">
        <v>82</v>
      </c>
      <c r="K61" s="46">
        <f t="shared" si="2"/>
        <v>80484.209999999992</v>
      </c>
      <c r="L61" s="46">
        <f>E61*H61</f>
        <v>748953.18</v>
      </c>
      <c r="M61" s="46">
        <f>E61*I61</f>
        <v>211716.36000000002</v>
      </c>
      <c r="N61" s="46">
        <f>E61*J61</f>
        <v>488046.24</v>
      </c>
      <c r="O61" s="46">
        <f t="shared" si="6"/>
        <v>1448715.78</v>
      </c>
      <c r="P61" s="46">
        <f t="shared" si="7"/>
        <v>1448715.78</v>
      </c>
      <c r="Q61" s="46">
        <f t="shared" si="7"/>
        <v>1448715.78</v>
      </c>
    </row>
    <row r="62" spans="1:17" ht="15" x14ac:dyDescent="0.25">
      <c r="A62" s="49"/>
      <c r="B62" s="44" t="s">
        <v>24</v>
      </c>
      <c r="C62" s="44"/>
      <c r="D62" s="44" t="s">
        <v>20</v>
      </c>
      <c r="E62" s="44" t="s">
        <v>59</v>
      </c>
      <c r="F62" s="44" t="s">
        <v>59</v>
      </c>
      <c r="G62" s="44" t="s">
        <v>59</v>
      </c>
      <c r="H62" s="46">
        <v>32991.18</v>
      </c>
      <c r="I62" s="46">
        <v>11762.02</v>
      </c>
      <c r="J62" s="46" t="s">
        <v>82</v>
      </c>
      <c r="K62" s="46">
        <f t="shared" si="2"/>
        <v>71866.880000000005</v>
      </c>
      <c r="L62" s="46">
        <f t="shared" ref="L62:L63" si="28">E62*H62</f>
        <v>3134162.1</v>
      </c>
      <c r="M62" s="46">
        <f t="shared" ref="M62:M63" si="29">E62*I62</f>
        <v>1117391.9000000001</v>
      </c>
      <c r="N62" s="46">
        <f t="shared" ref="N62:N63" si="30">E62*J62</f>
        <v>2575799.6</v>
      </c>
      <c r="O62" s="46">
        <f t="shared" si="6"/>
        <v>6827353.5999999996</v>
      </c>
      <c r="P62" s="46">
        <f t="shared" si="7"/>
        <v>6827353.5999999996</v>
      </c>
      <c r="Q62" s="46">
        <f t="shared" si="7"/>
        <v>6827353.5999999996</v>
      </c>
    </row>
    <row r="63" spans="1:17" ht="75" x14ac:dyDescent="0.25">
      <c r="A63" s="42"/>
      <c r="B63" s="52"/>
      <c r="C63" s="42" t="s">
        <v>78</v>
      </c>
      <c r="D63" s="50" t="s">
        <v>20</v>
      </c>
      <c r="E63" s="44" t="s">
        <v>59</v>
      </c>
      <c r="F63" s="44" t="s">
        <v>59</v>
      </c>
      <c r="G63" s="44" t="s">
        <v>59</v>
      </c>
      <c r="H63" s="46">
        <v>1494.96</v>
      </c>
      <c r="I63" s="46"/>
      <c r="J63" s="46"/>
      <c r="K63" s="46">
        <f t="shared" si="2"/>
        <v>1494.96</v>
      </c>
      <c r="L63" s="46">
        <f t="shared" si="28"/>
        <v>142021.20000000001</v>
      </c>
      <c r="M63" s="46">
        <f t="shared" si="29"/>
        <v>0</v>
      </c>
      <c r="N63" s="46">
        <f t="shared" si="30"/>
        <v>0</v>
      </c>
      <c r="O63" s="46">
        <f t="shared" si="6"/>
        <v>142021.20000000001</v>
      </c>
      <c r="P63" s="46">
        <f t="shared" si="7"/>
        <v>142021.20000000001</v>
      </c>
      <c r="Q63" s="46">
        <f t="shared" si="7"/>
        <v>142021.20000000001</v>
      </c>
    </row>
    <row r="64" spans="1:17" ht="15" hidden="1" x14ac:dyDescent="0.25">
      <c r="A64" s="44" t="s">
        <v>26</v>
      </c>
      <c r="B64" s="52"/>
      <c r="C64" s="52"/>
      <c r="D64" s="44" t="s">
        <v>20</v>
      </c>
      <c r="E64" s="44" t="s">
        <v>60</v>
      </c>
      <c r="F64" s="44" t="s">
        <v>60</v>
      </c>
      <c r="G64" s="44" t="s">
        <v>60</v>
      </c>
      <c r="H64" s="46"/>
      <c r="I64" s="46"/>
      <c r="J64" s="46"/>
      <c r="K64" s="46">
        <f t="shared" si="2"/>
        <v>0</v>
      </c>
      <c r="L64" s="46">
        <f t="shared" si="3"/>
        <v>0</v>
      </c>
      <c r="M64" s="46">
        <f t="shared" si="4"/>
        <v>0</v>
      </c>
      <c r="N64" s="46">
        <f t="shared" si="5"/>
        <v>0</v>
      </c>
      <c r="O64" s="46">
        <f t="shared" si="6"/>
        <v>0</v>
      </c>
      <c r="P64" s="46">
        <f t="shared" si="7"/>
        <v>0</v>
      </c>
      <c r="Q64" s="46">
        <f t="shared" si="7"/>
        <v>0</v>
      </c>
    </row>
    <row r="65" spans="1:17" ht="75" hidden="1" x14ac:dyDescent="0.25">
      <c r="A65" s="42" t="s">
        <v>77</v>
      </c>
      <c r="B65" s="52"/>
      <c r="C65" s="52"/>
      <c r="D65" s="50" t="s">
        <v>20</v>
      </c>
      <c r="E65" s="44" t="s">
        <v>60</v>
      </c>
      <c r="F65" s="44" t="s">
        <v>60</v>
      </c>
      <c r="G65" s="44" t="s">
        <v>60</v>
      </c>
      <c r="H65" s="46"/>
      <c r="I65" s="46"/>
      <c r="J65" s="46" t="s">
        <v>22</v>
      </c>
      <c r="K65" s="46">
        <f t="shared" si="2"/>
        <v>0</v>
      </c>
      <c r="L65" s="46">
        <f t="shared" si="3"/>
        <v>0</v>
      </c>
      <c r="M65" s="46">
        <f t="shared" si="4"/>
        <v>0</v>
      </c>
      <c r="N65" s="46">
        <f t="shared" si="5"/>
        <v>0</v>
      </c>
      <c r="O65" s="46">
        <f t="shared" si="6"/>
        <v>0</v>
      </c>
      <c r="P65" s="46">
        <f t="shared" si="7"/>
        <v>0</v>
      </c>
      <c r="Q65" s="46">
        <f t="shared" si="7"/>
        <v>0</v>
      </c>
    </row>
    <row r="66" spans="1:17" ht="15" x14ac:dyDescent="0.25">
      <c r="A66" s="44"/>
      <c r="B66" s="44" t="s">
        <v>28</v>
      </c>
      <c r="C66" s="44"/>
      <c r="D66" s="44" t="s">
        <v>20</v>
      </c>
      <c r="E66" s="44" t="s">
        <v>60</v>
      </c>
      <c r="F66" s="44" t="s">
        <v>60</v>
      </c>
      <c r="G66" s="44" t="s">
        <v>60</v>
      </c>
      <c r="H66" s="46" t="s">
        <v>23</v>
      </c>
      <c r="I66" s="46"/>
      <c r="J66" s="46">
        <v>25992.31</v>
      </c>
      <c r="K66" s="46">
        <f t="shared" si="2"/>
        <v>25992.31</v>
      </c>
      <c r="L66" s="46">
        <f t="shared" si="3"/>
        <v>0</v>
      </c>
      <c r="M66" s="46">
        <f t="shared" si="4"/>
        <v>0</v>
      </c>
      <c r="N66" s="46">
        <f t="shared" si="5"/>
        <v>2937131.0300000003</v>
      </c>
      <c r="O66" s="46">
        <f t="shared" si="6"/>
        <v>2937131.0300000003</v>
      </c>
      <c r="P66" s="46">
        <f t="shared" si="7"/>
        <v>2937131.0300000003</v>
      </c>
      <c r="Q66" s="46">
        <f t="shared" si="7"/>
        <v>2937131.0300000003</v>
      </c>
    </row>
    <row r="67" spans="1:17" ht="15" x14ac:dyDescent="0.25">
      <c r="A67" s="44" t="s">
        <v>61</v>
      </c>
      <c r="B67" s="52"/>
      <c r="C67" s="52"/>
      <c r="D67" s="52"/>
      <c r="E67" s="48"/>
      <c r="F67" s="48"/>
      <c r="G67" s="48"/>
      <c r="H67" s="46"/>
      <c r="I67" s="46"/>
      <c r="J67" s="46"/>
      <c r="K67" s="46">
        <f t="shared" si="2"/>
        <v>0</v>
      </c>
      <c r="L67" s="46">
        <f>L68+L74</f>
        <v>8424749.5500000007</v>
      </c>
      <c r="M67" s="46">
        <f t="shared" ref="M67:N67" si="31">M68+M74</f>
        <v>2764074.7</v>
      </c>
      <c r="N67" s="46">
        <f t="shared" si="31"/>
        <v>12479910</v>
      </c>
      <c r="O67" s="46">
        <f t="shared" si="6"/>
        <v>23668734.25</v>
      </c>
      <c r="P67" s="46">
        <f t="shared" si="7"/>
        <v>23668734.25</v>
      </c>
      <c r="Q67" s="46">
        <f t="shared" si="7"/>
        <v>23668734.25</v>
      </c>
    </row>
    <row r="68" spans="1:17" ht="85.5" x14ac:dyDescent="0.25">
      <c r="A68" s="42"/>
      <c r="B68" s="47" t="s">
        <v>76</v>
      </c>
      <c r="C68" s="47"/>
      <c r="D68" s="52"/>
      <c r="E68" s="48"/>
      <c r="F68" s="48"/>
      <c r="G68" s="48"/>
      <c r="H68" s="46"/>
      <c r="I68" s="46"/>
      <c r="J68" s="46"/>
      <c r="K68" s="46">
        <f t="shared" si="2"/>
        <v>0</v>
      </c>
      <c r="L68" s="46">
        <f>L69+L70+L71</f>
        <v>8424749.5500000007</v>
      </c>
      <c r="M68" s="46">
        <f t="shared" ref="M68:N68" si="32">M69+M70+M71</f>
        <v>2764074.7</v>
      </c>
      <c r="N68" s="46">
        <f t="shared" si="32"/>
        <v>6371717.1499999994</v>
      </c>
      <c r="O68" s="46">
        <f t="shared" si="6"/>
        <v>17560541.399999999</v>
      </c>
      <c r="P68" s="46">
        <f t="shared" si="7"/>
        <v>17560541.399999999</v>
      </c>
      <c r="Q68" s="46">
        <f t="shared" si="7"/>
        <v>17560541.399999999</v>
      </c>
    </row>
    <row r="69" spans="1:17" ht="105" x14ac:dyDescent="0.25">
      <c r="A69" s="42"/>
      <c r="B69" s="44" t="s">
        <v>19</v>
      </c>
      <c r="C69" s="42" t="s">
        <v>0</v>
      </c>
      <c r="D69" s="50" t="s">
        <v>20</v>
      </c>
      <c r="E69" s="44" t="s">
        <v>62</v>
      </c>
      <c r="F69" s="44" t="s">
        <v>62</v>
      </c>
      <c r="G69" s="44" t="s">
        <v>62</v>
      </c>
      <c r="H69" s="46">
        <v>41608.51</v>
      </c>
      <c r="I69" s="46">
        <v>11762.02</v>
      </c>
      <c r="J69" s="46">
        <v>27113.69</v>
      </c>
      <c r="K69" s="46">
        <f t="shared" si="2"/>
        <v>80484.22</v>
      </c>
      <c r="L69" s="46">
        <f>E69*H69</f>
        <v>1872382.9500000002</v>
      </c>
      <c r="M69" s="46">
        <f>E69*I69</f>
        <v>529290.9</v>
      </c>
      <c r="N69" s="46">
        <f>E69*J69</f>
        <v>1220116.05</v>
      </c>
      <c r="O69" s="46">
        <f t="shared" si="6"/>
        <v>3621789.9000000004</v>
      </c>
      <c r="P69" s="46">
        <f t="shared" si="7"/>
        <v>3621789.9000000004</v>
      </c>
      <c r="Q69" s="46">
        <f t="shared" si="7"/>
        <v>3621789.9000000004</v>
      </c>
    </row>
    <row r="70" spans="1:17" ht="15" x14ac:dyDescent="0.25">
      <c r="A70" s="49"/>
      <c r="B70" s="44" t="s">
        <v>24</v>
      </c>
      <c r="C70" s="44"/>
      <c r="D70" s="44" t="s">
        <v>20</v>
      </c>
      <c r="E70" s="44" t="s">
        <v>63</v>
      </c>
      <c r="F70" s="44" t="s">
        <v>63</v>
      </c>
      <c r="G70" s="44" t="s">
        <v>63</v>
      </c>
      <c r="H70" s="46">
        <v>32991.18</v>
      </c>
      <c r="I70" s="46">
        <v>11762.02</v>
      </c>
      <c r="J70" s="46">
        <v>27113.69</v>
      </c>
      <c r="K70" s="46">
        <f t="shared" si="2"/>
        <v>71866.89</v>
      </c>
      <c r="L70" s="46">
        <f t="shared" ref="L70:L71" si="33">E70*H70</f>
        <v>6268324.2000000002</v>
      </c>
      <c r="M70" s="46">
        <f t="shared" ref="M70:M71" si="34">E70*I70</f>
        <v>2234783.8000000003</v>
      </c>
      <c r="N70" s="46">
        <f t="shared" ref="N70:N71" si="35">E70*J70</f>
        <v>5151601.0999999996</v>
      </c>
      <c r="O70" s="46">
        <f t="shared" si="6"/>
        <v>13654709.1</v>
      </c>
      <c r="P70" s="46">
        <f t="shared" si="7"/>
        <v>13654709.1</v>
      </c>
      <c r="Q70" s="46">
        <f t="shared" si="7"/>
        <v>13654709.1</v>
      </c>
    </row>
    <row r="71" spans="1:17" ht="75" x14ac:dyDescent="0.25">
      <c r="A71" s="42"/>
      <c r="B71" s="52"/>
      <c r="C71" s="42" t="s">
        <v>78</v>
      </c>
      <c r="D71" s="50" t="s">
        <v>20</v>
      </c>
      <c r="E71" s="44" t="s">
        <v>63</v>
      </c>
      <c r="F71" s="44" t="s">
        <v>63</v>
      </c>
      <c r="G71" s="44" t="s">
        <v>63</v>
      </c>
      <c r="H71" s="46">
        <v>1494.96</v>
      </c>
      <c r="I71" s="46"/>
      <c r="J71" s="46"/>
      <c r="K71" s="46">
        <f t="shared" si="2"/>
        <v>1494.96</v>
      </c>
      <c r="L71" s="46">
        <f t="shared" si="33"/>
        <v>284042.40000000002</v>
      </c>
      <c r="M71" s="46">
        <f t="shared" si="34"/>
        <v>0</v>
      </c>
      <c r="N71" s="46">
        <f t="shared" si="35"/>
        <v>0</v>
      </c>
      <c r="O71" s="46">
        <f t="shared" si="6"/>
        <v>284042.40000000002</v>
      </c>
      <c r="P71" s="46">
        <f t="shared" si="7"/>
        <v>284042.40000000002</v>
      </c>
      <c r="Q71" s="46">
        <f t="shared" si="7"/>
        <v>284042.40000000002</v>
      </c>
    </row>
    <row r="72" spans="1:17" ht="15" hidden="1" x14ac:dyDescent="0.25">
      <c r="A72" s="44" t="s">
        <v>51</v>
      </c>
      <c r="B72" s="52"/>
      <c r="C72" s="52"/>
      <c r="D72" s="44" t="s">
        <v>20</v>
      </c>
      <c r="E72" s="44" t="s">
        <v>64</v>
      </c>
      <c r="F72" s="44" t="s">
        <v>64</v>
      </c>
      <c r="G72" s="44" t="s">
        <v>64</v>
      </c>
      <c r="H72" s="46"/>
      <c r="I72" s="46"/>
      <c r="J72" s="46"/>
      <c r="K72" s="46">
        <f t="shared" si="2"/>
        <v>0</v>
      </c>
      <c r="L72" s="46">
        <f t="shared" si="3"/>
        <v>0</v>
      </c>
      <c r="M72" s="46">
        <f t="shared" si="4"/>
        <v>0</v>
      </c>
      <c r="N72" s="46">
        <f t="shared" si="5"/>
        <v>0</v>
      </c>
      <c r="O72" s="46">
        <f t="shared" si="6"/>
        <v>0</v>
      </c>
      <c r="P72" s="46">
        <f t="shared" si="7"/>
        <v>0</v>
      </c>
      <c r="Q72" s="46">
        <f t="shared" si="7"/>
        <v>0</v>
      </c>
    </row>
    <row r="73" spans="1:17" ht="75" hidden="1" x14ac:dyDescent="0.25">
      <c r="A73" s="42" t="s">
        <v>77</v>
      </c>
      <c r="B73" s="52"/>
      <c r="C73" s="52"/>
      <c r="D73" s="50" t="s">
        <v>20</v>
      </c>
      <c r="E73" s="44" t="s">
        <v>64</v>
      </c>
      <c r="F73" s="44" t="s">
        <v>64</v>
      </c>
      <c r="G73" s="44" t="s">
        <v>64</v>
      </c>
      <c r="H73" s="46"/>
      <c r="I73" s="46"/>
      <c r="J73" s="46" t="s">
        <v>22</v>
      </c>
      <c r="K73" s="46">
        <f t="shared" si="2"/>
        <v>0</v>
      </c>
      <c r="L73" s="46">
        <f t="shared" si="3"/>
        <v>0</v>
      </c>
      <c r="M73" s="46">
        <f t="shared" si="4"/>
        <v>0</v>
      </c>
      <c r="N73" s="46">
        <f t="shared" si="5"/>
        <v>0</v>
      </c>
      <c r="O73" s="46">
        <f t="shared" si="6"/>
        <v>0</v>
      </c>
      <c r="P73" s="46">
        <f t="shared" si="7"/>
        <v>0</v>
      </c>
      <c r="Q73" s="46">
        <f t="shared" si="7"/>
        <v>0</v>
      </c>
    </row>
    <row r="74" spans="1:17" ht="15" x14ac:dyDescent="0.25">
      <c r="A74" s="44"/>
      <c r="B74" s="44" t="s">
        <v>28</v>
      </c>
      <c r="C74" s="44"/>
      <c r="D74" s="44" t="s">
        <v>20</v>
      </c>
      <c r="E74" s="44" t="s">
        <v>64</v>
      </c>
      <c r="F74" s="44" t="s">
        <v>64</v>
      </c>
      <c r="G74" s="44" t="s">
        <v>64</v>
      </c>
      <c r="H74" s="46" t="s">
        <v>23</v>
      </c>
      <c r="I74" s="46"/>
      <c r="J74" s="46">
        <v>25992.31</v>
      </c>
      <c r="K74" s="46">
        <f t="shared" si="2"/>
        <v>25992.31</v>
      </c>
      <c r="L74" s="46">
        <f t="shared" si="3"/>
        <v>0</v>
      </c>
      <c r="M74" s="46">
        <f t="shared" si="4"/>
        <v>0</v>
      </c>
      <c r="N74" s="46">
        <f t="shared" si="5"/>
        <v>6108192.8500000006</v>
      </c>
      <c r="O74" s="46">
        <f t="shared" si="6"/>
        <v>6108192.8500000006</v>
      </c>
      <c r="P74" s="46">
        <f t="shared" si="7"/>
        <v>6108192.8500000006</v>
      </c>
      <c r="Q74" s="46">
        <f t="shared" si="7"/>
        <v>6108192.8500000006</v>
      </c>
    </row>
    <row r="75" spans="1:17" ht="15" x14ac:dyDescent="0.25">
      <c r="A75" s="44" t="s">
        <v>65</v>
      </c>
      <c r="B75" s="52"/>
      <c r="C75" s="52"/>
      <c r="D75" s="52"/>
      <c r="E75" s="48"/>
      <c r="F75" s="48"/>
      <c r="G75" s="48"/>
      <c r="H75" s="46"/>
      <c r="I75" s="46"/>
      <c r="J75" s="46"/>
      <c r="K75" s="46">
        <f t="shared" si="2"/>
        <v>0</v>
      </c>
      <c r="L75" s="46">
        <f>L76+L81</f>
        <v>4885902.43</v>
      </c>
      <c r="M75" s="46">
        <f t="shared" ref="M75:N75" si="36">M76+M81</f>
        <v>1646682.7999999998</v>
      </c>
      <c r="N75" s="46">
        <f t="shared" si="36"/>
        <v>7434840</v>
      </c>
      <c r="O75" s="46">
        <f t="shared" si="6"/>
        <v>13967425.23</v>
      </c>
      <c r="P75" s="46">
        <f t="shared" si="7"/>
        <v>13967425.23</v>
      </c>
      <c r="Q75" s="46">
        <f t="shared" si="7"/>
        <v>13967425.23</v>
      </c>
    </row>
    <row r="76" spans="1:17" ht="85.5" x14ac:dyDescent="0.25">
      <c r="A76" s="42"/>
      <c r="B76" s="47" t="s">
        <v>76</v>
      </c>
      <c r="C76" s="47"/>
      <c r="D76" s="52"/>
      <c r="E76" s="48"/>
      <c r="F76" s="48"/>
      <c r="G76" s="48"/>
      <c r="H76" s="46"/>
      <c r="I76" s="46"/>
      <c r="J76" s="46"/>
      <c r="K76" s="46">
        <f t="shared" ref="K76:K95" si="37">H76+I76+J76</f>
        <v>0</v>
      </c>
      <c r="L76" s="46">
        <f>L77+L78</f>
        <v>4885902.43</v>
      </c>
      <c r="M76" s="46">
        <f t="shared" ref="M76:N76" si="38">M77+M78</f>
        <v>1646682.7999999998</v>
      </c>
      <c r="N76" s="46">
        <f t="shared" si="38"/>
        <v>3795916.6</v>
      </c>
      <c r="O76" s="46">
        <f t="shared" ref="O76:O95" si="39">L76+M76+N76</f>
        <v>10328501.83</v>
      </c>
      <c r="P76" s="46">
        <f t="shared" ref="P76:Q95" si="40">O76</f>
        <v>10328501.83</v>
      </c>
      <c r="Q76" s="46">
        <f t="shared" si="40"/>
        <v>10328501.83</v>
      </c>
    </row>
    <row r="77" spans="1:17" ht="105" x14ac:dyDescent="0.25">
      <c r="A77" s="42"/>
      <c r="B77" s="44" t="s">
        <v>19</v>
      </c>
      <c r="C77" s="42" t="s">
        <v>0</v>
      </c>
      <c r="D77" s="44" t="s">
        <v>20</v>
      </c>
      <c r="E77" s="44" t="s">
        <v>66</v>
      </c>
      <c r="F77" s="44" t="s">
        <v>66</v>
      </c>
      <c r="G77" s="44" t="s">
        <v>66</v>
      </c>
      <c r="H77" s="46">
        <v>41608.51</v>
      </c>
      <c r="I77" s="46">
        <v>11762.02</v>
      </c>
      <c r="J77" s="46">
        <v>27113.69</v>
      </c>
      <c r="K77" s="46">
        <f t="shared" si="37"/>
        <v>80484.22</v>
      </c>
      <c r="L77" s="46">
        <f>E77*H77</f>
        <v>1289863.81</v>
      </c>
      <c r="M77" s="46">
        <f>E77*I77</f>
        <v>364622.62</v>
      </c>
      <c r="N77" s="46">
        <f>E77*J77</f>
        <v>840524.39</v>
      </c>
      <c r="O77" s="46">
        <f t="shared" si="39"/>
        <v>2495010.8200000003</v>
      </c>
      <c r="P77" s="46">
        <f t="shared" si="40"/>
        <v>2495010.8200000003</v>
      </c>
      <c r="Q77" s="46">
        <f t="shared" si="40"/>
        <v>2495010.8200000003</v>
      </c>
    </row>
    <row r="78" spans="1:17" ht="15" x14ac:dyDescent="0.25">
      <c r="A78" s="49"/>
      <c r="B78" s="44" t="s">
        <v>24</v>
      </c>
      <c r="C78" s="44"/>
      <c r="D78" s="44" t="s">
        <v>20</v>
      </c>
      <c r="E78" s="44" t="s">
        <v>55</v>
      </c>
      <c r="F78" s="44" t="s">
        <v>55</v>
      </c>
      <c r="G78" s="44" t="s">
        <v>55</v>
      </c>
      <c r="H78" s="46">
        <v>32991.18</v>
      </c>
      <c r="I78" s="46">
        <v>11762.02</v>
      </c>
      <c r="J78" s="46">
        <v>27113.69</v>
      </c>
      <c r="K78" s="46">
        <f t="shared" si="37"/>
        <v>71866.89</v>
      </c>
      <c r="L78" s="46">
        <f t="shared" ref="L78:L81" si="41">E78*H78</f>
        <v>3596038.62</v>
      </c>
      <c r="M78" s="46">
        <f>E78*I78</f>
        <v>1282060.18</v>
      </c>
      <c r="N78" s="46">
        <f>E78*J78</f>
        <v>2955392.21</v>
      </c>
      <c r="O78" s="46">
        <f t="shared" si="39"/>
        <v>7833491.0099999998</v>
      </c>
      <c r="P78" s="46">
        <f t="shared" si="40"/>
        <v>7833491.0099999998</v>
      </c>
      <c r="Q78" s="46">
        <f t="shared" si="40"/>
        <v>7833491.0099999998</v>
      </c>
    </row>
    <row r="79" spans="1:17" ht="15" hidden="1" x14ac:dyDescent="0.25">
      <c r="A79" s="44" t="s">
        <v>51</v>
      </c>
      <c r="B79" s="52"/>
      <c r="C79" s="52"/>
      <c r="D79" s="44" t="s">
        <v>20</v>
      </c>
      <c r="E79" s="44" t="s">
        <v>67</v>
      </c>
      <c r="F79" s="44" t="s">
        <v>67</v>
      </c>
      <c r="G79" s="44" t="s">
        <v>67</v>
      </c>
      <c r="H79" s="46"/>
      <c r="I79" s="46">
        <v>11762.02</v>
      </c>
      <c r="J79" s="46"/>
      <c r="K79" s="46">
        <f t="shared" si="37"/>
        <v>11762.02</v>
      </c>
      <c r="L79" s="46">
        <f t="shared" si="41"/>
        <v>0</v>
      </c>
      <c r="M79" s="46">
        <f t="shared" ref="M79:M95" si="42">F79*I79</f>
        <v>1646682.8</v>
      </c>
      <c r="N79" s="46">
        <f t="shared" ref="N79:N95" si="43">G79*J79</f>
        <v>0</v>
      </c>
      <c r="O79" s="46">
        <f t="shared" si="39"/>
        <v>1646682.8</v>
      </c>
      <c r="P79" s="46">
        <f t="shared" si="40"/>
        <v>1646682.8</v>
      </c>
      <c r="Q79" s="46">
        <f t="shared" si="40"/>
        <v>1646682.8</v>
      </c>
    </row>
    <row r="80" spans="1:17" ht="75" hidden="1" x14ac:dyDescent="0.25">
      <c r="A80" s="42" t="s">
        <v>77</v>
      </c>
      <c r="B80" s="52"/>
      <c r="C80" s="52"/>
      <c r="D80" s="44" t="s">
        <v>20</v>
      </c>
      <c r="E80" s="44" t="s">
        <v>67</v>
      </c>
      <c r="F80" s="44" t="s">
        <v>67</v>
      </c>
      <c r="G80" s="44" t="s">
        <v>67</v>
      </c>
      <c r="H80" s="46"/>
      <c r="I80" s="46"/>
      <c r="J80" s="46" t="s">
        <v>22</v>
      </c>
      <c r="K80" s="46">
        <f t="shared" si="37"/>
        <v>0</v>
      </c>
      <c r="L80" s="46">
        <f t="shared" si="41"/>
        <v>0</v>
      </c>
      <c r="M80" s="46">
        <f t="shared" si="42"/>
        <v>0</v>
      </c>
      <c r="N80" s="46">
        <f t="shared" si="43"/>
        <v>0</v>
      </c>
      <c r="O80" s="46">
        <f t="shared" si="39"/>
        <v>0</v>
      </c>
      <c r="P80" s="46">
        <f t="shared" si="40"/>
        <v>0</v>
      </c>
      <c r="Q80" s="46">
        <f t="shared" si="40"/>
        <v>0</v>
      </c>
    </row>
    <row r="81" spans="1:17" ht="15" x14ac:dyDescent="0.25">
      <c r="A81" s="44"/>
      <c r="B81" s="44" t="s">
        <v>28</v>
      </c>
      <c r="C81" s="44"/>
      <c r="D81" s="44" t="s">
        <v>20</v>
      </c>
      <c r="E81" s="44" t="s">
        <v>67</v>
      </c>
      <c r="F81" s="44" t="s">
        <v>67</v>
      </c>
      <c r="G81" s="44" t="s">
        <v>67</v>
      </c>
      <c r="H81" s="46" t="s">
        <v>23</v>
      </c>
      <c r="I81" s="46"/>
      <c r="J81" s="46">
        <v>25992.31</v>
      </c>
      <c r="K81" s="46">
        <f t="shared" si="37"/>
        <v>25992.31</v>
      </c>
      <c r="L81" s="46">
        <f t="shared" si="41"/>
        <v>0</v>
      </c>
      <c r="M81" s="46">
        <f t="shared" si="42"/>
        <v>0</v>
      </c>
      <c r="N81" s="46">
        <f t="shared" si="43"/>
        <v>3638923.4000000004</v>
      </c>
      <c r="O81" s="46">
        <f t="shared" si="39"/>
        <v>3638923.4000000004</v>
      </c>
      <c r="P81" s="46">
        <f t="shared" si="40"/>
        <v>3638923.4000000004</v>
      </c>
      <c r="Q81" s="46">
        <f t="shared" si="40"/>
        <v>3638923.4000000004</v>
      </c>
    </row>
    <row r="82" spans="1:17" ht="15" x14ac:dyDescent="0.25">
      <c r="A82" s="44" t="s">
        <v>68</v>
      </c>
      <c r="B82" s="52"/>
      <c r="C82" s="52"/>
      <c r="D82" s="52"/>
      <c r="E82" s="48"/>
      <c r="F82" s="48"/>
      <c r="G82" s="48"/>
      <c r="H82" s="46"/>
      <c r="I82" s="46"/>
      <c r="J82" s="46"/>
      <c r="K82" s="46">
        <f t="shared" si="37"/>
        <v>0</v>
      </c>
      <c r="L82" s="46">
        <f>L83+L88</f>
        <v>4860050.4400000004</v>
      </c>
      <c r="M82" s="46">
        <f t="shared" ref="M82:N82" si="44">M83+M88</f>
        <v>1646682.8</v>
      </c>
      <c r="N82" s="46">
        <f t="shared" si="44"/>
        <v>7434840</v>
      </c>
      <c r="O82" s="46">
        <f t="shared" si="39"/>
        <v>13941573.24</v>
      </c>
      <c r="P82" s="46">
        <f t="shared" si="40"/>
        <v>13941573.24</v>
      </c>
      <c r="Q82" s="46">
        <f t="shared" si="40"/>
        <v>13941573.24</v>
      </c>
    </row>
    <row r="83" spans="1:17" ht="85.5" x14ac:dyDescent="0.25">
      <c r="A83" s="42"/>
      <c r="B83" s="47" t="s">
        <v>76</v>
      </c>
      <c r="C83" s="47"/>
      <c r="D83" s="52"/>
      <c r="E83" s="48"/>
      <c r="F83" s="48"/>
      <c r="G83" s="48"/>
      <c r="H83" s="46"/>
      <c r="I83" s="46"/>
      <c r="J83" s="46"/>
      <c r="K83" s="46">
        <f t="shared" si="37"/>
        <v>0</v>
      </c>
      <c r="L83" s="46">
        <f>L84+L85</f>
        <v>4860050.4400000004</v>
      </c>
      <c r="M83" s="46">
        <f t="shared" ref="M83:N83" si="45">M84+M85</f>
        <v>1646682.8</v>
      </c>
      <c r="N83" s="46">
        <f t="shared" si="45"/>
        <v>3795916.5999999996</v>
      </c>
      <c r="O83" s="46">
        <f t="shared" si="39"/>
        <v>10302649.84</v>
      </c>
      <c r="P83" s="46">
        <f t="shared" si="40"/>
        <v>10302649.84</v>
      </c>
      <c r="Q83" s="46">
        <f t="shared" si="40"/>
        <v>10302649.84</v>
      </c>
    </row>
    <row r="84" spans="1:17" ht="105" x14ac:dyDescent="0.25">
      <c r="A84" s="42"/>
      <c r="B84" s="44" t="s">
        <v>19</v>
      </c>
      <c r="C84" s="42" t="s">
        <v>0</v>
      </c>
      <c r="D84" s="50" t="s">
        <v>20</v>
      </c>
      <c r="E84" s="44" t="s">
        <v>69</v>
      </c>
      <c r="F84" s="44" t="s">
        <v>69</v>
      </c>
      <c r="G84" s="44" t="s">
        <v>69</v>
      </c>
      <c r="H84" s="46">
        <v>41608.51</v>
      </c>
      <c r="I84" s="46">
        <v>11762.02</v>
      </c>
      <c r="J84" s="46">
        <v>27113.69</v>
      </c>
      <c r="K84" s="46">
        <f t="shared" si="37"/>
        <v>80484.22</v>
      </c>
      <c r="L84" s="46">
        <f>E84*H84</f>
        <v>1165038.28</v>
      </c>
      <c r="M84" s="46">
        <f>E84*I84</f>
        <v>329336.56</v>
      </c>
      <c r="N84" s="46">
        <f>E84*J84</f>
        <v>759183.32</v>
      </c>
      <c r="O84" s="46">
        <f t="shared" si="39"/>
        <v>2253558.16</v>
      </c>
      <c r="P84" s="46">
        <f t="shared" si="40"/>
        <v>2253558.16</v>
      </c>
      <c r="Q84" s="46">
        <f t="shared" si="40"/>
        <v>2253558.16</v>
      </c>
    </row>
    <row r="85" spans="1:17" ht="15" x14ac:dyDescent="0.25">
      <c r="A85" s="49"/>
      <c r="B85" s="44" t="s">
        <v>24</v>
      </c>
      <c r="C85" s="44"/>
      <c r="D85" s="44" t="s">
        <v>20</v>
      </c>
      <c r="E85" s="44" t="s">
        <v>70</v>
      </c>
      <c r="F85" s="44" t="s">
        <v>70</v>
      </c>
      <c r="G85" s="44" t="s">
        <v>70</v>
      </c>
      <c r="H85" s="46">
        <v>32991.18</v>
      </c>
      <c r="I85" s="46">
        <v>11762.02</v>
      </c>
      <c r="J85" s="46">
        <v>27113.69</v>
      </c>
      <c r="K85" s="46">
        <f t="shared" si="37"/>
        <v>71866.89</v>
      </c>
      <c r="L85" s="46">
        <f>E85*H85</f>
        <v>3695012.16</v>
      </c>
      <c r="M85" s="46">
        <f>E85*I85</f>
        <v>1317346.24</v>
      </c>
      <c r="N85" s="46">
        <f t="shared" ref="N85:N87" si="46">E85*J85</f>
        <v>3036733.28</v>
      </c>
      <c r="O85" s="46">
        <f t="shared" si="39"/>
        <v>8049091.6799999997</v>
      </c>
      <c r="P85" s="46">
        <f t="shared" si="40"/>
        <v>8049091.6799999997</v>
      </c>
      <c r="Q85" s="46">
        <f t="shared" si="40"/>
        <v>8049091.6799999997</v>
      </c>
    </row>
    <row r="86" spans="1:17" ht="15" hidden="1" x14ac:dyDescent="0.25">
      <c r="A86" s="44" t="s">
        <v>51</v>
      </c>
      <c r="B86" s="52"/>
      <c r="C86" s="52"/>
      <c r="D86" s="52"/>
      <c r="E86" s="44" t="s">
        <v>67</v>
      </c>
      <c r="F86" s="44" t="s">
        <v>67</v>
      </c>
      <c r="G86" s="44" t="s">
        <v>67</v>
      </c>
      <c r="H86" s="46"/>
      <c r="I86" s="46"/>
      <c r="J86" s="46"/>
      <c r="K86" s="46">
        <f t="shared" si="37"/>
        <v>0</v>
      </c>
      <c r="L86" s="46">
        <f t="shared" ref="L86:L95" si="47">E86*H86</f>
        <v>0</v>
      </c>
      <c r="M86" s="46">
        <f t="shared" si="42"/>
        <v>0</v>
      </c>
      <c r="N86" s="46">
        <f t="shared" si="46"/>
        <v>0</v>
      </c>
      <c r="O86" s="46">
        <f t="shared" si="39"/>
        <v>0</v>
      </c>
      <c r="P86" s="46">
        <f t="shared" si="40"/>
        <v>0</v>
      </c>
      <c r="Q86" s="46">
        <f t="shared" si="40"/>
        <v>0</v>
      </c>
    </row>
    <row r="87" spans="1:17" ht="75" hidden="1" x14ac:dyDescent="0.25">
      <c r="A87" s="42" t="s">
        <v>77</v>
      </c>
      <c r="B87" s="52"/>
      <c r="C87" s="52"/>
      <c r="D87" s="52"/>
      <c r="E87" s="44" t="s">
        <v>67</v>
      </c>
      <c r="F87" s="44" t="s">
        <v>67</v>
      </c>
      <c r="G87" s="44" t="s">
        <v>67</v>
      </c>
      <c r="H87" s="46"/>
      <c r="I87" s="46"/>
      <c r="J87" s="46" t="s">
        <v>22</v>
      </c>
      <c r="K87" s="46">
        <f t="shared" si="37"/>
        <v>0</v>
      </c>
      <c r="L87" s="46">
        <f t="shared" si="47"/>
        <v>0</v>
      </c>
      <c r="M87" s="46">
        <f t="shared" si="42"/>
        <v>0</v>
      </c>
      <c r="N87" s="46">
        <f t="shared" si="46"/>
        <v>0</v>
      </c>
      <c r="O87" s="46">
        <f t="shared" si="39"/>
        <v>0</v>
      </c>
      <c r="P87" s="46">
        <f t="shared" si="40"/>
        <v>0</v>
      </c>
      <c r="Q87" s="46">
        <f t="shared" si="40"/>
        <v>0</v>
      </c>
    </row>
    <row r="88" spans="1:17" ht="15" x14ac:dyDescent="0.25">
      <c r="A88" s="44"/>
      <c r="B88" s="44" t="s">
        <v>28</v>
      </c>
      <c r="C88" s="44"/>
      <c r="D88" s="44" t="s">
        <v>20</v>
      </c>
      <c r="E88" s="44" t="s">
        <v>67</v>
      </c>
      <c r="F88" s="44" t="s">
        <v>67</v>
      </c>
      <c r="G88" s="44" t="s">
        <v>67</v>
      </c>
      <c r="H88" s="46" t="s">
        <v>23</v>
      </c>
      <c r="I88" s="46"/>
      <c r="J88" s="46">
        <v>25992.31</v>
      </c>
      <c r="K88" s="46">
        <f t="shared" si="37"/>
        <v>25992.31</v>
      </c>
      <c r="L88" s="46">
        <f t="shared" si="47"/>
        <v>0</v>
      </c>
      <c r="M88" s="46">
        <f t="shared" si="42"/>
        <v>0</v>
      </c>
      <c r="N88" s="46">
        <f t="shared" si="43"/>
        <v>3638923.4000000004</v>
      </c>
      <c r="O88" s="46">
        <f t="shared" si="39"/>
        <v>3638923.4000000004</v>
      </c>
      <c r="P88" s="46">
        <f t="shared" si="40"/>
        <v>3638923.4000000004</v>
      </c>
      <c r="Q88" s="46">
        <f t="shared" si="40"/>
        <v>3638923.4000000004</v>
      </c>
    </row>
    <row r="89" spans="1:17" ht="15" x14ac:dyDescent="0.25">
      <c r="A89" s="44" t="s">
        <v>71</v>
      </c>
      <c r="B89" s="52"/>
      <c r="C89" s="52"/>
      <c r="D89" s="52"/>
      <c r="E89" s="48"/>
      <c r="F89" s="48"/>
      <c r="G89" s="48"/>
      <c r="H89" s="46"/>
      <c r="I89" s="46"/>
      <c r="J89" s="46"/>
      <c r="K89" s="46">
        <f t="shared" si="37"/>
        <v>0</v>
      </c>
      <c r="L89" s="46">
        <f>L90+L95</f>
        <v>8487853.6099999994</v>
      </c>
      <c r="M89" s="46">
        <f t="shared" ref="M89:N89" si="48">M90+M95</f>
        <v>2881694.9</v>
      </c>
      <c r="N89" s="46">
        <f t="shared" si="48"/>
        <v>13010970</v>
      </c>
      <c r="O89" s="46">
        <f t="shared" si="39"/>
        <v>24380518.509999998</v>
      </c>
      <c r="P89" s="46">
        <f t="shared" si="40"/>
        <v>24380518.509999998</v>
      </c>
      <c r="Q89" s="46">
        <f t="shared" si="40"/>
        <v>24380518.509999998</v>
      </c>
    </row>
    <row r="90" spans="1:17" ht="85.5" x14ac:dyDescent="0.25">
      <c r="A90" s="42"/>
      <c r="B90" s="47" t="s">
        <v>76</v>
      </c>
      <c r="C90" s="47"/>
      <c r="D90" s="52"/>
      <c r="E90" s="48"/>
      <c r="F90" s="48"/>
      <c r="G90" s="48"/>
      <c r="H90" s="46"/>
      <c r="I90" s="46"/>
      <c r="J90" s="46"/>
      <c r="K90" s="46">
        <f t="shared" si="37"/>
        <v>0</v>
      </c>
      <c r="L90" s="46">
        <f>L91+L92</f>
        <v>8487853.6099999994</v>
      </c>
      <c r="M90" s="46">
        <f t="shared" ref="M90:N90" si="49">M91+M92</f>
        <v>2881694.9</v>
      </c>
      <c r="N90" s="46">
        <f t="shared" si="49"/>
        <v>6642854.0499999998</v>
      </c>
      <c r="O90" s="46">
        <f t="shared" si="39"/>
        <v>18012402.559999999</v>
      </c>
      <c r="P90" s="46">
        <f t="shared" si="40"/>
        <v>18012402.559999999</v>
      </c>
      <c r="Q90" s="46">
        <f t="shared" si="40"/>
        <v>18012402.559999999</v>
      </c>
    </row>
    <row r="91" spans="1:17" ht="105" x14ac:dyDescent="0.25">
      <c r="A91" s="42"/>
      <c r="B91" s="44" t="s">
        <v>19</v>
      </c>
      <c r="C91" s="42" t="s">
        <v>0</v>
      </c>
      <c r="D91" s="50" t="s">
        <v>20</v>
      </c>
      <c r="E91" s="44" t="s">
        <v>72</v>
      </c>
      <c r="F91" s="44" t="s">
        <v>72</v>
      </c>
      <c r="G91" s="44" t="s">
        <v>72</v>
      </c>
      <c r="H91" s="46">
        <v>41608.51</v>
      </c>
      <c r="I91" s="46">
        <v>11762.02</v>
      </c>
      <c r="J91" s="46">
        <v>27113.69</v>
      </c>
      <c r="K91" s="46">
        <f t="shared" si="37"/>
        <v>80484.22</v>
      </c>
      <c r="L91" s="46">
        <f>E91*H91</f>
        <v>1955599.9700000002</v>
      </c>
      <c r="M91" s="46">
        <f>E91*I91</f>
        <v>552814.94000000006</v>
      </c>
      <c r="N91" s="46">
        <f>E91*J91</f>
        <v>1274343.43</v>
      </c>
      <c r="O91" s="46">
        <f t="shared" si="39"/>
        <v>3782758.34</v>
      </c>
      <c r="P91" s="46">
        <f t="shared" si="40"/>
        <v>3782758.34</v>
      </c>
      <c r="Q91" s="46">
        <f t="shared" si="40"/>
        <v>3782758.34</v>
      </c>
    </row>
    <row r="92" spans="1:17" ht="15" x14ac:dyDescent="0.25">
      <c r="A92" s="49"/>
      <c r="B92" s="44" t="s">
        <v>24</v>
      </c>
      <c r="C92" s="44"/>
      <c r="D92" s="44" t="s">
        <v>20</v>
      </c>
      <c r="E92" s="44" t="s">
        <v>73</v>
      </c>
      <c r="F92" s="44" t="s">
        <v>73</v>
      </c>
      <c r="G92" s="44" t="s">
        <v>73</v>
      </c>
      <c r="H92" s="46">
        <v>32991.18</v>
      </c>
      <c r="I92" s="46">
        <v>11762.02</v>
      </c>
      <c r="J92" s="46">
        <v>27113.69</v>
      </c>
      <c r="K92" s="46">
        <f t="shared" si="37"/>
        <v>71866.89</v>
      </c>
      <c r="L92" s="46">
        <f>E92*H92</f>
        <v>6532253.6399999997</v>
      </c>
      <c r="M92" s="46">
        <f>E92*I92</f>
        <v>2328879.96</v>
      </c>
      <c r="N92" s="46">
        <f>E92*J92</f>
        <v>5368510.62</v>
      </c>
      <c r="O92" s="46">
        <f t="shared" si="39"/>
        <v>14229644.219999999</v>
      </c>
      <c r="P92" s="46">
        <f t="shared" si="40"/>
        <v>14229644.219999999</v>
      </c>
      <c r="Q92" s="46">
        <f t="shared" si="40"/>
        <v>14229644.219999999</v>
      </c>
    </row>
    <row r="93" spans="1:17" ht="15" hidden="1" x14ac:dyDescent="0.25">
      <c r="A93" s="44" t="s">
        <v>26</v>
      </c>
      <c r="B93" s="52"/>
      <c r="C93" s="52"/>
      <c r="D93" s="44" t="s">
        <v>20</v>
      </c>
      <c r="E93" s="44" t="s">
        <v>74</v>
      </c>
      <c r="F93" s="44" t="s">
        <v>74</v>
      </c>
      <c r="G93" s="44" t="s">
        <v>74</v>
      </c>
      <c r="H93" s="46"/>
      <c r="I93" s="46"/>
      <c r="J93" s="46"/>
      <c r="K93" s="46">
        <f t="shared" si="37"/>
        <v>0</v>
      </c>
      <c r="L93" s="46">
        <f t="shared" si="47"/>
        <v>0</v>
      </c>
      <c r="M93" s="46">
        <f t="shared" si="42"/>
        <v>0</v>
      </c>
      <c r="N93" s="46">
        <f t="shared" si="43"/>
        <v>0</v>
      </c>
      <c r="O93" s="46">
        <f t="shared" si="39"/>
        <v>0</v>
      </c>
      <c r="P93" s="46">
        <f t="shared" si="40"/>
        <v>0</v>
      </c>
      <c r="Q93" s="46">
        <f t="shared" si="40"/>
        <v>0</v>
      </c>
    </row>
    <row r="94" spans="1:17" ht="75" hidden="1" x14ac:dyDescent="0.25">
      <c r="A94" s="42" t="s">
        <v>77</v>
      </c>
      <c r="B94" s="52"/>
      <c r="C94" s="52"/>
      <c r="D94" s="50" t="s">
        <v>20</v>
      </c>
      <c r="E94" s="44" t="s">
        <v>74</v>
      </c>
      <c r="F94" s="44" t="s">
        <v>74</v>
      </c>
      <c r="G94" s="44" t="s">
        <v>74</v>
      </c>
      <c r="H94" s="46"/>
      <c r="I94" s="46"/>
      <c r="J94" s="46" t="s">
        <v>22</v>
      </c>
      <c r="K94" s="46">
        <f t="shared" si="37"/>
        <v>0</v>
      </c>
      <c r="L94" s="46">
        <f t="shared" si="47"/>
        <v>0</v>
      </c>
      <c r="M94" s="46">
        <f t="shared" si="42"/>
        <v>0</v>
      </c>
      <c r="N94" s="46">
        <f t="shared" si="43"/>
        <v>0</v>
      </c>
      <c r="O94" s="46">
        <f t="shared" si="39"/>
        <v>0</v>
      </c>
      <c r="P94" s="46">
        <f t="shared" si="40"/>
        <v>0</v>
      </c>
      <c r="Q94" s="46">
        <f t="shared" si="40"/>
        <v>0</v>
      </c>
    </row>
    <row r="95" spans="1:17" ht="15" x14ac:dyDescent="0.25">
      <c r="A95" s="44"/>
      <c r="B95" s="48" t="s">
        <v>75</v>
      </c>
      <c r="C95" s="48"/>
      <c r="D95" s="44" t="s">
        <v>20</v>
      </c>
      <c r="E95" s="44" t="s">
        <v>74</v>
      </c>
      <c r="F95" s="44" t="s">
        <v>74</v>
      </c>
      <c r="G95" s="44" t="s">
        <v>74</v>
      </c>
      <c r="H95" s="46" t="s">
        <v>23</v>
      </c>
      <c r="I95" s="46"/>
      <c r="J95" s="46">
        <v>25992.31</v>
      </c>
      <c r="K95" s="46">
        <f t="shared" si="37"/>
        <v>25992.31</v>
      </c>
      <c r="L95" s="46">
        <f t="shared" si="47"/>
        <v>0</v>
      </c>
      <c r="M95" s="46">
        <f t="shared" si="42"/>
        <v>0</v>
      </c>
      <c r="N95" s="46">
        <f t="shared" si="43"/>
        <v>6368115.9500000002</v>
      </c>
      <c r="O95" s="46">
        <f t="shared" si="39"/>
        <v>6368115.9500000002</v>
      </c>
      <c r="P95" s="46">
        <f t="shared" si="40"/>
        <v>6368115.9500000002</v>
      </c>
      <c r="Q95" s="46">
        <f t="shared" si="40"/>
        <v>6368115.9500000002</v>
      </c>
    </row>
    <row r="96" spans="1:17" ht="36.75" customHeight="1" x14ac:dyDescent="0.3">
      <c r="A96" s="308" t="s">
        <v>154</v>
      </c>
      <c r="B96" s="308"/>
      <c r="C96" s="308"/>
      <c r="D96" s="44"/>
      <c r="E96" s="44"/>
      <c r="F96" s="44"/>
      <c r="G96" s="44"/>
      <c r="H96" s="46"/>
      <c r="I96" s="46"/>
      <c r="J96" s="46"/>
      <c r="K96" s="46"/>
      <c r="L96" s="46"/>
      <c r="M96" s="46"/>
      <c r="N96" s="46"/>
      <c r="O96" s="46"/>
      <c r="P96" s="46"/>
      <c r="Q96" s="46"/>
    </row>
    <row r="97" spans="1:17" ht="30" x14ac:dyDescent="0.2">
      <c r="A97" s="307" t="s">
        <v>3</v>
      </c>
      <c r="B97" s="307" t="s">
        <v>86</v>
      </c>
      <c r="C97" s="7" t="s">
        <v>87</v>
      </c>
      <c r="D97" s="307" t="s">
        <v>4</v>
      </c>
      <c r="E97" s="307" t="s">
        <v>5</v>
      </c>
      <c r="F97" s="307"/>
      <c r="G97" s="307"/>
      <c r="H97" s="307" t="s">
        <v>6</v>
      </c>
      <c r="I97" s="307"/>
      <c r="J97" s="307"/>
      <c r="K97" s="307"/>
      <c r="L97" s="307" t="s">
        <v>7</v>
      </c>
      <c r="M97" s="307"/>
      <c r="N97" s="307"/>
      <c r="O97" s="307"/>
      <c r="P97" s="307"/>
      <c r="Q97" s="307"/>
    </row>
    <row r="98" spans="1:17" ht="120" x14ac:dyDescent="0.2">
      <c r="A98" s="307"/>
      <c r="B98" s="307"/>
      <c r="C98" s="7"/>
      <c r="D98" s="307"/>
      <c r="E98" s="7" t="s">
        <v>8</v>
      </c>
      <c r="F98" s="7" t="s">
        <v>9</v>
      </c>
      <c r="G98" s="7" t="s">
        <v>10</v>
      </c>
      <c r="H98" s="7" t="s">
        <v>88</v>
      </c>
      <c r="I98" s="7" t="s">
        <v>89</v>
      </c>
      <c r="J98" s="7" t="s">
        <v>90</v>
      </c>
      <c r="K98" s="7" t="s">
        <v>91</v>
      </c>
      <c r="L98" s="7" t="s">
        <v>92</v>
      </c>
      <c r="M98" s="7" t="s">
        <v>93</v>
      </c>
      <c r="N98" s="7" t="s">
        <v>94</v>
      </c>
      <c r="O98" s="7" t="s">
        <v>95</v>
      </c>
      <c r="P98" s="7" t="s">
        <v>96</v>
      </c>
      <c r="Q98" s="7" t="s">
        <v>97</v>
      </c>
    </row>
    <row r="99" spans="1:17" ht="45" x14ac:dyDescent="0.2">
      <c r="A99" s="8" t="s">
        <v>13</v>
      </c>
      <c r="B99" s="8" t="s">
        <v>13</v>
      </c>
      <c r="C99" s="8"/>
      <c r="D99" s="8" t="s">
        <v>15</v>
      </c>
      <c r="E99" s="8" t="s">
        <v>16</v>
      </c>
      <c r="F99" s="8" t="s">
        <v>16</v>
      </c>
      <c r="G99" s="8" t="s">
        <v>16</v>
      </c>
      <c r="H99" s="7" t="s">
        <v>17</v>
      </c>
      <c r="I99" s="7" t="s">
        <v>17</v>
      </c>
      <c r="J99" s="7" t="s">
        <v>17</v>
      </c>
      <c r="K99" s="7" t="s">
        <v>17</v>
      </c>
      <c r="L99" s="7" t="s">
        <v>17</v>
      </c>
      <c r="M99" s="7" t="s">
        <v>17</v>
      </c>
      <c r="N99" s="7" t="s">
        <v>17</v>
      </c>
      <c r="O99" s="7" t="s">
        <v>17</v>
      </c>
      <c r="P99" s="7" t="s">
        <v>17</v>
      </c>
      <c r="Q99" s="7" t="s">
        <v>17</v>
      </c>
    </row>
    <row r="100" spans="1:17" ht="90" x14ac:dyDescent="0.25">
      <c r="A100" s="303" t="s">
        <v>98</v>
      </c>
      <c r="B100" s="301" t="s">
        <v>99</v>
      </c>
      <c r="C100" s="9" t="s">
        <v>100</v>
      </c>
      <c r="D100" s="10" t="s">
        <v>101</v>
      </c>
      <c r="E100" s="11">
        <v>227</v>
      </c>
      <c r="F100" s="11">
        <v>227</v>
      </c>
      <c r="G100" s="11">
        <v>227</v>
      </c>
      <c r="H100" s="12">
        <f>SUM(I100:K100)</f>
        <v>43059.57</v>
      </c>
      <c r="I100" s="12">
        <f>22328.93+952.08</f>
        <v>23281.010000000002</v>
      </c>
      <c r="J100" s="12">
        <v>3857.41</v>
      </c>
      <c r="K100" s="12">
        <v>15921.15</v>
      </c>
      <c r="L100" s="13">
        <f>SUM(M100:O100)</f>
        <v>9774522.3900000006</v>
      </c>
      <c r="M100" s="13">
        <f>E100*I100</f>
        <v>5284789.2700000005</v>
      </c>
      <c r="N100" s="13">
        <f>E100*J100</f>
        <v>875632.07</v>
      </c>
      <c r="O100" s="14">
        <f>E100*K100</f>
        <v>3614101.05</v>
      </c>
      <c r="P100" s="14">
        <f>F100*H100</f>
        <v>9774522.3900000006</v>
      </c>
      <c r="Q100" s="14">
        <f>G100*H100</f>
        <v>9774522.3900000006</v>
      </c>
    </row>
    <row r="101" spans="1:17" ht="120" x14ac:dyDescent="0.2">
      <c r="A101" s="303"/>
      <c r="B101" s="301"/>
      <c r="C101" s="15" t="s">
        <v>102</v>
      </c>
      <c r="D101" s="16" t="s">
        <v>101</v>
      </c>
      <c r="E101" s="17">
        <v>3</v>
      </c>
      <c r="F101" s="17">
        <v>3</v>
      </c>
      <c r="G101" s="17">
        <v>3</v>
      </c>
      <c r="H101" s="18">
        <v>22724.03</v>
      </c>
      <c r="I101" s="18">
        <v>22724.03</v>
      </c>
      <c r="J101" s="18" t="s">
        <v>103</v>
      </c>
      <c r="K101" s="18" t="s">
        <v>103</v>
      </c>
      <c r="L101" s="13">
        <f>SUM(M101:O101)</f>
        <v>68172.09</v>
      </c>
      <c r="M101" s="13">
        <f>E101*I101</f>
        <v>68172.09</v>
      </c>
      <c r="N101" s="13" t="s">
        <v>104</v>
      </c>
      <c r="O101" s="19" t="s">
        <v>104</v>
      </c>
      <c r="P101" s="14">
        <f t="shared" ref="P101:P164" si="50">F101*H101</f>
        <v>68172.09</v>
      </c>
      <c r="Q101" s="14">
        <f t="shared" ref="Q101:Q164" si="51">G101*H101</f>
        <v>68172.09</v>
      </c>
    </row>
    <row r="102" spans="1:17" ht="120" x14ac:dyDescent="0.25">
      <c r="A102" s="303"/>
      <c r="B102" s="301"/>
      <c r="C102" s="9" t="s">
        <v>105</v>
      </c>
      <c r="D102" s="16" t="s">
        <v>101</v>
      </c>
      <c r="E102" s="11">
        <v>3</v>
      </c>
      <c r="F102" s="11">
        <v>3</v>
      </c>
      <c r="G102" s="11">
        <v>3</v>
      </c>
      <c r="H102" s="18">
        <f>SUM(I102:K102)</f>
        <v>137159.02000000002</v>
      </c>
      <c r="I102" s="18">
        <f>116428.38+952.08</f>
        <v>117380.46</v>
      </c>
      <c r="J102" s="18">
        <v>3857.41</v>
      </c>
      <c r="K102" s="18">
        <v>15921.15</v>
      </c>
      <c r="L102" s="13">
        <f>SUM(M102:O102)</f>
        <v>411477.06</v>
      </c>
      <c r="M102" s="13">
        <f>E102*I102</f>
        <v>352141.38</v>
      </c>
      <c r="N102" s="13">
        <f>E102*J102</f>
        <v>11572.23</v>
      </c>
      <c r="O102" s="20">
        <f>E102*K102</f>
        <v>47763.45</v>
      </c>
      <c r="P102" s="14">
        <f t="shared" si="50"/>
        <v>411477.06000000006</v>
      </c>
      <c r="Q102" s="14">
        <f t="shared" si="51"/>
        <v>411477.06000000006</v>
      </c>
    </row>
    <row r="103" spans="1:17" ht="15" x14ac:dyDescent="0.2">
      <c r="A103" s="303"/>
      <c r="B103" s="301"/>
      <c r="C103" s="21" t="s">
        <v>106</v>
      </c>
      <c r="D103" s="22"/>
      <c r="E103" s="11">
        <f>E100+E102</f>
        <v>230</v>
      </c>
      <c r="F103" s="11">
        <f t="shared" ref="F103:G103" si="52">F100+F102</f>
        <v>230</v>
      </c>
      <c r="G103" s="11">
        <f t="shared" si="52"/>
        <v>230</v>
      </c>
      <c r="H103" s="11" t="s">
        <v>104</v>
      </c>
      <c r="I103" s="11" t="s">
        <v>104</v>
      </c>
      <c r="J103" s="11" t="s">
        <v>104</v>
      </c>
      <c r="K103" s="11" t="s">
        <v>104</v>
      </c>
      <c r="L103" s="11">
        <f t="shared" ref="L103:O103" si="53">SUM(L100:L102)</f>
        <v>10254171.540000001</v>
      </c>
      <c r="M103" s="11">
        <f t="shared" si="53"/>
        <v>5705102.7400000002</v>
      </c>
      <c r="N103" s="11">
        <f t="shared" si="53"/>
        <v>887204.29999999993</v>
      </c>
      <c r="O103" s="11">
        <f t="shared" si="53"/>
        <v>3661864.5</v>
      </c>
      <c r="P103" s="14">
        <f>SUM(P100:P102)</f>
        <v>10254171.540000001</v>
      </c>
      <c r="Q103" s="14">
        <f>SUM(Q100:Q102)</f>
        <v>10254171.540000001</v>
      </c>
    </row>
    <row r="104" spans="1:17" ht="90" x14ac:dyDescent="0.25">
      <c r="A104" s="303"/>
      <c r="B104" s="301" t="s">
        <v>107</v>
      </c>
      <c r="C104" s="9" t="s">
        <v>100</v>
      </c>
      <c r="D104" s="10" t="s">
        <v>101</v>
      </c>
      <c r="E104" s="23">
        <v>227</v>
      </c>
      <c r="F104" s="23">
        <v>227</v>
      </c>
      <c r="G104" s="23">
        <v>227</v>
      </c>
      <c r="H104" s="12">
        <f>SUM(I104:K104)</f>
        <v>54095.340000000004</v>
      </c>
      <c r="I104" s="12">
        <f>33147.58+1169.2</f>
        <v>34316.78</v>
      </c>
      <c r="J104" s="12">
        <v>3857.41</v>
      </c>
      <c r="K104" s="18">
        <v>15921.15</v>
      </c>
      <c r="L104" s="11">
        <f>SUM(M104:O104)</f>
        <v>12279642.18</v>
      </c>
      <c r="M104" s="11">
        <f>E104*I104</f>
        <v>7789909.0599999996</v>
      </c>
      <c r="N104" s="11">
        <f>E104*J104</f>
        <v>875632.07</v>
      </c>
      <c r="O104" s="24">
        <f>E104*K104</f>
        <v>3614101.05</v>
      </c>
      <c r="P104" s="14">
        <f t="shared" si="50"/>
        <v>12279642.180000002</v>
      </c>
      <c r="Q104" s="14">
        <f t="shared" si="51"/>
        <v>12279642.180000002</v>
      </c>
    </row>
    <row r="105" spans="1:17" ht="120" x14ac:dyDescent="0.25">
      <c r="A105" s="303"/>
      <c r="B105" s="301"/>
      <c r="C105" s="15" t="s">
        <v>102</v>
      </c>
      <c r="D105" s="16" t="s">
        <v>101</v>
      </c>
      <c r="E105" s="25">
        <v>1</v>
      </c>
      <c r="F105" s="25">
        <v>1</v>
      </c>
      <c r="G105" s="25">
        <v>1</v>
      </c>
      <c r="H105" s="18">
        <v>22724.03</v>
      </c>
      <c r="I105" s="18">
        <v>22724.03</v>
      </c>
      <c r="J105" s="18" t="s">
        <v>103</v>
      </c>
      <c r="K105" s="18" t="s">
        <v>103</v>
      </c>
      <c r="L105" s="13">
        <f>SUM(M105:O105)</f>
        <v>22724.03</v>
      </c>
      <c r="M105" s="13">
        <f>E105*I105</f>
        <v>22724.03</v>
      </c>
      <c r="N105" s="13" t="s">
        <v>104</v>
      </c>
      <c r="O105" s="19" t="s">
        <v>104</v>
      </c>
      <c r="P105" s="14">
        <f t="shared" si="50"/>
        <v>22724.03</v>
      </c>
      <c r="Q105" s="14">
        <f t="shared" si="51"/>
        <v>22724.03</v>
      </c>
    </row>
    <row r="106" spans="1:17" ht="120" x14ac:dyDescent="0.25">
      <c r="A106" s="303"/>
      <c r="B106" s="301"/>
      <c r="C106" s="9" t="s">
        <v>105</v>
      </c>
      <c r="D106" s="16" t="s">
        <v>101</v>
      </c>
      <c r="E106" s="25"/>
      <c r="F106" s="25"/>
      <c r="G106" s="25"/>
      <c r="H106" s="25"/>
      <c r="I106" s="25"/>
      <c r="J106" s="25"/>
      <c r="K106" s="26"/>
      <c r="L106" s="26"/>
      <c r="M106" s="26"/>
      <c r="N106" s="26"/>
      <c r="O106" s="26"/>
      <c r="P106" s="14">
        <f t="shared" si="50"/>
        <v>0</v>
      </c>
      <c r="Q106" s="14">
        <f t="shared" si="51"/>
        <v>0</v>
      </c>
    </row>
    <row r="107" spans="1:17" ht="15" x14ac:dyDescent="0.25">
      <c r="A107" s="303"/>
      <c r="B107" s="53"/>
      <c r="C107" s="21" t="s">
        <v>106</v>
      </c>
      <c r="D107" s="16"/>
      <c r="E107" s="25">
        <f>E104+E106</f>
        <v>227</v>
      </c>
      <c r="F107" s="25">
        <f t="shared" ref="F107:G107" si="54">F104+F106</f>
        <v>227</v>
      </c>
      <c r="G107" s="25">
        <f t="shared" si="54"/>
        <v>227</v>
      </c>
      <c r="H107" s="25" t="s">
        <v>104</v>
      </c>
      <c r="I107" s="25" t="s">
        <v>104</v>
      </c>
      <c r="J107" s="25" t="s">
        <v>104</v>
      </c>
      <c r="K107" s="25" t="s">
        <v>104</v>
      </c>
      <c r="L107" s="25">
        <f t="shared" ref="L107:Q107" si="55">SUM(L104:L106)</f>
        <v>12302366.209999999</v>
      </c>
      <c r="M107" s="25">
        <f t="shared" si="55"/>
        <v>7812633.0899999999</v>
      </c>
      <c r="N107" s="25">
        <f t="shared" si="55"/>
        <v>875632.07</v>
      </c>
      <c r="O107" s="25">
        <f t="shared" si="55"/>
        <v>3614101.05</v>
      </c>
      <c r="P107" s="25">
        <f t="shared" si="55"/>
        <v>12302366.210000001</v>
      </c>
      <c r="Q107" s="25">
        <f t="shared" si="55"/>
        <v>12302366.210000001</v>
      </c>
    </row>
    <row r="108" spans="1:17" ht="90" x14ac:dyDescent="0.25">
      <c r="A108" s="303"/>
      <c r="B108" s="301" t="s">
        <v>108</v>
      </c>
      <c r="C108" s="9" t="s">
        <v>100</v>
      </c>
      <c r="D108" s="10" t="s">
        <v>101</v>
      </c>
      <c r="E108" s="25">
        <v>43</v>
      </c>
      <c r="F108" s="25">
        <v>43</v>
      </c>
      <c r="G108" s="25">
        <v>43</v>
      </c>
      <c r="H108" s="12">
        <f>SUM(I108:K108)</f>
        <v>60807.1</v>
      </c>
      <c r="I108" s="12">
        <f>39660.87+1367.67</f>
        <v>41028.54</v>
      </c>
      <c r="J108" s="12">
        <v>3857.41</v>
      </c>
      <c r="K108" s="18">
        <v>15921.15</v>
      </c>
      <c r="L108" s="26">
        <f>SUM(M108:O108)</f>
        <v>2614705.2999999998</v>
      </c>
      <c r="M108" s="26">
        <f>E108*I108</f>
        <v>1764227.22</v>
      </c>
      <c r="N108" s="26">
        <f>E108*J108</f>
        <v>165868.63</v>
      </c>
      <c r="O108" s="26">
        <f>E108*K108</f>
        <v>684609.45</v>
      </c>
      <c r="P108" s="14">
        <f t="shared" si="50"/>
        <v>2614705.2999999998</v>
      </c>
      <c r="Q108" s="14">
        <f t="shared" si="51"/>
        <v>2614705.2999999998</v>
      </c>
    </row>
    <row r="109" spans="1:17" ht="120" x14ac:dyDescent="0.25">
      <c r="A109" s="303"/>
      <c r="B109" s="301"/>
      <c r="C109" s="15" t="s">
        <v>102</v>
      </c>
      <c r="D109" s="16" t="s">
        <v>101</v>
      </c>
      <c r="E109" s="25"/>
      <c r="F109" s="25"/>
      <c r="G109" s="25"/>
      <c r="H109" s="18">
        <v>22724.03</v>
      </c>
      <c r="I109" s="18">
        <v>22724.03</v>
      </c>
      <c r="J109" s="18" t="s">
        <v>103</v>
      </c>
      <c r="K109" s="18" t="s">
        <v>103</v>
      </c>
      <c r="L109" s="13">
        <f>SUM(M109:O109)</f>
        <v>0</v>
      </c>
      <c r="M109" s="13">
        <f>E109*I109</f>
        <v>0</v>
      </c>
      <c r="N109" s="13" t="s">
        <v>104</v>
      </c>
      <c r="O109" s="19" t="s">
        <v>104</v>
      </c>
      <c r="P109" s="14">
        <f t="shared" si="50"/>
        <v>0</v>
      </c>
      <c r="Q109" s="14">
        <f t="shared" si="51"/>
        <v>0</v>
      </c>
    </row>
    <row r="110" spans="1:17" ht="120" x14ac:dyDescent="0.25">
      <c r="A110" s="303"/>
      <c r="B110" s="301"/>
      <c r="C110" s="9" t="s">
        <v>105</v>
      </c>
      <c r="D110" s="16" t="s">
        <v>101</v>
      </c>
      <c r="E110" s="25"/>
      <c r="F110" s="25"/>
      <c r="G110" s="25"/>
      <c r="H110" s="25"/>
      <c r="I110" s="25"/>
      <c r="J110" s="25"/>
      <c r="K110" s="26"/>
      <c r="L110" s="26"/>
      <c r="M110" s="26"/>
      <c r="N110" s="26"/>
      <c r="O110" s="26"/>
      <c r="P110" s="14">
        <f t="shared" si="50"/>
        <v>0</v>
      </c>
      <c r="Q110" s="14">
        <f t="shared" si="51"/>
        <v>0</v>
      </c>
    </row>
    <row r="111" spans="1:17" ht="15" x14ac:dyDescent="0.25">
      <c r="A111" s="303"/>
      <c r="B111" s="53"/>
      <c r="C111" s="21" t="s">
        <v>106</v>
      </c>
      <c r="D111" s="16"/>
      <c r="E111" s="25">
        <f>SUM(E108:E110)</f>
        <v>43</v>
      </c>
      <c r="F111" s="25">
        <f t="shared" ref="F111:Q111" si="56">SUM(F108:F110)</f>
        <v>43</v>
      </c>
      <c r="G111" s="25">
        <f t="shared" si="56"/>
        <v>43</v>
      </c>
      <c r="H111" s="25" t="s">
        <v>104</v>
      </c>
      <c r="I111" s="25" t="s">
        <v>104</v>
      </c>
      <c r="J111" s="25" t="s">
        <v>104</v>
      </c>
      <c r="K111" s="25" t="s">
        <v>104</v>
      </c>
      <c r="L111" s="25">
        <f t="shared" si="56"/>
        <v>2614705.2999999998</v>
      </c>
      <c r="M111" s="25">
        <f t="shared" si="56"/>
        <v>1764227.22</v>
      </c>
      <c r="N111" s="25">
        <f t="shared" si="56"/>
        <v>165868.63</v>
      </c>
      <c r="O111" s="25">
        <f t="shared" si="56"/>
        <v>684609.45</v>
      </c>
      <c r="P111" s="25">
        <f t="shared" si="56"/>
        <v>2614705.2999999998</v>
      </c>
      <c r="Q111" s="25">
        <f t="shared" si="56"/>
        <v>2614705.2999999998</v>
      </c>
    </row>
    <row r="112" spans="1:17" ht="168" customHeight="1" x14ac:dyDescent="0.25">
      <c r="A112" s="303"/>
      <c r="B112" s="302" t="s">
        <v>109</v>
      </c>
      <c r="C112" s="9" t="s">
        <v>110</v>
      </c>
      <c r="D112" s="16" t="s">
        <v>101</v>
      </c>
      <c r="E112" s="25">
        <v>300</v>
      </c>
      <c r="F112" s="25">
        <v>300</v>
      </c>
      <c r="G112" s="25">
        <v>300</v>
      </c>
      <c r="H112" s="18">
        <f>I112</f>
        <v>2770.76</v>
      </c>
      <c r="I112" s="18">
        <v>2770.76</v>
      </c>
      <c r="J112" s="18" t="s">
        <v>104</v>
      </c>
      <c r="K112" s="18" t="s">
        <v>104</v>
      </c>
      <c r="L112" s="26">
        <f>SUM(M112:O112)</f>
        <v>831228.00000000012</v>
      </c>
      <c r="M112" s="26">
        <f>I112*E112</f>
        <v>831228.00000000012</v>
      </c>
      <c r="N112" s="26" t="s">
        <v>104</v>
      </c>
      <c r="O112" s="26" t="s">
        <v>104</v>
      </c>
      <c r="P112" s="14">
        <f t="shared" si="50"/>
        <v>831228.00000000012</v>
      </c>
      <c r="Q112" s="14">
        <f t="shared" si="51"/>
        <v>831228.00000000012</v>
      </c>
    </row>
    <row r="113" spans="1:17" ht="180.75" customHeight="1" x14ac:dyDescent="0.25">
      <c r="A113" s="303"/>
      <c r="B113" s="302"/>
      <c r="C113" s="9" t="s">
        <v>111</v>
      </c>
      <c r="D113" s="16" t="s">
        <v>101</v>
      </c>
      <c r="E113" s="25">
        <v>286</v>
      </c>
      <c r="F113" s="25">
        <v>286</v>
      </c>
      <c r="G113" s="25">
        <v>286</v>
      </c>
      <c r="H113" s="18">
        <v>3829.24</v>
      </c>
      <c r="I113" s="18">
        <f>H113</f>
        <v>3829.24</v>
      </c>
      <c r="J113" s="18" t="s">
        <v>104</v>
      </c>
      <c r="K113" s="18" t="s">
        <v>104</v>
      </c>
      <c r="L113" s="26">
        <f>SUM(M113:O113)</f>
        <v>1095162.6399999999</v>
      </c>
      <c r="M113" s="26">
        <f>I113*E113</f>
        <v>1095162.6399999999</v>
      </c>
      <c r="N113" s="27" t="s">
        <v>104</v>
      </c>
      <c r="O113" s="28" t="s">
        <v>104</v>
      </c>
      <c r="P113" s="14">
        <f t="shared" si="50"/>
        <v>1095162.6399999999</v>
      </c>
      <c r="Q113" s="14">
        <f t="shared" si="51"/>
        <v>1095162.6399999999</v>
      </c>
    </row>
    <row r="114" spans="1:17" ht="15" x14ac:dyDescent="0.25">
      <c r="A114" s="303"/>
      <c r="B114" s="29"/>
      <c r="C114" s="21" t="s">
        <v>106</v>
      </c>
      <c r="D114" s="29"/>
      <c r="E114" s="25">
        <f>SUM(E112:E113)</f>
        <v>586</v>
      </c>
      <c r="F114" s="25">
        <f t="shared" ref="F114:O114" si="57">SUM(F112:F113)</f>
        <v>586</v>
      </c>
      <c r="G114" s="25">
        <f t="shared" si="57"/>
        <v>586</v>
      </c>
      <c r="H114" s="25" t="s">
        <v>104</v>
      </c>
      <c r="I114" s="25" t="s">
        <v>104</v>
      </c>
      <c r="J114" s="25" t="s">
        <v>104</v>
      </c>
      <c r="K114" s="25">
        <f t="shared" si="57"/>
        <v>0</v>
      </c>
      <c r="L114" s="25">
        <f t="shared" si="57"/>
        <v>1926390.6400000001</v>
      </c>
      <c r="M114" s="25">
        <f t="shared" si="57"/>
        <v>1926390.6400000001</v>
      </c>
      <c r="N114" s="25">
        <f t="shared" si="57"/>
        <v>0</v>
      </c>
      <c r="O114" s="29">
        <f t="shared" si="57"/>
        <v>0</v>
      </c>
      <c r="P114" s="14">
        <f>SUM(P112:P113)</f>
        <v>1926390.6400000001</v>
      </c>
      <c r="Q114" s="14">
        <f>SUM(Q112:Q113)</f>
        <v>1926390.6400000001</v>
      </c>
    </row>
    <row r="115" spans="1:17" ht="14.25" x14ac:dyDescent="0.2">
      <c r="A115" s="303"/>
      <c r="B115" s="30" t="s">
        <v>112</v>
      </c>
      <c r="C115" s="30"/>
      <c r="D115" s="29"/>
      <c r="E115" s="29"/>
      <c r="F115" s="29"/>
      <c r="G115" s="29"/>
      <c r="H115" s="29"/>
      <c r="I115" s="29"/>
      <c r="J115" s="29"/>
      <c r="K115" s="29"/>
      <c r="L115" s="29">
        <f>SUM(M115:O115)</f>
        <v>27097633.690000001</v>
      </c>
      <c r="M115" s="29">
        <f t="shared" ref="M115:Q115" si="58">M103+M107+M111+M114</f>
        <v>17208353.690000001</v>
      </c>
      <c r="N115" s="29">
        <f t="shared" si="58"/>
        <v>1928705</v>
      </c>
      <c r="O115" s="29">
        <f t="shared" si="58"/>
        <v>7960575</v>
      </c>
      <c r="P115" s="29">
        <f t="shared" si="58"/>
        <v>27097633.690000001</v>
      </c>
      <c r="Q115" s="29">
        <f t="shared" si="58"/>
        <v>27097633.690000001</v>
      </c>
    </row>
    <row r="116" spans="1:17" ht="90" x14ac:dyDescent="0.25">
      <c r="A116" s="303" t="s">
        <v>113</v>
      </c>
      <c r="B116" s="301" t="s">
        <v>99</v>
      </c>
      <c r="C116" s="9" t="s">
        <v>100</v>
      </c>
      <c r="D116" s="10" t="s">
        <v>101</v>
      </c>
      <c r="E116" s="11">
        <v>204</v>
      </c>
      <c r="F116" s="11">
        <v>205</v>
      </c>
      <c r="G116" s="11">
        <v>203</v>
      </c>
      <c r="H116" s="12">
        <f>SUM(I116:K116)</f>
        <v>43059.57</v>
      </c>
      <c r="I116" s="12">
        <f>22328.93+952.08</f>
        <v>23281.010000000002</v>
      </c>
      <c r="J116" s="12">
        <v>3857.41</v>
      </c>
      <c r="K116" s="12">
        <v>15921.15</v>
      </c>
      <c r="L116" s="13">
        <f>SUM(M116:O116)</f>
        <v>8784152.2799999993</v>
      </c>
      <c r="M116" s="13">
        <f>E116*I116</f>
        <v>4749326.04</v>
      </c>
      <c r="N116" s="13">
        <f>E116*J116</f>
        <v>786911.64</v>
      </c>
      <c r="O116" s="14">
        <f>E116*K116</f>
        <v>3247914.6</v>
      </c>
      <c r="P116" s="14">
        <f t="shared" si="50"/>
        <v>8827211.8499999996</v>
      </c>
      <c r="Q116" s="14">
        <f t="shared" si="51"/>
        <v>8741092.709999999</v>
      </c>
    </row>
    <row r="117" spans="1:17" ht="102.75" customHeight="1" x14ac:dyDescent="0.2">
      <c r="A117" s="303"/>
      <c r="B117" s="301"/>
      <c r="C117" s="15" t="s">
        <v>102</v>
      </c>
      <c r="D117" s="16" t="s">
        <v>101</v>
      </c>
      <c r="E117" s="17">
        <v>3</v>
      </c>
      <c r="F117" s="17">
        <v>1</v>
      </c>
      <c r="G117" s="17">
        <v>1</v>
      </c>
      <c r="H117" s="18">
        <v>22724.03</v>
      </c>
      <c r="I117" s="18">
        <v>22724.03</v>
      </c>
      <c r="J117" s="18" t="s">
        <v>103</v>
      </c>
      <c r="K117" s="18" t="s">
        <v>103</v>
      </c>
      <c r="L117" s="13">
        <f>SUM(M117:O117)</f>
        <v>68172.09</v>
      </c>
      <c r="M117" s="13">
        <f>E117*I117</f>
        <v>68172.09</v>
      </c>
      <c r="N117" s="13" t="s">
        <v>104</v>
      </c>
      <c r="O117" s="19" t="s">
        <v>104</v>
      </c>
      <c r="P117" s="14">
        <f t="shared" si="50"/>
        <v>22724.03</v>
      </c>
      <c r="Q117" s="14">
        <f t="shared" si="51"/>
        <v>22724.03</v>
      </c>
    </row>
    <row r="118" spans="1:17" ht="120" x14ac:dyDescent="0.25">
      <c r="A118" s="303"/>
      <c r="B118" s="301"/>
      <c r="C118" s="9" t="s">
        <v>105</v>
      </c>
      <c r="D118" s="16" t="s">
        <v>101</v>
      </c>
      <c r="E118" s="11"/>
      <c r="F118" s="11">
        <v>1</v>
      </c>
      <c r="G118" s="11">
        <v>1</v>
      </c>
      <c r="H118" s="18">
        <f>SUM(I118:K118)</f>
        <v>137159.02000000002</v>
      </c>
      <c r="I118" s="18">
        <f>116428.38+952.08</f>
        <v>117380.46</v>
      </c>
      <c r="J118" s="18">
        <v>3857.41</v>
      </c>
      <c r="K118" s="18">
        <v>15921.15</v>
      </c>
      <c r="L118" s="13">
        <f>SUM(M118:O118)</f>
        <v>0</v>
      </c>
      <c r="M118" s="13">
        <f>E118*I118</f>
        <v>0</v>
      </c>
      <c r="N118" s="13">
        <f>E118*J118</f>
        <v>0</v>
      </c>
      <c r="O118" s="20">
        <f>E118*K118</f>
        <v>0</v>
      </c>
      <c r="P118" s="14">
        <f t="shared" si="50"/>
        <v>137159.02000000002</v>
      </c>
      <c r="Q118" s="14">
        <f t="shared" si="51"/>
        <v>137159.02000000002</v>
      </c>
    </row>
    <row r="119" spans="1:17" ht="15" x14ac:dyDescent="0.2">
      <c r="A119" s="303"/>
      <c r="B119" s="301"/>
      <c r="C119" s="21" t="s">
        <v>106</v>
      </c>
      <c r="D119" s="22"/>
      <c r="E119" s="11">
        <f>E116+E118</f>
        <v>204</v>
      </c>
      <c r="F119" s="11">
        <f>F116+F118</f>
        <v>206</v>
      </c>
      <c r="G119" s="11">
        <f t="shared" ref="G119" si="59">G116+G118</f>
        <v>204</v>
      </c>
      <c r="H119" s="11" t="s">
        <v>104</v>
      </c>
      <c r="I119" s="11" t="s">
        <v>104</v>
      </c>
      <c r="J119" s="11" t="s">
        <v>104</v>
      </c>
      <c r="K119" s="11" t="s">
        <v>104</v>
      </c>
      <c r="L119" s="11">
        <f t="shared" ref="L119:O119" si="60">SUM(L116:L118)</f>
        <v>8852324.3699999992</v>
      </c>
      <c r="M119" s="11">
        <f t="shared" si="60"/>
        <v>4817498.13</v>
      </c>
      <c r="N119" s="11">
        <f t="shared" si="60"/>
        <v>786911.64</v>
      </c>
      <c r="O119" s="11">
        <f t="shared" si="60"/>
        <v>3247914.6</v>
      </c>
      <c r="P119" s="20">
        <f>SUM(P116:P118)</f>
        <v>8987094.8999999985</v>
      </c>
      <c r="Q119" s="14">
        <f>SUM(Q116:Q118)</f>
        <v>8900975.7599999979</v>
      </c>
    </row>
    <row r="120" spans="1:17" ht="90" x14ac:dyDescent="0.25">
      <c r="A120" s="303"/>
      <c r="B120" s="301" t="s">
        <v>107</v>
      </c>
      <c r="C120" s="9" t="s">
        <v>100</v>
      </c>
      <c r="D120" s="10" t="s">
        <v>101</v>
      </c>
      <c r="E120" s="23">
        <v>240</v>
      </c>
      <c r="F120" s="23">
        <v>233</v>
      </c>
      <c r="G120" s="23">
        <v>244</v>
      </c>
      <c r="H120" s="12">
        <f>SUM(I120:K120)</f>
        <v>54095.340000000004</v>
      </c>
      <c r="I120" s="12">
        <f>33147.58+1169.2</f>
        <v>34316.78</v>
      </c>
      <c r="J120" s="12">
        <v>3857.41</v>
      </c>
      <c r="K120" s="18">
        <v>15921.15</v>
      </c>
      <c r="L120" s="11">
        <f>SUM(M120:O120)</f>
        <v>12982881.6</v>
      </c>
      <c r="M120" s="11">
        <f>E120*I120</f>
        <v>8236027.1999999993</v>
      </c>
      <c r="N120" s="11">
        <f>E120*J120</f>
        <v>925778.39999999991</v>
      </c>
      <c r="O120" s="24">
        <f>E120*K120</f>
        <v>3821076</v>
      </c>
      <c r="P120" s="14">
        <f t="shared" si="50"/>
        <v>12604214.220000001</v>
      </c>
      <c r="Q120" s="14">
        <f t="shared" si="51"/>
        <v>13199262.960000001</v>
      </c>
    </row>
    <row r="121" spans="1:17" ht="117.75" customHeight="1" x14ac:dyDescent="0.25">
      <c r="A121" s="303"/>
      <c r="B121" s="301"/>
      <c r="C121" s="15" t="s">
        <v>102</v>
      </c>
      <c r="D121" s="16" t="s">
        <v>101</v>
      </c>
      <c r="E121" s="25">
        <v>3</v>
      </c>
      <c r="F121" s="25">
        <v>4</v>
      </c>
      <c r="G121" s="25">
        <v>4</v>
      </c>
      <c r="H121" s="18">
        <v>22724.03</v>
      </c>
      <c r="I121" s="18">
        <v>22724.03</v>
      </c>
      <c r="J121" s="18" t="s">
        <v>103</v>
      </c>
      <c r="K121" s="18" t="s">
        <v>103</v>
      </c>
      <c r="L121" s="13">
        <f>SUM(M121:O121)</f>
        <v>68172.09</v>
      </c>
      <c r="M121" s="13">
        <f>E121*I121</f>
        <v>68172.09</v>
      </c>
      <c r="N121" s="13" t="s">
        <v>104</v>
      </c>
      <c r="O121" s="19" t="s">
        <v>104</v>
      </c>
      <c r="P121" s="14">
        <f t="shared" si="50"/>
        <v>90896.12</v>
      </c>
      <c r="Q121" s="14">
        <f t="shared" si="51"/>
        <v>90896.12</v>
      </c>
    </row>
    <row r="122" spans="1:17" ht="120" x14ac:dyDescent="0.25">
      <c r="A122" s="303"/>
      <c r="B122" s="301"/>
      <c r="C122" s="9" t="s">
        <v>105</v>
      </c>
      <c r="D122" s="16" t="s">
        <v>101</v>
      </c>
      <c r="E122" s="25">
        <v>5</v>
      </c>
      <c r="F122" s="25">
        <v>4</v>
      </c>
      <c r="G122" s="25">
        <v>4</v>
      </c>
      <c r="H122" s="18">
        <f>SUM(I122:K122)</f>
        <v>166124.72</v>
      </c>
      <c r="I122" s="18">
        <f>145176.96+1169.2</f>
        <v>146346.16</v>
      </c>
      <c r="J122" s="18">
        <v>3857.41</v>
      </c>
      <c r="K122" s="18">
        <v>15921.15</v>
      </c>
      <c r="L122" s="13">
        <f>SUM(M122:O122)</f>
        <v>830623.60000000009</v>
      </c>
      <c r="M122" s="13">
        <f>E122*I122</f>
        <v>731730.8</v>
      </c>
      <c r="N122" s="26">
        <f>E122*J122</f>
        <v>19287.05</v>
      </c>
      <c r="O122" s="26">
        <f>E122*K122</f>
        <v>79605.75</v>
      </c>
      <c r="P122" s="14">
        <f t="shared" si="50"/>
        <v>664498.88</v>
      </c>
      <c r="Q122" s="14">
        <f t="shared" si="51"/>
        <v>664498.88</v>
      </c>
    </row>
    <row r="123" spans="1:17" ht="15" x14ac:dyDescent="0.25">
      <c r="A123" s="303"/>
      <c r="B123" s="53"/>
      <c r="C123" s="21" t="s">
        <v>106</v>
      </c>
      <c r="D123" s="16"/>
      <c r="E123" s="25">
        <f>E120+E122</f>
        <v>245</v>
      </c>
      <c r="F123" s="25">
        <f t="shared" ref="F123:G123" si="61">F120+F122</f>
        <v>237</v>
      </c>
      <c r="G123" s="25">
        <f t="shared" si="61"/>
        <v>248</v>
      </c>
      <c r="H123" s="25" t="s">
        <v>104</v>
      </c>
      <c r="I123" s="25" t="s">
        <v>104</v>
      </c>
      <c r="J123" s="25" t="s">
        <v>104</v>
      </c>
      <c r="K123" s="25" t="s">
        <v>104</v>
      </c>
      <c r="L123" s="25">
        <f t="shared" ref="L123:O123" si="62">SUM(L120:L122)</f>
        <v>13881677.289999999</v>
      </c>
      <c r="M123" s="25">
        <f t="shared" si="62"/>
        <v>9035930.0899999999</v>
      </c>
      <c r="N123" s="25">
        <f t="shared" si="62"/>
        <v>945065.45</v>
      </c>
      <c r="O123" s="25">
        <f t="shared" si="62"/>
        <v>3900681.75</v>
      </c>
      <c r="P123" s="14">
        <f>SUM(P120:P122)</f>
        <v>13359609.220000001</v>
      </c>
      <c r="Q123" s="14">
        <f>SUM(Q120:Q122)</f>
        <v>13954657.960000001</v>
      </c>
    </row>
    <row r="124" spans="1:17" ht="90" x14ac:dyDescent="0.25">
      <c r="A124" s="303"/>
      <c r="B124" s="301" t="s">
        <v>108</v>
      </c>
      <c r="C124" s="9" t="s">
        <v>100</v>
      </c>
      <c r="D124" s="10" t="s">
        <v>101</v>
      </c>
      <c r="E124" s="25">
        <v>36</v>
      </c>
      <c r="F124" s="25">
        <v>46</v>
      </c>
      <c r="G124" s="25">
        <v>50</v>
      </c>
      <c r="H124" s="12">
        <f>SUM(I124:K124)</f>
        <v>60807.1</v>
      </c>
      <c r="I124" s="12">
        <f>39660.87+1367.67</f>
        <v>41028.54</v>
      </c>
      <c r="J124" s="12">
        <v>3857.41</v>
      </c>
      <c r="K124" s="18">
        <v>15921.15</v>
      </c>
      <c r="L124" s="26">
        <f>SUM(M124:O124)</f>
        <v>2189055.6</v>
      </c>
      <c r="M124" s="26">
        <f>E124*I124</f>
        <v>1477027.44</v>
      </c>
      <c r="N124" s="26">
        <f>E124*J124</f>
        <v>138866.76</v>
      </c>
      <c r="O124" s="26">
        <f>E124*K124</f>
        <v>573161.4</v>
      </c>
      <c r="P124" s="14">
        <f t="shared" si="50"/>
        <v>2797126.6</v>
      </c>
      <c r="Q124" s="14">
        <f t="shared" si="51"/>
        <v>3040355</v>
      </c>
    </row>
    <row r="125" spans="1:17" ht="120.75" customHeight="1" x14ac:dyDescent="0.25">
      <c r="A125" s="303"/>
      <c r="B125" s="301"/>
      <c r="C125" s="15" t="s">
        <v>102</v>
      </c>
      <c r="D125" s="16" t="s">
        <v>101</v>
      </c>
      <c r="E125" s="25">
        <v>2</v>
      </c>
      <c r="F125" s="25"/>
      <c r="G125" s="25"/>
      <c r="H125" s="18">
        <v>22724.03</v>
      </c>
      <c r="I125" s="18">
        <v>22724.03</v>
      </c>
      <c r="J125" s="18" t="s">
        <v>103</v>
      </c>
      <c r="K125" s="18" t="s">
        <v>103</v>
      </c>
      <c r="L125" s="13">
        <f>SUM(M125:O125)</f>
        <v>45448.06</v>
      </c>
      <c r="M125" s="13">
        <f>E125*I125</f>
        <v>45448.06</v>
      </c>
      <c r="N125" s="13" t="s">
        <v>104</v>
      </c>
      <c r="O125" s="19" t="s">
        <v>104</v>
      </c>
      <c r="P125" s="14">
        <f t="shared" si="50"/>
        <v>0</v>
      </c>
      <c r="Q125" s="14">
        <f t="shared" si="51"/>
        <v>0</v>
      </c>
    </row>
    <row r="126" spans="1:17" ht="120" x14ac:dyDescent="0.25">
      <c r="A126" s="303"/>
      <c r="B126" s="301"/>
      <c r="C126" s="9" t="s">
        <v>105</v>
      </c>
      <c r="D126" s="16" t="s">
        <v>101</v>
      </c>
      <c r="E126" s="25"/>
      <c r="F126" s="25"/>
      <c r="G126" s="25"/>
      <c r="H126" s="25"/>
      <c r="I126" s="25"/>
      <c r="J126" s="25"/>
      <c r="K126" s="26"/>
      <c r="L126" s="26"/>
      <c r="M126" s="26"/>
      <c r="N126" s="26"/>
      <c r="O126" s="26"/>
      <c r="P126" s="14">
        <f t="shared" si="50"/>
        <v>0</v>
      </c>
      <c r="Q126" s="14">
        <f t="shared" si="51"/>
        <v>0</v>
      </c>
    </row>
    <row r="127" spans="1:17" ht="15" x14ac:dyDescent="0.25">
      <c r="A127" s="303"/>
      <c r="B127" s="53"/>
      <c r="C127" s="21" t="s">
        <v>106</v>
      </c>
      <c r="D127" s="16"/>
      <c r="E127" s="25">
        <f>E124+E126</f>
        <v>36</v>
      </c>
      <c r="F127" s="25">
        <f t="shared" ref="F127:G127" si="63">F124+F126</f>
        <v>46</v>
      </c>
      <c r="G127" s="25">
        <f t="shared" si="63"/>
        <v>50</v>
      </c>
      <c r="H127" s="25" t="s">
        <v>104</v>
      </c>
      <c r="I127" s="25" t="s">
        <v>104</v>
      </c>
      <c r="J127" s="25" t="s">
        <v>104</v>
      </c>
      <c r="K127" s="25" t="s">
        <v>104</v>
      </c>
      <c r="L127" s="25">
        <f t="shared" ref="L127:O127" si="64">SUM(L124:L126)</f>
        <v>2234503.66</v>
      </c>
      <c r="M127" s="25">
        <f t="shared" si="64"/>
        <v>1522475.5</v>
      </c>
      <c r="N127" s="25">
        <f t="shared" si="64"/>
        <v>138866.76</v>
      </c>
      <c r="O127" s="25">
        <f t="shared" si="64"/>
        <v>573161.4</v>
      </c>
      <c r="P127" s="14">
        <f>SUM(P124:P126)</f>
        <v>2797126.6</v>
      </c>
      <c r="Q127" s="14">
        <f>SUM(Q124:Q126)</f>
        <v>3040355</v>
      </c>
    </row>
    <row r="128" spans="1:17" ht="168" customHeight="1" x14ac:dyDescent="0.25">
      <c r="A128" s="303"/>
      <c r="B128" s="302" t="s">
        <v>109</v>
      </c>
      <c r="C128" s="9" t="s">
        <v>110</v>
      </c>
      <c r="D128" s="16" t="s">
        <v>101</v>
      </c>
      <c r="E128" s="25">
        <v>218</v>
      </c>
      <c r="F128" s="25">
        <v>220</v>
      </c>
      <c r="G128" s="25">
        <v>227</v>
      </c>
      <c r="H128" s="18">
        <f>I128</f>
        <v>2770.76</v>
      </c>
      <c r="I128" s="18">
        <v>2770.76</v>
      </c>
      <c r="J128" s="18" t="s">
        <v>104</v>
      </c>
      <c r="K128" s="18" t="s">
        <v>104</v>
      </c>
      <c r="L128" s="26">
        <f>SUM(M128:O128)</f>
        <v>604025.68000000005</v>
      </c>
      <c r="M128" s="26">
        <f>I128*E128</f>
        <v>604025.68000000005</v>
      </c>
      <c r="N128" s="26" t="s">
        <v>104</v>
      </c>
      <c r="O128" s="26" t="s">
        <v>104</v>
      </c>
      <c r="P128" s="14">
        <f t="shared" si="50"/>
        <v>609567.20000000007</v>
      </c>
      <c r="Q128" s="14">
        <f t="shared" si="51"/>
        <v>628962.52</v>
      </c>
    </row>
    <row r="129" spans="1:17" ht="181.5" customHeight="1" x14ac:dyDescent="0.25">
      <c r="A129" s="303"/>
      <c r="B129" s="302"/>
      <c r="C129" s="9" t="s">
        <v>111</v>
      </c>
      <c r="D129" s="16" t="s">
        <v>101</v>
      </c>
      <c r="E129" s="29">
        <v>298</v>
      </c>
      <c r="F129" s="29">
        <v>301</v>
      </c>
      <c r="G129" s="29">
        <v>310</v>
      </c>
      <c r="H129" s="18">
        <v>3829.24</v>
      </c>
      <c r="I129" s="18">
        <f>H129</f>
        <v>3829.24</v>
      </c>
      <c r="J129" s="18" t="s">
        <v>104</v>
      </c>
      <c r="K129" s="18" t="s">
        <v>104</v>
      </c>
      <c r="L129" s="26">
        <f>SUM(M129:O129)</f>
        <v>1141113.52</v>
      </c>
      <c r="M129" s="26">
        <f>I129*E129</f>
        <v>1141113.52</v>
      </c>
      <c r="N129" s="27" t="s">
        <v>104</v>
      </c>
      <c r="O129" s="28" t="s">
        <v>104</v>
      </c>
      <c r="P129" s="14">
        <f t="shared" si="50"/>
        <v>1152601.24</v>
      </c>
      <c r="Q129" s="14">
        <f t="shared" si="51"/>
        <v>1187064.3999999999</v>
      </c>
    </row>
    <row r="130" spans="1:17" ht="15" x14ac:dyDescent="0.25">
      <c r="A130" s="303"/>
      <c r="B130" s="29"/>
      <c r="C130" s="21" t="s">
        <v>106</v>
      </c>
      <c r="D130" s="29"/>
      <c r="E130" s="29">
        <f>SUM(E128:E129)</f>
        <v>516</v>
      </c>
      <c r="F130" s="29">
        <f t="shared" ref="F130:G130" si="65">SUM(F128:F129)</f>
        <v>521</v>
      </c>
      <c r="G130" s="29">
        <f t="shared" si="65"/>
        <v>537</v>
      </c>
      <c r="H130" s="29" t="s">
        <v>104</v>
      </c>
      <c r="I130" s="29" t="s">
        <v>104</v>
      </c>
      <c r="J130" s="29" t="s">
        <v>104</v>
      </c>
      <c r="K130" s="29">
        <f t="shared" ref="K130:O130" si="66">SUM(K128:K129)</f>
        <v>0</v>
      </c>
      <c r="L130" s="25">
        <f t="shared" si="66"/>
        <v>1745139.2000000002</v>
      </c>
      <c r="M130" s="25">
        <f t="shared" si="66"/>
        <v>1745139.2000000002</v>
      </c>
      <c r="N130" s="25">
        <f t="shared" si="66"/>
        <v>0</v>
      </c>
      <c r="O130" s="25">
        <f t="shared" si="66"/>
        <v>0</v>
      </c>
      <c r="P130" s="14">
        <f>SUM(P128:P129)</f>
        <v>1762168.44</v>
      </c>
      <c r="Q130" s="14">
        <f>SUM(Q128:Q129)</f>
        <v>1816026.92</v>
      </c>
    </row>
    <row r="131" spans="1:17" ht="14.25" x14ac:dyDescent="0.2">
      <c r="A131" s="303"/>
      <c r="B131" s="30" t="s">
        <v>112</v>
      </c>
      <c r="C131" s="30"/>
      <c r="D131" s="29"/>
      <c r="E131" s="29"/>
      <c r="F131" s="29"/>
      <c r="G131" s="29"/>
      <c r="H131" s="29"/>
      <c r="I131" s="29"/>
      <c r="J131" s="29"/>
      <c r="K131" s="29"/>
      <c r="L131" s="29">
        <f>SUM(M131:O131)</f>
        <v>26713644.52</v>
      </c>
      <c r="M131" s="29">
        <f t="shared" ref="M131:Q131" si="67">M119+M123+M127+M130</f>
        <v>17121042.919999998</v>
      </c>
      <c r="N131" s="29">
        <f t="shared" si="67"/>
        <v>1870843.8499999999</v>
      </c>
      <c r="O131" s="29">
        <f t="shared" si="67"/>
        <v>7721757.75</v>
      </c>
      <c r="P131" s="29">
        <f t="shared" si="67"/>
        <v>26905999.16</v>
      </c>
      <c r="Q131" s="29">
        <f t="shared" si="67"/>
        <v>27712015.640000001</v>
      </c>
    </row>
    <row r="132" spans="1:17" ht="90" x14ac:dyDescent="0.25">
      <c r="A132" s="303" t="s">
        <v>114</v>
      </c>
      <c r="B132" s="301" t="s">
        <v>99</v>
      </c>
      <c r="C132" s="9" t="s">
        <v>100</v>
      </c>
      <c r="D132" s="10" t="s">
        <v>101</v>
      </c>
      <c r="E132" s="11">
        <v>157</v>
      </c>
      <c r="F132" s="11">
        <v>180</v>
      </c>
      <c r="G132" s="11">
        <v>210</v>
      </c>
      <c r="H132" s="12">
        <f>SUM(I132:K132)</f>
        <v>43059.57</v>
      </c>
      <c r="I132" s="12">
        <f>22328.93+952.08</f>
        <v>23281.010000000002</v>
      </c>
      <c r="J132" s="12">
        <v>3857.41</v>
      </c>
      <c r="K132" s="12">
        <v>15921.15</v>
      </c>
      <c r="L132" s="13">
        <f>SUM(M132:O132)</f>
        <v>6760352.4900000002</v>
      </c>
      <c r="M132" s="13">
        <f>E132*I132</f>
        <v>3655118.5700000003</v>
      </c>
      <c r="N132" s="13">
        <f>E132*J132</f>
        <v>605613.37</v>
      </c>
      <c r="O132" s="14">
        <f>E132*K132</f>
        <v>2499620.5499999998</v>
      </c>
      <c r="P132" s="14">
        <f t="shared" si="50"/>
        <v>7750722.5999999996</v>
      </c>
      <c r="Q132" s="14">
        <f t="shared" si="51"/>
        <v>9042509.6999999993</v>
      </c>
    </row>
    <row r="133" spans="1:17" ht="120" x14ac:dyDescent="0.2">
      <c r="A133" s="303"/>
      <c r="B133" s="301"/>
      <c r="C133" s="15" t="s">
        <v>102</v>
      </c>
      <c r="D133" s="16" t="s">
        <v>101</v>
      </c>
      <c r="E133" s="17">
        <v>2</v>
      </c>
      <c r="F133" s="17">
        <v>1</v>
      </c>
      <c r="G133" s="17">
        <v>1</v>
      </c>
      <c r="H133" s="18">
        <v>22724.03</v>
      </c>
      <c r="I133" s="18">
        <v>22724.03</v>
      </c>
      <c r="J133" s="18" t="s">
        <v>103</v>
      </c>
      <c r="K133" s="18" t="s">
        <v>103</v>
      </c>
      <c r="L133" s="13">
        <f>SUM(M133:O133)</f>
        <v>45448.06</v>
      </c>
      <c r="M133" s="13">
        <f>E133*I133</f>
        <v>45448.06</v>
      </c>
      <c r="N133" s="13" t="s">
        <v>104</v>
      </c>
      <c r="O133" s="19" t="s">
        <v>104</v>
      </c>
      <c r="P133" s="14">
        <f t="shared" si="50"/>
        <v>22724.03</v>
      </c>
      <c r="Q133" s="14">
        <f t="shared" si="51"/>
        <v>22724.03</v>
      </c>
    </row>
    <row r="134" spans="1:17" ht="120" x14ac:dyDescent="0.25">
      <c r="A134" s="303"/>
      <c r="B134" s="301"/>
      <c r="C134" s="9" t="s">
        <v>105</v>
      </c>
      <c r="D134" s="16" t="s">
        <v>101</v>
      </c>
      <c r="E134" s="11"/>
      <c r="F134" s="11">
        <v>1</v>
      </c>
      <c r="G134" s="11">
        <v>1</v>
      </c>
      <c r="H134" s="18">
        <f>SUM(I134:K134)</f>
        <v>137159.02000000002</v>
      </c>
      <c r="I134" s="18">
        <f>116428.38+952.08</f>
        <v>117380.46</v>
      </c>
      <c r="J134" s="18">
        <v>3857.41</v>
      </c>
      <c r="K134" s="18">
        <v>15921.15</v>
      </c>
      <c r="L134" s="13">
        <f>SUM(M134:O134)</f>
        <v>0</v>
      </c>
      <c r="M134" s="13">
        <f>E134*I134</f>
        <v>0</v>
      </c>
      <c r="N134" s="13">
        <f>E134*J134</f>
        <v>0</v>
      </c>
      <c r="O134" s="20">
        <f>E134*K134</f>
        <v>0</v>
      </c>
      <c r="P134" s="14">
        <f t="shared" si="50"/>
        <v>137159.02000000002</v>
      </c>
      <c r="Q134" s="14">
        <f t="shared" si="51"/>
        <v>137159.02000000002</v>
      </c>
    </row>
    <row r="135" spans="1:17" ht="15" x14ac:dyDescent="0.2">
      <c r="A135" s="303"/>
      <c r="B135" s="301"/>
      <c r="C135" s="21" t="s">
        <v>106</v>
      </c>
      <c r="D135" s="22"/>
      <c r="E135" s="11">
        <f>E132+E134</f>
        <v>157</v>
      </c>
      <c r="F135" s="11">
        <f t="shared" ref="F135:G135" si="68">F132+F134</f>
        <v>181</v>
      </c>
      <c r="G135" s="11">
        <f t="shared" si="68"/>
        <v>211</v>
      </c>
      <c r="H135" s="11" t="s">
        <v>104</v>
      </c>
      <c r="I135" s="11" t="s">
        <v>104</v>
      </c>
      <c r="J135" s="11" t="s">
        <v>104</v>
      </c>
      <c r="K135" s="11" t="s">
        <v>104</v>
      </c>
      <c r="L135" s="11">
        <f t="shared" ref="L135:Q135" si="69">SUM(L132:L134)</f>
        <v>6805800.5499999998</v>
      </c>
      <c r="M135" s="11">
        <f t="shared" si="69"/>
        <v>3700566.6300000004</v>
      </c>
      <c r="N135" s="11">
        <f t="shared" si="69"/>
        <v>605613.37</v>
      </c>
      <c r="O135" s="11">
        <f t="shared" si="69"/>
        <v>2499620.5499999998</v>
      </c>
      <c r="P135" s="11">
        <f t="shared" si="69"/>
        <v>7910605.6500000004</v>
      </c>
      <c r="Q135" s="11">
        <f t="shared" si="69"/>
        <v>9202392.7499999981</v>
      </c>
    </row>
    <row r="136" spans="1:17" ht="90" x14ac:dyDescent="0.25">
      <c r="A136" s="303"/>
      <c r="B136" s="301" t="s">
        <v>107</v>
      </c>
      <c r="C136" s="9" t="s">
        <v>100</v>
      </c>
      <c r="D136" s="10" t="s">
        <v>101</v>
      </c>
      <c r="E136" s="23">
        <v>293</v>
      </c>
      <c r="F136" s="23">
        <v>265</v>
      </c>
      <c r="G136" s="23">
        <v>236</v>
      </c>
      <c r="H136" s="12">
        <f>SUM(I136:K136)</f>
        <v>54095.340000000004</v>
      </c>
      <c r="I136" s="12">
        <f>33147.58+1169.2</f>
        <v>34316.78</v>
      </c>
      <c r="J136" s="12">
        <v>3857.41</v>
      </c>
      <c r="K136" s="18">
        <v>15921.15</v>
      </c>
      <c r="L136" s="11">
        <f>SUM(M136:O136)</f>
        <v>15849934.619999997</v>
      </c>
      <c r="M136" s="11">
        <f>E136*I136</f>
        <v>10054816.539999999</v>
      </c>
      <c r="N136" s="11">
        <f>E136*J136</f>
        <v>1130221.1299999999</v>
      </c>
      <c r="O136" s="24">
        <f>E136*K136</f>
        <v>4664896.95</v>
      </c>
      <c r="P136" s="14">
        <f t="shared" si="50"/>
        <v>14335265.100000001</v>
      </c>
      <c r="Q136" s="14">
        <f t="shared" si="51"/>
        <v>12766500.24</v>
      </c>
    </row>
    <row r="137" spans="1:17" ht="114" customHeight="1" x14ac:dyDescent="0.25">
      <c r="A137" s="303"/>
      <c r="B137" s="301"/>
      <c r="C137" s="15" t="s">
        <v>102</v>
      </c>
      <c r="D137" s="16" t="s">
        <v>101</v>
      </c>
      <c r="E137" s="25">
        <v>6</v>
      </c>
      <c r="F137" s="25">
        <v>5</v>
      </c>
      <c r="G137" s="25">
        <v>5</v>
      </c>
      <c r="H137" s="18">
        <v>22724.03</v>
      </c>
      <c r="I137" s="18">
        <v>22724.03</v>
      </c>
      <c r="J137" s="18" t="s">
        <v>103</v>
      </c>
      <c r="K137" s="18" t="s">
        <v>103</v>
      </c>
      <c r="L137" s="13">
        <f>SUM(M137:O137)</f>
        <v>136344.18</v>
      </c>
      <c r="M137" s="13">
        <f>E137*I137</f>
        <v>136344.18</v>
      </c>
      <c r="N137" s="13" t="s">
        <v>104</v>
      </c>
      <c r="O137" s="19" t="s">
        <v>104</v>
      </c>
      <c r="P137" s="14">
        <f t="shared" si="50"/>
        <v>113620.15</v>
      </c>
      <c r="Q137" s="14">
        <f t="shared" si="51"/>
        <v>113620.15</v>
      </c>
    </row>
    <row r="138" spans="1:17" ht="120" x14ac:dyDescent="0.25">
      <c r="A138" s="303"/>
      <c r="B138" s="301"/>
      <c r="C138" s="9" t="s">
        <v>105</v>
      </c>
      <c r="D138" s="16" t="s">
        <v>101</v>
      </c>
      <c r="E138" s="25">
        <v>3</v>
      </c>
      <c r="F138" s="25">
        <v>3</v>
      </c>
      <c r="G138" s="25">
        <v>3</v>
      </c>
      <c r="H138" s="18">
        <f>SUM(I138:K138)</f>
        <v>166124.72</v>
      </c>
      <c r="I138" s="18">
        <f>145176.96+1169.2</f>
        <v>146346.16</v>
      </c>
      <c r="J138" s="18">
        <v>3857.41</v>
      </c>
      <c r="K138" s="18">
        <v>15921.15</v>
      </c>
      <c r="L138" s="26">
        <f>SUM(M138:O138)</f>
        <v>498374.16</v>
      </c>
      <c r="M138" s="26">
        <f>E138*I138</f>
        <v>439038.48</v>
      </c>
      <c r="N138" s="26">
        <f>E138*J138</f>
        <v>11572.23</v>
      </c>
      <c r="O138" s="26">
        <f>E138*K138</f>
        <v>47763.45</v>
      </c>
      <c r="P138" s="14">
        <f t="shared" si="50"/>
        <v>498374.16000000003</v>
      </c>
      <c r="Q138" s="14">
        <f t="shared" si="51"/>
        <v>498374.16000000003</v>
      </c>
    </row>
    <row r="139" spans="1:17" ht="15" x14ac:dyDescent="0.25">
      <c r="A139" s="303"/>
      <c r="B139" s="53"/>
      <c r="C139" s="21" t="s">
        <v>106</v>
      </c>
      <c r="D139" s="16"/>
      <c r="E139" s="25">
        <f>E136+E138</f>
        <v>296</v>
      </c>
      <c r="F139" s="25">
        <f t="shared" ref="F139:G139" si="70">F136+F138</f>
        <v>268</v>
      </c>
      <c r="G139" s="25">
        <f t="shared" si="70"/>
        <v>239</v>
      </c>
      <c r="H139" s="25" t="s">
        <v>104</v>
      </c>
      <c r="I139" s="25" t="s">
        <v>104</v>
      </c>
      <c r="J139" s="25" t="s">
        <v>104</v>
      </c>
      <c r="K139" s="25" t="s">
        <v>104</v>
      </c>
      <c r="L139" s="25">
        <f t="shared" ref="L139:Q139" si="71">SUM(L136:L138)</f>
        <v>16484652.959999997</v>
      </c>
      <c r="M139" s="25">
        <f t="shared" si="71"/>
        <v>10630199.199999999</v>
      </c>
      <c r="N139" s="25">
        <f t="shared" si="71"/>
        <v>1141793.3599999999</v>
      </c>
      <c r="O139" s="25">
        <f t="shared" si="71"/>
        <v>4712660.4000000004</v>
      </c>
      <c r="P139" s="25">
        <f t="shared" si="71"/>
        <v>14947259.410000002</v>
      </c>
      <c r="Q139" s="25">
        <f t="shared" si="71"/>
        <v>13378494.550000001</v>
      </c>
    </row>
    <row r="140" spans="1:17" ht="90" x14ac:dyDescent="0.25">
      <c r="A140" s="303"/>
      <c r="B140" s="301" t="s">
        <v>108</v>
      </c>
      <c r="C140" s="9" t="s">
        <v>100</v>
      </c>
      <c r="D140" s="10" t="s">
        <v>101</v>
      </c>
      <c r="E140" s="25">
        <v>49</v>
      </c>
      <c r="F140" s="25">
        <v>50</v>
      </c>
      <c r="G140" s="25">
        <v>51</v>
      </c>
      <c r="H140" s="12">
        <f>SUM(I140:K140)</f>
        <v>60807.1</v>
      </c>
      <c r="I140" s="12">
        <f>39660.87+1367.67</f>
        <v>41028.54</v>
      </c>
      <c r="J140" s="12">
        <v>3857.41</v>
      </c>
      <c r="K140" s="18">
        <v>15921.15</v>
      </c>
      <c r="L140" s="26">
        <f>SUM(M140:O140)</f>
        <v>2979547.9</v>
      </c>
      <c r="M140" s="26">
        <f>E140*I140</f>
        <v>2010398.46</v>
      </c>
      <c r="N140" s="26">
        <f>E140*J140</f>
        <v>189013.09</v>
      </c>
      <c r="O140" s="26">
        <f>E140*K140</f>
        <v>780136.35</v>
      </c>
      <c r="P140" s="14">
        <f t="shared" si="50"/>
        <v>3040355</v>
      </c>
      <c r="Q140" s="14">
        <f t="shared" si="51"/>
        <v>3101162.1</v>
      </c>
    </row>
    <row r="141" spans="1:17" ht="120" x14ac:dyDescent="0.25">
      <c r="A141" s="303"/>
      <c r="B141" s="301"/>
      <c r="C141" s="15" t="s">
        <v>102</v>
      </c>
      <c r="D141" s="16" t="s">
        <v>101</v>
      </c>
      <c r="E141" s="25">
        <v>1</v>
      </c>
      <c r="F141" s="25">
        <v>1</v>
      </c>
      <c r="G141" s="25"/>
      <c r="H141" s="18">
        <v>22724.03</v>
      </c>
      <c r="I141" s="18">
        <v>22724.03</v>
      </c>
      <c r="J141" s="18" t="s">
        <v>103</v>
      </c>
      <c r="K141" s="18" t="s">
        <v>103</v>
      </c>
      <c r="L141" s="13">
        <f>SUM(M141:O141)</f>
        <v>22724.03</v>
      </c>
      <c r="M141" s="13">
        <f>E141*I141</f>
        <v>22724.03</v>
      </c>
      <c r="N141" s="13" t="s">
        <v>104</v>
      </c>
      <c r="O141" s="19" t="s">
        <v>104</v>
      </c>
      <c r="P141" s="14">
        <f t="shared" si="50"/>
        <v>22724.03</v>
      </c>
      <c r="Q141" s="14">
        <f t="shared" si="51"/>
        <v>0</v>
      </c>
    </row>
    <row r="142" spans="1:17" ht="120" x14ac:dyDescent="0.25">
      <c r="A142" s="303"/>
      <c r="B142" s="301"/>
      <c r="C142" s="9" t="s">
        <v>105</v>
      </c>
      <c r="D142" s="16" t="s">
        <v>101</v>
      </c>
      <c r="E142" s="25"/>
      <c r="F142" s="25">
        <v>1</v>
      </c>
      <c r="G142" s="25">
        <v>1</v>
      </c>
      <c r="H142" s="18">
        <f>SUM(I142:K142)</f>
        <v>195071.76</v>
      </c>
      <c r="I142" s="18">
        <f>173925.53+1367.67</f>
        <v>175293.2</v>
      </c>
      <c r="J142" s="18">
        <v>3857.41</v>
      </c>
      <c r="K142" s="18">
        <v>15921.15</v>
      </c>
      <c r="L142" s="26"/>
      <c r="M142" s="26"/>
      <c r="N142" s="26"/>
      <c r="O142" s="26"/>
      <c r="P142" s="14">
        <f t="shared" si="50"/>
        <v>195071.76</v>
      </c>
      <c r="Q142" s="14">
        <f t="shared" si="51"/>
        <v>195071.76</v>
      </c>
    </row>
    <row r="143" spans="1:17" ht="15" x14ac:dyDescent="0.25">
      <c r="A143" s="303"/>
      <c r="B143" s="53"/>
      <c r="C143" s="21" t="s">
        <v>106</v>
      </c>
      <c r="D143" s="16"/>
      <c r="E143" s="25">
        <f>E140+E142</f>
        <v>49</v>
      </c>
      <c r="F143" s="25">
        <f t="shared" ref="F143:G143" si="72">F140+F142</f>
        <v>51</v>
      </c>
      <c r="G143" s="25">
        <f t="shared" si="72"/>
        <v>52</v>
      </c>
      <c r="H143" s="25" t="s">
        <v>104</v>
      </c>
      <c r="I143" s="25" t="s">
        <v>104</v>
      </c>
      <c r="J143" s="25" t="s">
        <v>104</v>
      </c>
      <c r="K143" s="25" t="s">
        <v>104</v>
      </c>
      <c r="L143" s="25">
        <f t="shared" ref="L143:Q143" si="73">SUM(L140:L142)</f>
        <v>3002271.9299999997</v>
      </c>
      <c r="M143" s="25">
        <f t="shared" si="73"/>
        <v>2033122.49</v>
      </c>
      <c r="N143" s="25">
        <f t="shared" si="73"/>
        <v>189013.09</v>
      </c>
      <c r="O143" s="25">
        <f t="shared" si="73"/>
        <v>780136.35</v>
      </c>
      <c r="P143" s="25">
        <f t="shared" si="73"/>
        <v>3258150.79</v>
      </c>
      <c r="Q143" s="25">
        <f t="shared" si="73"/>
        <v>3296233.8600000003</v>
      </c>
    </row>
    <row r="144" spans="1:17" ht="162.75" customHeight="1" x14ac:dyDescent="0.25">
      <c r="A144" s="303"/>
      <c r="B144" s="302" t="s">
        <v>109</v>
      </c>
      <c r="C144" s="9" t="s">
        <v>110</v>
      </c>
      <c r="D144" s="16" t="s">
        <v>101</v>
      </c>
      <c r="E144" s="25">
        <v>370</v>
      </c>
      <c r="F144" s="25">
        <v>370</v>
      </c>
      <c r="G144" s="25">
        <v>370</v>
      </c>
      <c r="H144" s="18">
        <f>I144</f>
        <v>2770.76</v>
      </c>
      <c r="I144" s="18">
        <v>2770.76</v>
      </c>
      <c r="J144" s="18" t="s">
        <v>104</v>
      </c>
      <c r="K144" s="18" t="s">
        <v>104</v>
      </c>
      <c r="L144" s="26">
        <f>SUM(M144:O144)</f>
        <v>1025181.2000000001</v>
      </c>
      <c r="M144" s="26">
        <f>I144*E144</f>
        <v>1025181.2000000001</v>
      </c>
      <c r="N144" s="26" t="s">
        <v>104</v>
      </c>
      <c r="O144" s="26" t="s">
        <v>104</v>
      </c>
      <c r="P144" s="14">
        <f t="shared" si="50"/>
        <v>1025181.2000000001</v>
      </c>
      <c r="Q144" s="14">
        <f t="shared" si="51"/>
        <v>1025181.2000000001</v>
      </c>
    </row>
    <row r="145" spans="1:17" ht="183.75" customHeight="1" x14ac:dyDescent="0.25">
      <c r="A145" s="303"/>
      <c r="B145" s="302"/>
      <c r="C145" s="9" t="s">
        <v>111</v>
      </c>
      <c r="D145" s="16" t="s">
        <v>101</v>
      </c>
      <c r="E145" s="29">
        <v>369</v>
      </c>
      <c r="F145" s="29">
        <v>369</v>
      </c>
      <c r="G145" s="29">
        <v>369</v>
      </c>
      <c r="H145" s="18">
        <v>3829.24</v>
      </c>
      <c r="I145" s="18">
        <f>H145</f>
        <v>3829.24</v>
      </c>
      <c r="J145" s="18" t="s">
        <v>104</v>
      </c>
      <c r="K145" s="18" t="s">
        <v>104</v>
      </c>
      <c r="L145" s="26">
        <f>SUM(M145:O145)</f>
        <v>1412989.5599999998</v>
      </c>
      <c r="M145" s="26">
        <f>I145*E145</f>
        <v>1412989.5599999998</v>
      </c>
      <c r="N145" s="27" t="s">
        <v>104</v>
      </c>
      <c r="O145" s="28" t="s">
        <v>104</v>
      </c>
      <c r="P145" s="14">
        <f t="shared" si="50"/>
        <v>1412989.5599999998</v>
      </c>
      <c r="Q145" s="14">
        <f t="shared" si="51"/>
        <v>1412989.5599999998</v>
      </c>
    </row>
    <row r="146" spans="1:17" ht="15" x14ac:dyDescent="0.25">
      <c r="A146" s="303"/>
      <c r="B146" s="29"/>
      <c r="C146" s="21" t="s">
        <v>106</v>
      </c>
      <c r="D146" s="29"/>
      <c r="E146" s="29">
        <f>SUM(E144:E145)</f>
        <v>739</v>
      </c>
      <c r="F146" s="29">
        <f t="shared" ref="F146:G146" si="74">SUM(F144:F145)</f>
        <v>739</v>
      </c>
      <c r="G146" s="25">
        <f t="shared" si="74"/>
        <v>739</v>
      </c>
      <c r="H146" s="25" t="s">
        <v>104</v>
      </c>
      <c r="I146" s="25" t="s">
        <v>104</v>
      </c>
      <c r="J146" s="25" t="s">
        <v>104</v>
      </c>
      <c r="K146" s="25">
        <f t="shared" ref="K146:O146" si="75">SUM(K144:K145)</f>
        <v>0</v>
      </c>
      <c r="L146" s="25">
        <f t="shared" si="75"/>
        <v>2438170.7599999998</v>
      </c>
      <c r="M146" s="25">
        <f t="shared" si="75"/>
        <v>2438170.7599999998</v>
      </c>
      <c r="N146" s="25">
        <f t="shared" si="75"/>
        <v>0</v>
      </c>
      <c r="O146" s="25">
        <f t="shared" si="75"/>
        <v>0</v>
      </c>
      <c r="P146" s="14">
        <f>SUM(P144:P145)</f>
        <v>2438170.7599999998</v>
      </c>
      <c r="Q146" s="14">
        <f>SUM(Q144:Q145)</f>
        <v>2438170.7599999998</v>
      </c>
    </row>
    <row r="147" spans="1:17" ht="14.25" x14ac:dyDescent="0.2">
      <c r="A147" s="303"/>
      <c r="B147" s="30" t="s">
        <v>112</v>
      </c>
      <c r="C147" s="30"/>
      <c r="D147" s="29"/>
      <c r="E147" s="29"/>
      <c r="F147" s="29"/>
      <c r="G147" s="29"/>
      <c r="H147" s="29"/>
      <c r="I147" s="29"/>
      <c r="J147" s="29"/>
      <c r="K147" s="29"/>
      <c r="L147" s="29">
        <f>SUM(M147:O147)</f>
        <v>28730896.199999999</v>
      </c>
      <c r="M147" s="29">
        <f t="shared" ref="M147:Q147" si="76">M135+M139+M143+M146</f>
        <v>18802059.079999998</v>
      </c>
      <c r="N147" s="29">
        <f t="shared" si="76"/>
        <v>1936419.82</v>
      </c>
      <c r="O147" s="29">
        <f t="shared" si="76"/>
        <v>7992417.2999999998</v>
      </c>
      <c r="P147" s="29">
        <f t="shared" si="76"/>
        <v>28554186.609999999</v>
      </c>
      <c r="Q147" s="29">
        <f t="shared" si="76"/>
        <v>28315291.919999994</v>
      </c>
    </row>
    <row r="148" spans="1:17" ht="90" x14ac:dyDescent="0.25">
      <c r="A148" s="303" t="s">
        <v>115</v>
      </c>
      <c r="B148" s="301" t="s">
        <v>99</v>
      </c>
      <c r="C148" s="9" t="s">
        <v>100</v>
      </c>
      <c r="D148" s="10" t="s">
        <v>101</v>
      </c>
      <c r="E148" s="11">
        <v>195</v>
      </c>
      <c r="F148" s="11">
        <v>199</v>
      </c>
      <c r="G148" s="11">
        <v>200</v>
      </c>
      <c r="H148" s="12">
        <f>SUM(I148:K148)</f>
        <v>43059.57</v>
      </c>
      <c r="I148" s="12">
        <f>22328.93+952.08</f>
        <v>23281.010000000002</v>
      </c>
      <c r="J148" s="12">
        <v>3857.41</v>
      </c>
      <c r="K148" s="12">
        <v>15921.15</v>
      </c>
      <c r="L148" s="13">
        <f>SUM(M148:O148)</f>
        <v>8396616.1500000004</v>
      </c>
      <c r="M148" s="13">
        <f>E148*I148</f>
        <v>4539796.95</v>
      </c>
      <c r="N148" s="13">
        <f>E148*J148</f>
        <v>752194.95</v>
      </c>
      <c r="O148" s="14">
        <f>E148*K148</f>
        <v>3104624.25</v>
      </c>
      <c r="P148" s="14">
        <f t="shared" si="50"/>
        <v>8568854.4299999997</v>
      </c>
      <c r="Q148" s="14">
        <f t="shared" si="51"/>
        <v>8611914</v>
      </c>
    </row>
    <row r="149" spans="1:17" ht="117.75" customHeight="1" x14ac:dyDescent="0.2">
      <c r="A149" s="303"/>
      <c r="B149" s="301"/>
      <c r="C149" s="15" t="s">
        <v>102</v>
      </c>
      <c r="D149" s="16" t="s">
        <v>101</v>
      </c>
      <c r="E149" s="17">
        <v>4</v>
      </c>
      <c r="F149" s="17">
        <v>12</v>
      </c>
      <c r="G149" s="17">
        <v>18</v>
      </c>
      <c r="H149" s="18">
        <v>22724.03</v>
      </c>
      <c r="I149" s="18">
        <v>22724.03</v>
      </c>
      <c r="J149" s="18" t="s">
        <v>103</v>
      </c>
      <c r="K149" s="18" t="s">
        <v>103</v>
      </c>
      <c r="L149" s="13">
        <f>SUM(M149:O149)</f>
        <v>90896.12</v>
      </c>
      <c r="M149" s="13">
        <f>E149*I149</f>
        <v>90896.12</v>
      </c>
      <c r="N149" s="13" t="s">
        <v>104</v>
      </c>
      <c r="O149" s="19" t="s">
        <v>104</v>
      </c>
      <c r="P149" s="14">
        <f t="shared" si="50"/>
        <v>272688.36</v>
      </c>
      <c r="Q149" s="14">
        <f t="shared" si="51"/>
        <v>409032.54</v>
      </c>
    </row>
    <row r="150" spans="1:17" ht="120" x14ac:dyDescent="0.25">
      <c r="A150" s="303"/>
      <c r="B150" s="301"/>
      <c r="C150" s="9" t="s">
        <v>105</v>
      </c>
      <c r="D150" s="16" t="s">
        <v>101</v>
      </c>
      <c r="E150" s="11">
        <v>3</v>
      </c>
      <c r="F150" s="11">
        <v>5</v>
      </c>
      <c r="G150" s="11">
        <v>5</v>
      </c>
      <c r="H150" s="18">
        <f>SUM(I150:K150)</f>
        <v>137159.02000000002</v>
      </c>
      <c r="I150" s="18">
        <f>116428.38+952.08</f>
        <v>117380.46</v>
      </c>
      <c r="J150" s="18">
        <v>3857.41</v>
      </c>
      <c r="K150" s="18">
        <v>15921.15</v>
      </c>
      <c r="L150" s="13">
        <f>SUM(M150:O150)</f>
        <v>411477.06</v>
      </c>
      <c r="M150" s="13">
        <f>E150*I150</f>
        <v>352141.38</v>
      </c>
      <c r="N150" s="13">
        <f>E150*J150</f>
        <v>11572.23</v>
      </c>
      <c r="O150" s="20">
        <f>E150*K150</f>
        <v>47763.45</v>
      </c>
      <c r="P150" s="14">
        <f t="shared" si="50"/>
        <v>685795.10000000009</v>
      </c>
      <c r="Q150" s="14">
        <f t="shared" si="51"/>
        <v>685795.10000000009</v>
      </c>
    </row>
    <row r="151" spans="1:17" ht="15" x14ac:dyDescent="0.2">
      <c r="A151" s="303"/>
      <c r="B151" s="301"/>
      <c r="C151" s="21" t="s">
        <v>106</v>
      </c>
      <c r="D151" s="22"/>
      <c r="E151" s="11">
        <f>E148+E150</f>
        <v>198</v>
      </c>
      <c r="F151" s="11">
        <f t="shared" ref="F151:G151" si="77">F148+F150</f>
        <v>204</v>
      </c>
      <c r="G151" s="11">
        <f t="shared" si="77"/>
        <v>205</v>
      </c>
      <c r="H151" s="11" t="s">
        <v>104</v>
      </c>
      <c r="I151" s="11" t="s">
        <v>104</v>
      </c>
      <c r="J151" s="11" t="s">
        <v>104</v>
      </c>
      <c r="K151" s="11" t="s">
        <v>104</v>
      </c>
      <c r="L151" s="11">
        <f t="shared" ref="L151:Q151" si="78">SUM(L148:L150)</f>
        <v>8898989.3300000001</v>
      </c>
      <c r="M151" s="11">
        <f t="shared" si="78"/>
        <v>4982834.45</v>
      </c>
      <c r="N151" s="11">
        <f t="shared" si="78"/>
        <v>763767.17999999993</v>
      </c>
      <c r="O151" s="11">
        <f t="shared" si="78"/>
        <v>3152387.7</v>
      </c>
      <c r="P151" s="11">
        <f t="shared" si="78"/>
        <v>9527337.8899999987</v>
      </c>
      <c r="Q151" s="11">
        <f t="shared" si="78"/>
        <v>9706741.6399999987</v>
      </c>
    </row>
    <row r="152" spans="1:17" ht="90" x14ac:dyDescent="0.25">
      <c r="A152" s="303"/>
      <c r="B152" s="301" t="s">
        <v>107</v>
      </c>
      <c r="C152" s="9" t="s">
        <v>100</v>
      </c>
      <c r="D152" s="10" t="s">
        <v>101</v>
      </c>
      <c r="E152" s="23">
        <v>171</v>
      </c>
      <c r="F152" s="23">
        <v>180</v>
      </c>
      <c r="G152" s="23">
        <v>185</v>
      </c>
      <c r="H152" s="12">
        <f>SUM(I152:K152)</f>
        <v>54095.340000000004</v>
      </c>
      <c r="I152" s="12">
        <f>33147.58+1169.2</f>
        <v>34316.78</v>
      </c>
      <c r="J152" s="12">
        <v>3857.41</v>
      </c>
      <c r="K152" s="18">
        <v>15921.15</v>
      </c>
      <c r="L152" s="11">
        <f>SUM(M152:O152)</f>
        <v>9250303.1400000006</v>
      </c>
      <c r="M152" s="11">
        <f>E152*I152</f>
        <v>5868169.3799999999</v>
      </c>
      <c r="N152" s="11">
        <f>E152*J152</f>
        <v>659617.11</v>
      </c>
      <c r="O152" s="24">
        <f>E152*K152</f>
        <v>2722516.65</v>
      </c>
      <c r="P152" s="14">
        <f t="shared" si="50"/>
        <v>9737161.2000000011</v>
      </c>
      <c r="Q152" s="14">
        <f t="shared" si="51"/>
        <v>10007637.9</v>
      </c>
    </row>
    <row r="153" spans="1:17" ht="112.5" customHeight="1" x14ac:dyDescent="0.25">
      <c r="A153" s="303"/>
      <c r="B153" s="301"/>
      <c r="C153" s="15" t="s">
        <v>102</v>
      </c>
      <c r="D153" s="16" t="s">
        <v>101</v>
      </c>
      <c r="E153" s="25"/>
      <c r="F153" s="25"/>
      <c r="G153" s="25"/>
      <c r="H153" s="18">
        <v>22724.03</v>
      </c>
      <c r="I153" s="18">
        <v>22724.03</v>
      </c>
      <c r="J153" s="18" t="s">
        <v>103</v>
      </c>
      <c r="K153" s="18" t="s">
        <v>103</v>
      </c>
      <c r="L153" s="13">
        <f>SUM(M153:O153)</f>
        <v>0</v>
      </c>
      <c r="M153" s="13">
        <f>E153*I153</f>
        <v>0</v>
      </c>
      <c r="N153" s="13" t="s">
        <v>104</v>
      </c>
      <c r="O153" s="19" t="s">
        <v>104</v>
      </c>
      <c r="P153" s="14">
        <f t="shared" si="50"/>
        <v>0</v>
      </c>
      <c r="Q153" s="14">
        <f t="shared" si="51"/>
        <v>0</v>
      </c>
    </row>
    <row r="154" spans="1:17" ht="120" x14ac:dyDescent="0.25">
      <c r="A154" s="303"/>
      <c r="B154" s="301"/>
      <c r="C154" s="9" t="s">
        <v>105</v>
      </c>
      <c r="D154" s="16" t="s">
        <v>101</v>
      </c>
      <c r="E154" s="25">
        <v>2</v>
      </c>
      <c r="F154" s="25">
        <v>2</v>
      </c>
      <c r="G154" s="25">
        <v>2</v>
      </c>
      <c r="H154" s="18">
        <f>SUM(I154:K154)</f>
        <v>166124.72</v>
      </c>
      <c r="I154" s="18">
        <f>145176.96+1169.2</f>
        <v>146346.16</v>
      </c>
      <c r="J154" s="18">
        <v>3857.41</v>
      </c>
      <c r="K154" s="18">
        <v>15921.15</v>
      </c>
      <c r="L154" s="26">
        <f>SUM(M154:O154)</f>
        <v>332249.44</v>
      </c>
      <c r="M154" s="26">
        <f>E154*I154</f>
        <v>292692.32</v>
      </c>
      <c r="N154" s="26">
        <f>E154*J154</f>
        <v>7714.82</v>
      </c>
      <c r="O154" s="26">
        <f>E154*K154</f>
        <v>31842.3</v>
      </c>
      <c r="P154" s="14">
        <f t="shared" si="50"/>
        <v>332249.44</v>
      </c>
      <c r="Q154" s="14">
        <f t="shared" si="51"/>
        <v>332249.44</v>
      </c>
    </row>
    <row r="155" spans="1:17" ht="15" x14ac:dyDescent="0.25">
      <c r="A155" s="303"/>
      <c r="B155" s="53"/>
      <c r="C155" s="21" t="s">
        <v>106</v>
      </c>
      <c r="D155" s="16"/>
      <c r="E155" s="25">
        <f>E152+E154</f>
        <v>173</v>
      </c>
      <c r="F155" s="25">
        <f t="shared" ref="F155:G155" si="79">F152+F154</f>
        <v>182</v>
      </c>
      <c r="G155" s="25">
        <f t="shared" si="79"/>
        <v>187</v>
      </c>
      <c r="H155" s="25" t="s">
        <v>104</v>
      </c>
      <c r="I155" s="25" t="s">
        <v>104</v>
      </c>
      <c r="J155" s="25" t="s">
        <v>104</v>
      </c>
      <c r="K155" s="25" t="s">
        <v>104</v>
      </c>
      <c r="L155" s="25">
        <f t="shared" ref="L155:Q155" si="80">SUM(L152:L154)</f>
        <v>9582552.5800000001</v>
      </c>
      <c r="M155" s="25">
        <f t="shared" si="80"/>
        <v>6160861.7000000002</v>
      </c>
      <c r="N155" s="25">
        <f t="shared" si="80"/>
        <v>667331.92999999993</v>
      </c>
      <c r="O155" s="25">
        <f t="shared" si="80"/>
        <v>2754358.9499999997</v>
      </c>
      <c r="P155" s="25">
        <f t="shared" si="80"/>
        <v>10069410.640000001</v>
      </c>
      <c r="Q155" s="25">
        <f t="shared" si="80"/>
        <v>10339887.34</v>
      </c>
    </row>
    <row r="156" spans="1:17" ht="90" x14ac:dyDescent="0.25">
      <c r="A156" s="303"/>
      <c r="B156" s="301" t="s">
        <v>108</v>
      </c>
      <c r="C156" s="9" t="s">
        <v>100</v>
      </c>
      <c r="D156" s="10" t="s">
        <v>101</v>
      </c>
      <c r="E156" s="25">
        <v>35</v>
      </c>
      <c r="F156" s="25">
        <v>39</v>
      </c>
      <c r="G156" s="25">
        <v>40</v>
      </c>
      <c r="H156" s="12">
        <f>SUM(I156:K156)</f>
        <v>60807.1</v>
      </c>
      <c r="I156" s="12">
        <f>39660.87+1367.67</f>
        <v>41028.54</v>
      </c>
      <c r="J156" s="12">
        <v>3857.41</v>
      </c>
      <c r="K156" s="18">
        <v>15921.15</v>
      </c>
      <c r="L156" s="26">
        <f>SUM(M156:O156)</f>
        <v>2128248.5</v>
      </c>
      <c r="M156" s="26">
        <f>E156*I156</f>
        <v>1435998.9000000001</v>
      </c>
      <c r="N156" s="26">
        <f>E156*J156</f>
        <v>135009.35</v>
      </c>
      <c r="O156" s="26">
        <f>E156*K156</f>
        <v>557240.25</v>
      </c>
      <c r="P156" s="14">
        <f t="shared" si="50"/>
        <v>2371476.9</v>
      </c>
      <c r="Q156" s="14">
        <f t="shared" si="51"/>
        <v>2432284</v>
      </c>
    </row>
    <row r="157" spans="1:17" ht="120" x14ac:dyDescent="0.25">
      <c r="A157" s="303"/>
      <c r="B157" s="301"/>
      <c r="C157" s="15" t="s">
        <v>102</v>
      </c>
      <c r="D157" s="16" t="s">
        <v>101</v>
      </c>
      <c r="E157" s="25">
        <v>1</v>
      </c>
      <c r="F157" s="25"/>
      <c r="G157" s="25"/>
      <c r="H157" s="18">
        <v>22724.03</v>
      </c>
      <c r="I157" s="18">
        <v>22724.03</v>
      </c>
      <c r="J157" s="18" t="s">
        <v>103</v>
      </c>
      <c r="K157" s="18" t="s">
        <v>103</v>
      </c>
      <c r="L157" s="13">
        <f>SUM(M157:O157)</f>
        <v>22724.03</v>
      </c>
      <c r="M157" s="13">
        <f>E157*I157</f>
        <v>22724.03</v>
      </c>
      <c r="N157" s="13" t="s">
        <v>104</v>
      </c>
      <c r="O157" s="19" t="s">
        <v>104</v>
      </c>
      <c r="P157" s="14">
        <f t="shared" si="50"/>
        <v>0</v>
      </c>
      <c r="Q157" s="14">
        <f t="shared" si="51"/>
        <v>0</v>
      </c>
    </row>
    <row r="158" spans="1:17" ht="120" x14ac:dyDescent="0.25">
      <c r="A158" s="303"/>
      <c r="B158" s="301"/>
      <c r="C158" s="9" t="s">
        <v>105</v>
      </c>
      <c r="D158" s="16" t="s">
        <v>101</v>
      </c>
      <c r="E158" s="25"/>
      <c r="F158" s="25">
        <v>1</v>
      </c>
      <c r="G158" s="25">
        <v>1</v>
      </c>
      <c r="H158" s="18">
        <f>SUM(I158:K158)</f>
        <v>195071.76</v>
      </c>
      <c r="I158" s="18">
        <f>173925.53+1367.67</f>
        <v>175293.2</v>
      </c>
      <c r="J158" s="18">
        <v>3857.41</v>
      </c>
      <c r="K158" s="18">
        <v>15921.15</v>
      </c>
      <c r="L158" s="26"/>
      <c r="M158" s="26"/>
      <c r="N158" s="26"/>
      <c r="O158" s="26"/>
      <c r="P158" s="14">
        <f t="shared" si="50"/>
        <v>195071.76</v>
      </c>
      <c r="Q158" s="14">
        <f t="shared" si="51"/>
        <v>195071.76</v>
      </c>
    </row>
    <row r="159" spans="1:17" ht="15" x14ac:dyDescent="0.25">
      <c r="A159" s="303"/>
      <c r="B159" s="53"/>
      <c r="C159" s="21" t="s">
        <v>106</v>
      </c>
      <c r="D159" s="16"/>
      <c r="E159" s="25">
        <f>E156+E158</f>
        <v>35</v>
      </c>
      <c r="F159" s="25">
        <f t="shared" ref="F159:G159" si="81">F156+F158</f>
        <v>40</v>
      </c>
      <c r="G159" s="25">
        <f t="shared" si="81"/>
        <v>41</v>
      </c>
      <c r="H159" s="25" t="s">
        <v>104</v>
      </c>
      <c r="I159" s="25" t="s">
        <v>104</v>
      </c>
      <c r="J159" s="25" t="s">
        <v>104</v>
      </c>
      <c r="K159" s="25" t="s">
        <v>104</v>
      </c>
      <c r="L159" s="25">
        <f t="shared" ref="L159:Q159" si="82">SUM(L156:L158)</f>
        <v>2150972.5299999998</v>
      </c>
      <c r="M159" s="25">
        <f t="shared" si="82"/>
        <v>1458722.9300000002</v>
      </c>
      <c r="N159" s="25">
        <f t="shared" si="82"/>
        <v>135009.35</v>
      </c>
      <c r="O159" s="25">
        <f t="shared" si="82"/>
        <v>557240.25</v>
      </c>
      <c r="P159" s="25">
        <f t="shared" si="82"/>
        <v>2566548.66</v>
      </c>
      <c r="Q159" s="25">
        <f t="shared" si="82"/>
        <v>2627355.7599999998</v>
      </c>
    </row>
    <row r="160" spans="1:17" ht="165.75" customHeight="1" x14ac:dyDescent="0.25">
      <c r="A160" s="303"/>
      <c r="B160" s="302" t="s">
        <v>109</v>
      </c>
      <c r="C160" s="9" t="s">
        <v>110</v>
      </c>
      <c r="D160" s="16" t="s">
        <v>101</v>
      </c>
      <c r="E160" s="25">
        <v>258</v>
      </c>
      <c r="F160" s="25">
        <v>268</v>
      </c>
      <c r="G160" s="25">
        <v>271</v>
      </c>
      <c r="H160" s="18">
        <f>I160</f>
        <v>2770.76</v>
      </c>
      <c r="I160" s="18">
        <v>2770.76</v>
      </c>
      <c r="J160" s="18" t="s">
        <v>104</v>
      </c>
      <c r="K160" s="18" t="s">
        <v>104</v>
      </c>
      <c r="L160" s="26">
        <f>SUM(M160:O160)</f>
        <v>714856.08000000007</v>
      </c>
      <c r="M160" s="26">
        <f>I160*E160</f>
        <v>714856.08000000007</v>
      </c>
      <c r="N160" s="26" t="s">
        <v>104</v>
      </c>
      <c r="O160" s="26" t="s">
        <v>104</v>
      </c>
      <c r="P160" s="14">
        <f t="shared" si="50"/>
        <v>742563.68</v>
      </c>
      <c r="Q160" s="14">
        <f t="shared" si="51"/>
        <v>750875.96000000008</v>
      </c>
    </row>
    <row r="161" spans="1:17" ht="183.75" customHeight="1" x14ac:dyDescent="0.25">
      <c r="A161" s="303"/>
      <c r="B161" s="302"/>
      <c r="C161" s="9" t="s">
        <v>111</v>
      </c>
      <c r="D161" s="16" t="s">
        <v>101</v>
      </c>
      <c r="E161" s="29">
        <v>206</v>
      </c>
      <c r="F161" s="29">
        <v>214</v>
      </c>
      <c r="G161" s="29">
        <v>216</v>
      </c>
      <c r="H161" s="18">
        <v>3829.24</v>
      </c>
      <c r="I161" s="18">
        <f>H161</f>
        <v>3829.24</v>
      </c>
      <c r="J161" s="18" t="s">
        <v>104</v>
      </c>
      <c r="K161" s="18" t="s">
        <v>104</v>
      </c>
      <c r="L161" s="26">
        <f>SUM(M161:O161)</f>
        <v>788823.44</v>
      </c>
      <c r="M161" s="26">
        <f>I161*E161</f>
        <v>788823.44</v>
      </c>
      <c r="N161" s="27" t="s">
        <v>104</v>
      </c>
      <c r="O161" s="28" t="s">
        <v>104</v>
      </c>
      <c r="P161" s="14">
        <f t="shared" si="50"/>
        <v>819457.36</v>
      </c>
      <c r="Q161" s="14">
        <f t="shared" si="51"/>
        <v>827115.84</v>
      </c>
    </row>
    <row r="162" spans="1:17" ht="15" x14ac:dyDescent="0.25">
      <c r="A162" s="303"/>
      <c r="B162" s="29"/>
      <c r="C162" s="21" t="s">
        <v>106</v>
      </c>
      <c r="D162" s="29"/>
      <c r="E162" s="29">
        <f>SUM(E160:E161)</f>
        <v>464</v>
      </c>
      <c r="F162" s="29">
        <f t="shared" ref="F162:G162" si="83">SUM(F160:F161)</f>
        <v>482</v>
      </c>
      <c r="G162" s="25">
        <f t="shared" si="83"/>
        <v>487</v>
      </c>
      <c r="H162" s="25" t="s">
        <v>104</v>
      </c>
      <c r="I162" s="25" t="s">
        <v>104</v>
      </c>
      <c r="J162" s="25" t="s">
        <v>104</v>
      </c>
      <c r="K162" s="25">
        <f t="shared" ref="K162:O162" si="84">SUM(K160:K161)</f>
        <v>0</v>
      </c>
      <c r="L162" s="25">
        <f t="shared" si="84"/>
        <v>1503679.52</v>
      </c>
      <c r="M162" s="25">
        <f t="shared" si="84"/>
        <v>1503679.52</v>
      </c>
      <c r="N162" s="25">
        <f t="shared" si="84"/>
        <v>0</v>
      </c>
      <c r="O162" s="25">
        <f t="shared" si="84"/>
        <v>0</v>
      </c>
      <c r="P162" s="14">
        <f>SUM(P160:P161)</f>
        <v>1562021.04</v>
      </c>
      <c r="Q162" s="14">
        <f>SUM(Q160:Q161)</f>
        <v>1577991.8</v>
      </c>
    </row>
    <row r="163" spans="1:17" ht="14.25" x14ac:dyDescent="0.2">
      <c r="A163" s="303"/>
      <c r="B163" s="30" t="s">
        <v>112</v>
      </c>
      <c r="C163" s="30"/>
      <c r="D163" s="29"/>
      <c r="E163" s="29"/>
      <c r="F163" s="29"/>
      <c r="G163" s="29"/>
      <c r="H163" s="29"/>
      <c r="I163" s="29"/>
      <c r="J163" s="29"/>
      <c r="K163" s="29"/>
      <c r="L163" s="29">
        <f>SUM(M163:O163)</f>
        <v>22136193.960000001</v>
      </c>
      <c r="M163" s="29">
        <f t="shared" ref="M163:Q163" si="85">M151+M155+M159+M162</f>
        <v>14106098.6</v>
      </c>
      <c r="N163" s="29">
        <f t="shared" si="85"/>
        <v>1566108.46</v>
      </c>
      <c r="O163" s="29">
        <f t="shared" si="85"/>
        <v>6463986.9000000004</v>
      </c>
      <c r="P163" s="29">
        <f t="shared" si="85"/>
        <v>23725318.23</v>
      </c>
      <c r="Q163" s="29">
        <f t="shared" si="85"/>
        <v>24251976.539999995</v>
      </c>
    </row>
    <row r="164" spans="1:17" ht="90" x14ac:dyDescent="0.25">
      <c r="A164" s="303" t="s">
        <v>116</v>
      </c>
      <c r="B164" s="301" t="s">
        <v>99</v>
      </c>
      <c r="C164" s="9" t="s">
        <v>100</v>
      </c>
      <c r="D164" s="10" t="s">
        <v>101</v>
      </c>
      <c r="E164" s="11">
        <v>309</v>
      </c>
      <c r="F164" s="11">
        <v>320</v>
      </c>
      <c r="G164" s="11">
        <v>320</v>
      </c>
      <c r="H164" s="12">
        <f>SUM(I164:K164)</f>
        <v>43059.57</v>
      </c>
      <c r="I164" s="12">
        <f>22328.93+952.08</f>
        <v>23281.010000000002</v>
      </c>
      <c r="J164" s="12">
        <v>3857.41</v>
      </c>
      <c r="K164" s="12">
        <v>15921.15</v>
      </c>
      <c r="L164" s="13">
        <f>SUM(M164:O164)</f>
        <v>13305407.130000001</v>
      </c>
      <c r="M164" s="13">
        <f>E164*I164</f>
        <v>7193832.0900000008</v>
      </c>
      <c r="N164" s="13">
        <f>E164*J164</f>
        <v>1191939.69</v>
      </c>
      <c r="O164" s="14">
        <f>E164*K164</f>
        <v>4919635.3499999996</v>
      </c>
      <c r="P164" s="14">
        <f t="shared" si="50"/>
        <v>13779062.4</v>
      </c>
      <c r="Q164" s="14">
        <f t="shared" si="51"/>
        <v>13779062.4</v>
      </c>
    </row>
    <row r="165" spans="1:17" ht="110.25" customHeight="1" x14ac:dyDescent="0.2">
      <c r="A165" s="303"/>
      <c r="B165" s="301"/>
      <c r="C165" s="15" t="s">
        <v>102</v>
      </c>
      <c r="D165" s="16" t="s">
        <v>101</v>
      </c>
      <c r="E165" s="17">
        <v>3</v>
      </c>
      <c r="F165" s="17">
        <v>3</v>
      </c>
      <c r="G165" s="17">
        <v>3</v>
      </c>
      <c r="H165" s="18">
        <v>22724.03</v>
      </c>
      <c r="I165" s="18">
        <v>22724.03</v>
      </c>
      <c r="J165" s="18" t="s">
        <v>103</v>
      </c>
      <c r="K165" s="18" t="s">
        <v>103</v>
      </c>
      <c r="L165" s="13">
        <f>SUM(M165:O165)</f>
        <v>68172.09</v>
      </c>
      <c r="M165" s="13">
        <f>E165*I165</f>
        <v>68172.09</v>
      </c>
      <c r="N165" s="13" t="s">
        <v>104</v>
      </c>
      <c r="O165" s="19" t="s">
        <v>104</v>
      </c>
      <c r="P165" s="14">
        <f t="shared" ref="P165:P180" si="86">F165*H165</f>
        <v>68172.09</v>
      </c>
      <c r="Q165" s="14">
        <f t="shared" ref="Q165:Q180" si="87">G165*H165</f>
        <v>68172.09</v>
      </c>
    </row>
    <row r="166" spans="1:17" ht="120" x14ac:dyDescent="0.25">
      <c r="A166" s="303"/>
      <c r="B166" s="301"/>
      <c r="C166" s="9" t="s">
        <v>105</v>
      </c>
      <c r="D166" s="16" t="s">
        <v>101</v>
      </c>
      <c r="E166" s="11">
        <v>2</v>
      </c>
      <c r="F166" s="11">
        <v>2</v>
      </c>
      <c r="G166" s="11">
        <v>2</v>
      </c>
      <c r="H166" s="18">
        <f>SUM(I166:K166)</f>
        <v>137159.02000000002</v>
      </c>
      <c r="I166" s="18">
        <f>116428.38+952.08</f>
        <v>117380.46</v>
      </c>
      <c r="J166" s="18">
        <v>3857.41</v>
      </c>
      <c r="K166" s="18">
        <v>15921.15</v>
      </c>
      <c r="L166" s="13">
        <f>SUM(M166:O166)</f>
        <v>274318.04000000004</v>
      </c>
      <c r="M166" s="13">
        <f>E166*I166</f>
        <v>234760.92</v>
      </c>
      <c r="N166" s="13">
        <f>E166*J166</f>
        <v>7714.82</v>
      </c>
      <c r="O166" s="20">
        <f>E166*K166</f>
        <v>31842.3</v>
      </c>
      <c r="P166" s="14">
        <f t="shared" si="86"/>
        <v>274318.04000000004</v>
      </c>
      <c r="Q166" s="14">
        <f t="shared" si="87"/>
        <v>274318.04000000004</v>
      </c>
    </row>
    <row r="167" spans="1:17" ht="105" x14ac:dyDescent="0.25">
      <c r="A167" s="303"/>
      <c r="B167" s="53"/>
      <c r="C167" s="9" t="s">
        <v>117</v>
      </c>
      <c r="D167" s="16" t="s">
        <v>101</v>
      </c>
      <c r="E167" s="11">
        <v>4</v>
      </c>
      <c r="F167" s="11">
        <v>4</v>
      </c>
      <c r="G167" s="11">
        <v>4</v>
      </c>
      <c r="H167" s="18">
        <f>I167</f>
        <v>20712.060000000001</v>
      </c>
      <c r="I167" s="18">
        <v>20712.060000000001</v>
      </c>
      <c r="J167" s="18" t="s">
        <v>104</v>
      </c>
      <c r="K167" s="18" t="s">
        <v>104</v>
      </c>
      <c r="L167" s="11">
        <f>SUM(M167:O167)</f>
        <v>82848.240000000005</v>
      </c>
      <c r="M167" s="11">
        <f>E167*I167</f>
        <v>82848.240000000005</v>
      </c>
      <c r="N167" s="11"/>
      <c r="O167" s="11"/>
      <c r="P167" s="14">
        <f t="shared" si="86"/>
        <v>82848.240000000005</v>
      </c>
      <c r="Q167" s="14">
        <f t="shared" si="87"/>
        <v>82848.240000000005</v>
      </c>
    </row>
    <row r="168" spans="1:17" ht="15" x14ac:dyDescent="0.2">
      <c r="A168" s="303"/>
      <c r="B168" s="53"/>
      <c r="C168" s="21" t="s">
        <v>106</v>
      </c>
      <c r="D168" s="22"/>
      <c r="E168" s="11">
        <f>E164+E166</f>
        <v>311</v>
      </c>
      <c r="F168" s="11">
        <f t="shared" ref="F168:G168" si="88">F164+F166</f>
        <v>322</v>
      </c>
      <c r="G168" s="11">
        <f t="shared" si="88"/>
        <v>322</v>
      </c>
      <c r="H168" s="11" t="s">
        <v>104</v>
      </c>
      <c r="I168" s="11" t="s">
        <v>104</v>
      </c>
      <c r="J168" s="11" t="s">
        <v>104</v>
      </c>
      <c r="K168" s="11" t="s">
        <v>104</v>
      </c>
      <c r="L168" s="13">
        <f>SUM(L164:L167)</f>
        <v>13730745.500000002</v>
      </c>
      <c r="M168" s="13">
        <f t="shared" ref="M168:Q168" si="89">SUM(M164:M167)</f>
        <v>7579613.3400000008</v>
      </c>
      <c r="N168" s="13">
        <f t="shared" si="89"/>
        <v>1199654.51</v>
      </c>
      <c r="O168" s="13">
        <f t="shared" si="89"/>
        <v>4951477.6499999994</v>
      </c>
      <c r="P168" s="13">
        <f t="shared" si="89"/>
        <v>14204400.770000001</v>
      </c>
      <c r="Q168" s="13">
        <f t="shared" si="89"/>
        <v>14204400.770000001</v>
      </c>
    </row>
    <row r="169" spans="1:17" ht="90" x14ac:dyDescent="0.25">
      <c r="A169" s="303"/>
      <c r="B169" s="301" t="s">
        <v>107</v>
      </c>
      <c r="C169" s="9" t="s">
        <v>100</v>
      </c>
      <c r="D169" s="10" t="s">
        <v>101</v>
      </c>
      <c r="E169" s="23">
        <v>57</v>
      </c>
      <c r="F169" s="23">
        <v>50</v>
      </c>
      <c r="G169" s="23">
        <v>53</v>
      </c>
      <c r="H169" s="12">
        <f>SUM(I169:K169)</f>
        <v>54095.340000000004</v>
      </c>
      <c r="I169" s="12">
        <f>33147.58+1169.2</f>
        <v>34316.78</v>
      </c>
      <c r="J169" s="12">
        <v>3857.41</v>
      </c>
      <c r="K169" s="18">
        <v>15921.15</v>
      </c>
      <c r="L169" s="11">
        <f>SUM(M169:O169)</f>
        <v>3083434.38</v>
      </c>
      <c r="M169" s="11">
        <f>E169*I169</f>
        <v>1956056.46</v>
      </c>
      <c r="N169" s="11">
        <f>E169*J169</f>
        <v>219872.37</v>
      </c>
      <c r="O169" s="24">
        <f>E169*K169</f>
        <v>907505.54999999993</v>
      </c>
      <c r="P169" s="14">
        <f t="shared" si="86"/>
        <v>2704767</v>
      </c>
      <c r="Q169" s="14">
        <f t="shared" si="87"/>
        <v>2867053.02</v>
      </c>
    </row>
    <row r="170" spans="1:17" ht="104.25" customHeight="1" x14ac:dyDescent="0.25">
      <c r="A170" s="303"/>
      <c r="B170" s="301"/>
      <c r="C170" s="9" t="s">
        <v>118</v>
      </c>
      <c r="D170" s="10" t="s">
        <v>101</v>
      </c>
      <c r="E170" s="23">
        <v>326</v>
      </c>
      <c r="F170" s="23">
        <v>315</v>
      </c>
      <c r="G170" s="23">
        <v>327</v>
      </c>
      <c r="H170" s="12">
        <f>SUM(I170:K170)</f>
        <v>57407.18</v>
      </c>
      <c r="I170" s="12">
        <f>36459.42+1169.2</f>
        <v>37628.619999999995</v>
      </c>
      <c r="J170" s="12">
        <v>3857.41</v>
      </c>
      <c r="K170" s="18">
        <v>15921.15</v>
      </c>
      <c r="L170" s="11">
        <f>SUM(M170:O170)</f>
        <v>18714740.68</v>
      </c>
      <c r="M170" s="11">
        <f>E170*I170</f>
        <v>12266930.119999999</v>
      </c>
      <c r="N170" s="11">
        <f>E170*J170</f>
        <v>1257515.6599999999</v>
      </c>
      <c r="O170" s="24">
        <f>E170*K170</f>
        <v>5190294.8999999994</v>
      </c>
      <c r="P170" s="14">
        <f t="shared" si="86"/>
        <v>18083261.699999999</v>
      </c>
      <c r="Q170" s="14">
        <f t="shared" si="87"/>
        <v>18772147.859999999</v>
      </c>
    </row>
    <row r="171" spans="1:17" ht="119.25" customHeight="1" x14ac:dyDescent="0.25">
      <c r="A171" s="303"/>
      <c r="B171" s="301"/>
      <c r="C171" s="15" t="s">
        <v>102</v>
      </c>
      <c r="D171" s="16" t="s">
        <v>101</v>
      </c>
      <c r="E171" s="25">
        <v>1</v>
      </c>
      <c r="F171" s="25">
        <v>1</v>
      </c>
      <c r="G171" s="25">
        <v>1</v>
      </c>
      <c r="H171" s="18">
        <v>22724.03</v>
      </c>
      <c r="I171" s="18">
        <v>22724.03</v>
      </c>
      <c r="J171" s="18" t="s">
        <v>103</v>
      </c>
      <c r="K171" s="18" t="s">
        <v>103</v>
      </c>
      <c r="L171" s="13">
        <f>SUM(M171:O171)</f>
        <v>22724.03</v>
      </c>
      <c r="M171" s="13">
        <f>E171*I171</f>
        <v>22724.03</v>
      </c>
      <c r="N171" s="13" t="s">
        <v>104</v>
      </c>
      <c r="O171" s="19" t="s">
        <v>104</v>
      </c>
      <c r="P171" s="14">
        <f t="shared" si="86"/>
        <v>22724.03</v>
      </c>
      <c r="Q171" s="14">
        <f t="shared" si="87"/>
        <v>22724.03</v>
      </c>
    </row>
    <row r="172" spans="1:17" ht="120" x14ac:dyDescent="0.25">
      <c r="A172" s="303"/>
      <c r="B172" s="301"/>
      <c r="C172" s="9" t="s">
        <v>105</v>
      </c>
      <c r="D172" s="16" t="s">
        <v>101</v>
      </c>
      <c r="E172" s="25"/>
      <c r="F172" s="25"/>
      <c r="G172" s="25"/>
      <c r="H172" s="18">
        <f>SUM(I172:K172)</f>
        <v>166124.72</v>
      </c>
      <c r="I172" s="18">
        <f>145176.96+1169.2</f>
        <v>146346.16</v>
      </c>
      <c r="J172" s="18">
        <v>3857.41</v>
      </c>
      <c r="K172" s="18">
        <v>15921.15</v>
      </c>
      <c r="L172" s="26">
        <f>SUM(M172:O172)</f>
        <v>0</v>
      </c>
      <c r="M172" s="26">
        <f>E172*I172</f>
        <v>0</v>
      </c>
      <c r="N172" s="26">
        <f>E172*J172</f>
        <v>0</v>
      </c>
      <c r="O172" s="26">
        <f>E172*K172</f>
        <v>0</v>
      </c>
      <c r="P172" s="14">
        <f t="shared" si="86"/>
        <v>0</v>
      </c>
      <c r="Q172" s="14">
        <f t="shared" si="87"/>
        <v>0</v>
      </c>
    </row>
    <row r="173" spans="1:17" ht="105" x14ac:dyDescent="0.25">
      <c r="A173" s="303"/>
      <c r="B173" s="53"/>
      <c r="C173" s="9" t="s">
        <v>117</v>
      </c>
      <c r="D173" s="16" t="s">
        <v>101</v>
      </c>
      <c r="E173" s="25">
        <v>3</v>
      </c>
      <c r="F173" s="25">
        <v>3</v>
      </c>
      <c r="G173" s="25">
        <v>3</v>
      </c>
      <c r="H173" s="18">
        <v>32794.07</v>
      </c>
      <c r="I173" s="18">
        <f>H173</f>
        <v>32794.07</v>
      </c>
      <c r="J173" s="18" t="s">
        <v>104</v>
      </c>
      <c r="K173" s="18" t="s">
        <v>104</v>
      </c>
      <c r="L173" s="26">
        <f>SUM(M173:O173)</f>
        <v>98382.209999999992</v>
      </c>
      <c r="M173" s="26">
        <f>E173*I173</f>
        <v>98382.209999999992</v>
      </c>
      <c r="N173" s="26"/>
      <c r="O173" s="26"/>
      <c r="P173" s="14">
        <f t="shared" si="86"/>
        <v>98382.209999999992</v>
      </c>
      <c r="Q173" s="14">
        <f t="shared" si="87"/>
        <v>98382.209999999992</v>
      </c>
    </row>
    <row r="174" spans="1:17" ht="15" x14ac:dyDescent="0.25">
      <c r="A174" s="303"/>
      <c r="B174" s="53"/>
      <c r="C174" s="21" t="s">
        <v>106</v>
      </c>
      <c r="D174" s="16"/>
      <c r="E174" s="25">
        <f>E169++E170+E172</f>
        <v>383</v>
      </c>
      <c r="F174" s="25">
        <f t="shared" ref="F174:G174" si="90">F169++F170+F172</f>
        <v>365</v>
      </c>
      <c r="G174" s="25">
        <f t="shared" si="90"/>
        <v>380</v>
      </c>
      <c r="H174" s="25" t="s">
        <v>104</v>
      </c>
      <c r="I174" s="25" t="s">
        <v>104</v>
      </c>
      <c r="J174" s="25" t="s">
        <v>104</v>
      </c>
      <c r="K174" s="25" t="s">
        <v>104</v>
      </c>
      <c r="L174" s="25">
        <f>SUM(L169:L173)</f>
        <v>21919281.300000001</v>
      </c>
      <c r="M174" s="25">
        <f t="shared" ref="M174:Q174" si="91">SUM(M169:M173)</f>
        <v>14344092.819999998</v>
      </c>
      <c r="N174" s="25">
        <f t="shared" si="91"/>
        <v>1477388.0299999998</v>
      </c>
      <c r="O174" s="25">
        <f t="shared" si="91"/>
        <v>6097800.4499999993</v>
      </c>
      <c r="P174" s="25">
        <f t="shared" si="91"/>
        <v>20909134.940000001</v>
      </c>
      <c r="Q174" s="25">
        <f t="shared" si="91"/>
        <v>21760307.120000001</v>
      </c>
    </row>
    <row r="175" spans="1:17" ht="90" x14ac:dyDescent="0.25">
      <c r="A175" s="303"/>
      <c r="B175" s="301" t="s">
        <v>108</v>
      </c>
      <c r="C175" s="9" t="s">
        <v>100</v>
      </c>
      <c r="D175" s="10" t="s">
        <v>101</v>
      </c>
      <c r="E175" s="25">
        <v>106</v>
      </c>
      <c r="F175" s="25">
        <v>110</v>
      </c>
      <c r="G175" s="25">
        <v>112</v>
      </c>
      <c r="H175" s="12">
        <f>SUM(I175:K175)</f>
        <v>60807.1</v>
      </c>
      <c r="I175" s="12">
        <f>39660.87+1367.67</f>
        <v>41028.54</v>
      </c>
      <c r="J175" s="12">
        <v>3857.41</v>
      </c>
      <c r="K175" s="18">
        <v>15921.15</v>
      </c>
      <c r="L175" s="26">
        <f>SUM(M175:O175)</f>
        <v>6445552.5999999996</v>
      </c>
      <c r="M175" s="26">
        <f>E175*I175</f>
        <v>4349025.24</v>
      </c>
      <c r="N175" s="26">
        <f>E175*J175</f>
        <v>408885.45999999996</v>
      </c>
      <c r="O175" s="26">
        <f>E175*K175</f>
        <v>1687641.9</v>
      </c>
      <c r="P175" s="14">
        <f t="shared" si="86"/>
        <v>6688781</v>
      </c>
      <c r="Q175" s="14">
        <f t="shared" si="87"/>
        <v>6810395.2000000002</v>
      </c>
    </row>
    <row r="176" spans="1:17" ht="113.25" customHeight="1" x14ac:dyDescent="0.25">
      <c r="A176" s="303"/>
      <c r="B176" s="301"/>
      <c r="C176" s="15" t="s">
        <v>102</v>
      </c>
      <c r="D176" s="16" t="s">
        <v>101</v>
      </c>
      <c r="E176" s="25">
        <v>1</v>
      </c>
      <c r="F176" s="25">
        <v>1</v>
      </c>
      <c r="G176" s="25">
        <v>1</v>
      </c>
      <c r="H176" s="18">
        <v>22724.03</v>
      </c>
      <c r="I176" s="18">
        <v>22724.03</v>
      </c>
      <c r="J176" s="18" t="s">
        <v>103</v>
      </c>
      <c r="K176" s="18" t="s">
        <v>103</v>
      </c>
      <c r="L176" s="13">
        <f>SUM(M176:O176)</f>
        <v>22724.03</v>
      </c>
      <c r="M176" s="13">
        <f>E176*I176</f>
        <v>22724.03</v>
      </c>
      <c r="N176" s="13" t="s">
        <v>104</v>
      </c>
      <c r="O176" s="19" t="s">
        <v>104</v>
      </c>
      <c r="P176" s="14">
        <f t="shared" si="86"/>
        <v>22724.03</v>
      </c>
      <c r="Q176" s="14">
        <f t="shared" si="87"/>
        <v>22724.03</v>
      </c>
    </row>
    <row r="177" spans="1:17" ht="120" x14ac:dyDescent="0.25">
      <c r="A177" s="303"/>
      <c r="B177" s="301"/>
      <c r="C177" s="9" t="s">
        <v>105</v>
      </c>
      <c r="D177" s="16" t="s">
        <v>101</v>
      </c>
      <c r="E177" s="25"/>
      <c r="F177" s="25"/>
      <c r="G177" s="25"/>
      <c r="H177" s="18">
        <f>SUM(I177:K177)</f>
        <v>195071.76</v>
      </c>
      <c r="I177" s="18">
        <f>173925.53+1367.67</f>
        <v>175293.2</v>
      </c>
      <c r="J177" s="18">
        <v>3857.41</v>
      </c>
      <c r="K177" s="18">
        <v>15921.15</v>
      </c>
      <c r="L177" s="26"/>
      <c r="M177" s="26"/>
      <c r="N177" s="26"/>
      <c r="O177" s="26"/>
      <c r="P177" s="14">
        <f t="shared" si="86"/>
        <v>0</v>
      </c>
      <c r="Q177" s="14">
        <f t="shared" si="87"/>
        <v>0</v>
      </c>
    </row>
    <row r="178" spans="1:17" ht="15" x14ac:dyDescent="0.25">
      <c r="A178" s="303"/>
      <c r="B178" s="53"/>
      <c r="C178" s="21" t="s">
        <v>106</v>
      </c>
      <c r="D178" s="16"/>
      <c r="E178" s="25">
        <f>E175+E177</f>
        <v>106</v>
      </c>
      <c r="F178" s="25">
        <f t="shared" ref="F178:G178" si="92">F175+F177</f>
        <v>110</v>
      </c>
      <c r="G178" s="25">
        <f t="shared" si="92"/>
        <v>112</v>
      </c>
      <c r="H178" s="25" t="s">
        <v>104</v>
      </c>
      <c r="I178" s="25" t="s">
        <v>104</v>
      </c>
      <c r="J178" s="25" t="s">
        <v>104</v>
      </c>
      <c r="K178" s="25" t="s">
        <v>104</v>
      </c>
      <c r="L178" s="25">
        <f>SUM(L175:L177)</f>
        <v>6468276.6299999999</v>
      </c>
      <c r="M178" s="25">
        <f t="shared" ref="M178:Q178" si="93">SUM(M175:M177)</f>
        <v>4371749.2700000005</v>
      </c>
      <c r="N178" s="25">
        <f t="shared" si="93"/>
        <v>408885.45999999996</v>
      </c>
      <c r="O178" s="25">
        <f t="shared" si="93"/>
        <v>1687641.9</v>
      </c>
      <c r="P178" s="25">
        <f t="shared" si="93"/>
        <v>6711505.0300000003</v>
      </c>
      <c r="Q178" s="25">
        <f t="shared" si="93"/>
        <v>6833119.2300000004</v>
      </c>
    </row>
    <row r="179" spans="1:17" ht="171.75" customHeight="1" x14ac:dyDescent="0.25">
      <c r="A179" s="303"/>
      <c r="B179" s="302" t="s">
        <v>109</v>
      </c>
      <c r="C179" s="9" t="s">
        <v>110</v>
      </c>
      <c r="D179" s="16" t="s">
        <v>101</v>
      </c>
      <c r="E179" s="25">
        <v>509</v>
      </c>
      <c r="F179" s="25">
        <v>519</v>
      </c>
      <c r="G179" s="25">
        <v>519</v>
      </c>
      <c r="H179" s="18">
        <f>I179</f>
        <v>2770.76</v>
      </c>
      <c r="I179" s="18">
        <v>2770.76</v>
      </c>
      <c r="J179" s="18" t="s">
        <v>104</v>
      </c>
      <c r="K179" s="18" t="s">
        <v>104</v>
      </c>
      <c r="L179" s="26">
        <f>SUM(M179:O179)</f>
        <v>1410316.84</v>
      </c>
      <c r="M179" s="26">
        <f>I179*E179</f>
        <v>1410316.84</v>
      </c>
      <c r="N179" s="26" t="s">
        <v>104</v>
      </c>
      <c r="O179" s="26" t="s">
        <v>104</v>
      </c>
      <c r="P179" s="14">
        <f t="shared" si="86"/>
        <v>1438024.4400000002</v>
      </c>
      <c r="Q179" s="14">
        <f t="shared" si="87"/>
        <v>1438024.4400000002</v>
      </c>
    </row>
    <row r="180" spans="1:17" ht="180.75" customHeight="1" x14ac:dyDescent="0.25">
      <c r="A180" s="303"/>
      <c r="B180" s="302"/>
      <c r="C180" s="9" t="s">
        <v>111</v>
      </c>
      <c r="D180" s="16" t="s">
        <v>101</v>
      </c>
      <c r="E180" s="29">
        <v>622</v>
      </c>
      <c r="F180" s="29">
        <v>632</v>
      </c>
      <c r="G180" s="29">
        <v>632</v>
      </c>
      <c r="H180" s="18">
        <v>3829.24</v>
      </c>
      <c r="I180" s="18">
        <f>H180</f>
        <v>3829.24</v>
      </c>
      <c r="J180" s="18" t="s">
        <v>104</v>
      </c>
      <c r="K180" s="18" t="s">
        <v>104</v>
      </c>
      <c r="L180" s="26">
        <f>SUM(M180:O180)</f>
        <v>2381787.2799999998</v>
      </c>
      <c r="M180" s="26">
        <f>I180*E180</f>
        <v>2381787.2799999998</v>
      </c>
      <c r="N180" s="27" t="s">
        <v>104</v>
      </c>
      <c r="O180" s="28" t="s">
        <v>104</v>
      </c>
      <c r="P180" s="14">
        <f t="shared" si="86"/>
        <v>2420079.6799999997</v>
      </c>
      <c r="Q180" s="14">
        <f t="shared" si="87"/>
        <v>2420079.6799999997</v>
      </c>
    </row>
    <row r="181" spans="1:17" ht="15" x14ac:dyDescent="0.25">
      <c r="A181" s="303"/>
      <c r="B181" s="29"/>
      <c r="C181" s="21" t="s">
        <v>106</v>
      </c>
      <c r="D181" s="29"/>
      <c r="E181" s="29">
        <f>SUM(E179:E180)</f>
        <v>1131</v>
      </c>
      <c r="F181" s="29">
        <f t="shared" ref="F181:G181" si="94">SUM(F179:F180)</f>
        <v>1151</v>
      </c>
      <c r="G181" s="25">
        <f t="shared" si="94"/>
        <v>1151</v>
      </c>
      <c r="H181" s="25" t="s">
        <v>104</v>
      </c>
      <c r="I181" s="25" t="s">
        <v>104</v>
      </c>
      <c r="J181" s="25" t="s">
        <v>104</v>
      </c>
      <c r="K181" s="25">
        <f t="shared" ref="K181:O181" si="95">SUM(K179:K180)</f>
        <v>0</v>
      </c>
      <c r="L181" s="25">
        <f t="shared" si="95"/>
        <v>3792104.12</v>
      </c>
      <c r="M181" s="25">
        <f t="shared" si="95"/>
        <v>3792104.12</v>
      </c>
      <c r="N181" s="25">
        <f t="shared" si="95"/>
        <v>0</v>
      </c>
      <c r="O181" s="25">
        <f t="shared" si="95"/>
        <v>0</v>
      </c>
      <c r="P181" s="14">
        <f>SUM(P179:P180)</f>
        <v>3858104.12</v>
      </c>
      <c r="Q181" s="14">
        <f>SUM(Q179:Q180)</f>
        <v>3858104.12</v>
      </c>
    </row>
    <row r="182" spans="1:17" ht="14.25" x14ac:dyDescent="0.2">
      <c r="A182" s="303"/>
      <c r="B182" s="30" t="s">
        <v>112</v>
      </c>
      <c r="C182" s="30"/>
      <c r="D182" s="29"/>
      <c r="E182" s="29"/>
      <c r="F182" s="29"/>
      <c r="G182" s="29"/>
      <c r="H182" s="29"/>
      <c r="I182" s="29"/>
      <c r="J182" s="29"/>
      <c r="K182" s="29"/>
      <c r="L182" s="31">
        <f>L168+L174+L178+L181</f>
        <v>45910407.550000004</v>
      </c>
      <c r="M182" s="31">
        <f t="shared" ref="M182:Q182" si="96">M168+M174+M178+M181</f>
        <v>30087559.550000001</v>
      </c>
      <c r="N182" s="31">
        <f t="shared" si="96"/>
        <v>3085928</v>
      </c>
      <c r="O182" s="31">
        <f t="shared" si="96"/>
        <v>12736919.999999998</v>
      </c>
      <c r="P182" s="31">
        <f t="shared" si="96"/>
        <v>45683144.859999999</v>
      </c>
      <c r="Q182" s="31">
        <f t="shared" si="96"/>
        <v>46655931.240000002</v>
      </c>
    </row>
    <row r="183" spans="1:17" ht="225" customHeight="1" x14ac:dyDescent="0.25">
      <c r="A183" s="303" t="s">
        <v>119</v>
      </c>
      <c r="B183" s="301" t="s">
        <v>99</v>
      </c>
      <c r="C183" s="9" t="s">
        <v>120</v>
      </c>
      <c r="D183" s="10" t="s">
        <v>121</v>
      </c>
      <c r="E183" s="32" t="s">
        <v>122</v>
      </c>
      <c r="F183" s="11" t="s">
        <v>122</v>
      </c>
      <c r="G183" s="11" t="s">
        <v>123</v>
      </c>
      <c r="H183" s="33" t="s">
        <v>124</v>
      </c>
      <c r="I183" s="33" t="s">
        <v>125</v>
      </c>
      <c r="J183" s="33" t="s">
        <v>126</v>
      </c>
      <c r="K183" s="33" t="s">
        <v>127</v>
      </c>
      <c r="L183" s="13">
        <f t="shared" ref="L183:L188" si="97">SUM(M183:O183)</f>
        <v>2238893.54</v>
      </c>
      <c r="M183" s="13">
        <f>642642.05*2+952.08*46</f>
        <v>1329079.78</v>
      </c>
      <c r="N183" s="13">
        <f>3857.41*46</f>
        <v>177440.86</v>
      </c>
      <c r="O183" s="14">
        <f>15921.15*46</f>
        <v>732372.9</v>
      </c>
      <c r="P183" s="14">
        <f>642642.05*2+20730.64*46</f>
        <v>2238893.54</v>
      </c>
      <c r="Q183" s="14">
        <f>643642.05*2+20730.64*49</f>
        <v>2303085.46</v>
      </c>
    </row>
    <row r="184" spans="1:17" ht="240" x14ac:dyDescent="0.25">
      <c r="A184" s="303"/>
      <c r="B184" s="301"/>
      <c r="C184" s="9" t="s">
        <v>128</v>
      </c>
      <c r="D184" s="10" t="s">
        <v>121</v>
      </c>
      <c r="E184" s="33" t="s">
        <v>129</v>
      </c>
      <c r="F184" s="33" t="s">
        <v>130</v>
      </c>
      <c r="G184" s="33" t="s">
        <v>130</v>
      </c>
      <c r="H184" s="33" t="s">
        <v>131</v>
      </c>
      <c r="I184" s="33" t="s">
        <v>132</v>
      </c>
      <c r="J184" s="33" t="s">
        <v>126</v>
      </c>
      <c r="K184" s="33" t="s">
        <v>127</v>
      </c>
      <c r="L184" s="13">
        <f t="shared" si="97"/>
        <v>3681151.7999999993</v>
      </c>
      <c r="M184" s="13">
        <f>604145.69*4+952.08*61</f>
        <v>2474659.6399999997</v>
      </c>
      <c r="N184" s="13">
        <f>3857.41*61</f>
        <v>235302.00999999998</v>
      </c>
      <c r="O184" s="14">
        <f>15921.15*61</f>
        <v>971190.15</v>
      </c>
      <c r="P184" s="14">
        <f>604145.69*4+20730.64*63</f>
        <v>3722613.08</v>
      </c>
      <c r="Q184" s="14">
        <f>P184</f>
        <v>3722613.08</v>
      </c>
    </row>
    <row r="185" spans="1:17" ht="120" x14ac:dyDescent="0.2">
      <c r="A185" s="303"/>
      <c r="B185" s="301"/>
      <c r="C185" s="15" t="s">
        <v>102</v>
      </c>
      <c r="D185" s="16" t="s">
        <v>101</v>
      </c>
      <c r="E185" s="17"/>
      <c r="F185" s="17"/>
      <c r="G185" s="17"/>
      <c r="H185" s="18">
        <v>22724.03</v>
      </c>
      <c r="I185" s="18">
        <v>22724.03</v>
      </c>
      <c r="J185" s="18" t="s">
        <v>103</v>
      </c>
      <c r="K185" s="18" t="s">
        <v>103</v>
      </c>
      <c r="L185" s="13">
        <f t="shared" si="97"/>
        <v>0</v>
      </c>
      <c r="M185" s="13">
        <f>E185*I185</f>
        <v>0</v>
      </c>
      <c r="N185" s="13" t="s">
        <v>104</v>
      </c>
      <c r="O185" s="19" t="s">
        <v>104</v>
      </c>
      <c r="P185" s="14">
        <f t="shared" ref="P185:P195" si="98">F185*H185</f>
        <v>0</v>
      </c>
      <c r="Q185" s="14">
        <f t="shared" ref="Q185:Q195" si="99">G185*H185</f>
        <v>0</v>
      </c>
    </row>
    <row r="186" spans="1:17" ht="15" x14ac:dyDescent="0.2">
      <c r="A186" s="303"/>
      <c r="B186" s="301"/>
      <c r="C186" s="21" t="s">
        <v>106</v>
      </c>
      <c r="D186" s="22"/>
      <c r="E186" s="11" t="s">
        <v>133</v>
      </c>
      <c r="F186" s="11" t="s">
        <v>134</v>
      </c>
      <c r="G186" s="11" t="s">
        <v>135</v>
      </c>
      <c r="H186" s="11" t="s">
        <v>104</v>
      </c>
      <c r="I186" s="11" t="s">
        <v>104</v>
      </c>
      <c r="J186" s="11" t="s">
        <v>104</v>
      </c>
      <c r="K186" s="11" t="s">
        <v>104</v>
      </c>
      <c r="L186" s="13">
        <f t="shared" si="97"/>
        <v>5920045.3399999999</v>
      </c>
      <c r="M186" s="13">
        <f>SUM(M183:M185)</f>
        <v>3803739.42</v>
      </c>
      <c r="N186" s="13">
        <f t="shared" ref="N186:O186" si="100">SUM(N183:N185)</f>
        <v>412742.87</v>
      </c>
      <c r="O186" s="13">
        <f t="shared" si="100"/>
        <v>1703563.05</v>
      </c>
      <c r="P186" s="34">
        <f>SUM(P183:P185)</f>
        <v>5961506.6200000001</v>
      </c>
      <c r="Q186" s="34">
        <f>SUM(Q183:Q185)</f>
        <v>6025698.54</v>
      </c>
    </row>
    <row r="187" spans="1:17" ht="222" customHeight="1" x14ac:dyDescent="0.25">
      <c r="A187" s="303"/>
      <c r="B187" s="301" t="s">
        <v>107</v>
      </c>
      <c r="C187" s="9" t="s">
        <v>120</v>
      </c>
      <c r="D187" s="10" t="s">
        <v>121</v>
      </c>
      <c r="E187" s="23" t="s">
        <v>136</v>
      </c>
      <c r="F187" s="35" t="s">
        <v>122</v>
      </c>
      <c r="G187" s="23" t="s">
        <v>137</v>
      </c>
      <c r="H187" s="33" t="s">
        <v>138</v>
      </c>
      <c r="I187" s="33" t="s">
        <v>139</v>
      </c>
      <c r="J187" s="33" t="s">
        <v>126</v>
      </c>
      <c r="K187" s="33" t="s">
        <v>127</v>
      </c>
      <c r="L187" s="11">
        <f t="shared" si="97"/>
        <v>4247891.0999999996</v>
      </c>
      <c r="M187" s="11">
        <f>3*955112.98+66*1169.2</f>
        <v>2942506.14</v>
      </c>
      <c r="N187" s="11">
        <f>3857.41*66</f>
        <v>254589.06</v>
      </c>
      <c r="O187" s="24">
        <f>15921.15*66</f>
        <v>1050795.8999999999</v>
      </c>
      <c r="P187" s="14">
        <f>2*955112.98+46*20947.76</f>
        <v>2873822.92</v>
      </c>
      <c r="Q187" s="14">
        <f>5*955112.98+112*20947.76</f>
        <v>7121714.0199999996</v>
      </c>
    </row>
    <row r="188" spans="1:17" ht="228" customHeight="1" x14ac:dyDescent="0.25">
      <c r="A188" s="303"/>
      <c r="B188" s="301"/>
      <c r="C188" s="9" t="s">
        <v>128</v>
      </c>
      <c r="D188" s="10" t="s">
        <v>121</v>
      </c>
      <c r="E188" s="25" t="s">
        <v>140</v>
      </c>
      <c r="F188" s="25" t="s">
        <v>141</v>
      </c>
      <c r="G188" s="25" t="s">
        <v>129</v>
      </c>
      <c r="H188" s="33" t="s">
        <v>142</v>
      </c>
      <c r="I188" s="33" t="s">
        <v>143</v>
      </c>
      <c r="J188" s="33" t="s">
        <v>126</v>
      </c>
      <c r="K188" s="33" t="s">
        <v>127</v>
      </c>
      <c r="L188" s="13">
        <f t="shared" si="97"/>
        <v>3254329.2699999996</v>
      </c>
      <c r="M188" s="13">
        <f>3*756594.85+1169.2*47</f>
        <v>2324736.9499999997</v>
      </c>
      <c r="N188" s="13">
        <f>3857.41*47</f>
        <v>181298.27</v>
      </c>
      <c r="O188" s="19">
        <f>15921.15*47</f>
        <v>748294.04999999993</v>
      </c>
      <c r="P188" s="14">
        <f>6*756594.85+20947.76*99</f>
        <v>6613397.3399999999</v>
      </c>
      <c r="Q188" s="14">
        <f>756594.85*4+20947.76*61</f>
        <v>4304192.76</v>
      </c>
    </row>
    <row r="189" spans="1:17" ht="96.75" customHeight="1" x14ac:dyDescent="0.25">
      <c r="A189" s="303"/>
      <c r="B189" s="301"/>
      <c r="C189" s="15" t="s">
        <v>102</v>
      </c>
      <c r="D189" s="16" t="s">
        <v>101</v>
      </c>
      <c r="E189" s="25">
        <v>4</v>
      </c>
      <c r="F189" s="25">
        <v>3</v>
      </c>
      <c r="G189" s="25">
        <v>3</v>
      </c>
      <c r="H189" s="18">
        <f>I189</f>
        <v>27251.919999999998</v>
      </c>
      <c r="I189" s="18">
        <v>27251.919999999998</v>
      </c>
      <c r="J189" s="18" t="s">
        <v>103</v>
      </c>
      <c r="K189" s="18" t="s">
        <v>103</v>
      </c>
      <c r="L189" s="13">
        <f>SUM(M189)</f>
        <v>109007.67999999999</v>
      </c>
      <c r="M189" s="26">
        <f>E189*I189</f>
        <v>109007.67999999999</v>
      </c>
      <c r="N189" s="26"/>
      <c r="O189" s="26"/>
      <c r="P189" s="14">
        <f t="shared" si="98"/>
        <v>81755.759999999995</v>
      </c>
      <c r="Q189" s="14">
        <f t="shared" si="99"/>
        <v>81755.759999999995</v>
      </c>
    </row>
    <row r="190" spans="1:17" ht="120" x14ac:dyDescent="0.25">
      <c r="A190" s="303"/>
      <c r="B190" s="53"/>
      <c r="C190" s="9" t="s">
        <v>144</v>
      </c>
      <c r="D190" s="16" t="s">
        <v>101</v>
      </c>
      <c r="E190" s="18">
        <v>1</v>
      </c>
      <c r="F190" s="18">
        <v>1</v>
      </c>
      <c r="G190" s="18">
        <v>1</v>
      </c>
      <c r="H190" s="18">
        <f>SUM(I190:K190)</f>
        <v>217702</v>
      </c>
      <c r="I190" s="18">
        <v>217702</v>
      </c>
      <c r="J190" s="18"/>
      <c r="K190" s="18"/>
      <c r="L190" s="26">
        <f>SUM(M190:O190)</f>
        <v>217702</v>
      </c>
      <c r="M190" s="26">
        <f>E190*I190</f>
        <v>217702</v>
      </c>
      <c r="N190" s="26">
        <f>E190*J190</f>
        <v>0</v>
      </c>
      <c r="O190" s="26">
        <f>K190*E190</f>
        <v>0</v>
      </c>
      <c r="P190" s="14">
        <f t="shared" si="98"/>
        <v>217702</v>
      </c>
      <c r="Q190" s="14">
        <f t="shared" si="99"/>
        <v>217702</v>
      </c>
    </row>
    <row r="191" spans="1:17" ht="15" x14ac:dyDescent="0.25">
      <c r="A191" s="303"/>
      <c r="B191" s="53"/>
      <c r="C191" s="21" t="s">
        <v>106</v>
      </c>
      <c r="D191" s="16"/>
      <c r="E191" s="25" t="s">
        <v>145</v>
      </c>
      <c r="F191" s="25" t="s">
        <v>146</v>
      </c>
      <c r="G191" s="25" t="s">
        <v>147</v>
      </c>
      <c r="H191" s="25" t="s">
        <v>104</v>
      </c>
      <c r="I191" s="25" t="s">
        <v>104</v>
      </c>
      <c r="J191" s="25" t="s">
        <v>104</v>
      </c>
      <c r="K191" s="25" t="s">
        <v>104</v>
      </c>
      <c r="L191" s="25">
        <f>SUM(M191:O191)</f>
        <v>7828930.0499999989</v>
      </c>
      <c r="M191" s="25">
        <f t="shared" ref="M191:O191" si="101">SUM(M187:M190)</f>
        <v>5593952.7699999996</v>
      </c>
      <c r="N191" s="25">
        <f t="shared" si="101"/>
        <v>435887.32999999996</v>
      </c>
      <c r="O191" s="25">
        <f t="shared" si="101"/>
        <v>1799089.9499999997</v>
      </c>
      <c r="P191" s="25">
        <f>SUM(P187:P190)</f>
        <v>9786678.0199999996</v>
      </c>
      <c r="Q191" s="25">
        <f>SUM(Q187:Q190)</f>
        <v>11725364.539999999</v>
      </c>
    </row>
    <row r="192" spans="1:17" ht="227.25" customHeight="1" x14ac:dyDescent="0.25">
      <c r="A192" s="303"/>
      <c r="B192" s="53" t="s">
        <v>108</v>
      </c>
      <c r="C192" s="9" t="s">
        <v>128</v>
      </c>
      <c r="D192" s="10" t="s">
        <v>121</v>
      </c>
      <c r="E192" s="33" t="s">
        <v>148</v>
      </c>
      <c r="F192" s="33" t="s">
        <v>148</v>
      </c>
      <c r="G192" s="33" t="s">
        <v>149</v>
      </c>
      <c r="H192" s="33" t="s">
        <v>150</v>
      </c>
      <c r="I192" s="33" t="s">
        <v>151</v>
      </c>
      <c r="J192" s="33" t="s">
        <v>126</v>
      </c>
      <c r="K192" s="33" t="s">
        <v>127</v>
      </c>
      <c r="L192" s="26">
        <f>SUM(M192:O192)</f>
        <v>956431.65700000001</v>
      </c>
      <c r="M192" s="26">
        <f>808407.62+1367.67*7</f>
        <v>817981.30999999994</v>
      </c>
      <c r="N192" s="26">
        <f>7*3857.471</f>
        <v>27002.296999999999</v>
      </c>
      <c r="O192" s="26">
        <f>7*15921.15</f>
        <v>111448.05</v>
      </c>
      <c r="P192" s="36">
        <f>808407.62+7*21146.23</f>
        <v>956431.23</v>
      </c>
      <c r="Q192" s="14">
        <f>2*808407.62+17*21146.23</f>
        <v>1976301.15</v>
      </c>
    </row>
    <row r="193" spans="1:17" ht="15" x14ac:dyDescent="0.25">
      <c r="A193" s="303"/>
      <c r="B193" s="53"/>
      <c r="C193" s="21" t="s">
        <v>106</v>
      </c>
      <c r="D193" s="16"/>
      <c r="E193" s="25" t="s">
        <v>148</v>
      </c>
      <c r="F193" s="25" t="s">
        <v>148</v>
      </c>
      <c r="G193" s="25" t="s">
        <v>149</v>
      </c>
      <c r="H193" s="25" t="s">
        <v>104</v>
      </c>
      <c r="I193" s="25" t="s">
        <v>104</v>
      </c>
      <c r="J193" s="25" t="s">
        <v>104</v>
      </c>
      <c r="K193" s="25" t="s">
        <v>104</v>
      </c>
      <c r="L193" s="25">
        <f>SUM(L192:L192)</f>
        <v>956431.65700000001</v>
      </c>
      <c r="M193" s="25">
        <f>SUM(M192:M192)</f>
        <v>817981.30999999994</v>
      </c>
      <c r="N193" s="25">
        <f>SUM(N192:N192)</f>
        <v>27002.296999999999</v>
      </c>
      <c r="O193" s="25">
        <f>SUM(O192:O192)</f>
        <v>111448.05</v>
      </c>
      <c r="P193" s="14">
        <f>SUM(P192)</f>
        <v>956431.23</v>
      </c>
      <c r="Q193" s="14">
        <f>SUM(Q192)</f>
        <v>1976301.15</v>
      </c>
    </row>
    <row r="194" spans="1:17" ht="168.75" customHeight="1" x14ac:dyDescent="0.25">
      <c r="A194" s="303"/>
      <c r="B194" s="302" t="s">
        <v>109</v>
      </c>
      <c r="C194" s="9" t="s">
        <v>110</v>
      </c>
      <c r="D194" s="16" t="s">
        <v>101</v>
      </c>
      <c r="E194" s="25">
        <v>153</v>
      </c>
      <c r="F194" s="25">
        <v>156</v>
      </c>
      <c r="G194" s="25">
        <v>162</v>
      </c>
      <c r="H194" s="18">
        <f>I194</f>
        <v>3461.18</v>
      </c>
      <c r="I194" s="18">
        <v>3461.18</v>
      </c>
      <c r="J194" s="18" t="s">
        <v>104</v>
      </c>
      <c r="K194" s="18" t="s">
        <v>104</v>
      </c>
      <c r="L194" s="26">
        <f>SUM(M194:O194)</f>
        <v>529560.53999999992</v>
      </c>
      <c r="M194" s="26">
        <f>I194*E194</f>
        <v>529560.53999999992</v>
      </c>
      <c r="N194" s="26" t="s">
        <v>104</v>
      </c>
      <c r="O194" s="26" t="s">
        <v>104</v>
      </c>
      <c r="P194" s="14">
        <f t="shared" si="98"/>
        <v>539944.07999999996</v>
      </c>
      <c r="Q194" s="14">
        <f t="shared" si="99"/>
        <v>560711.15999999992</v>
      </c>
    </row>
    <row r="195" spans="1:17" ht="164.25" customHeight="1" x14ac:dyDescent="0.25">
      <c r="A195" s="303"/>
      <c r="B195" s="302"/>
      <c r="C195" s="9" t="s">
        <v>111</v>
      </c>
      <c r="D195" s="16" t="s">
        <v>101</v>
      </c>
      <c r="E195" s="25">
        <v>147</v>
      </c>
      <c r="F195" s="25">
        <v>110</v>
      </c>
      <c r="G195" s="25">
        <v>115</v>
      </c>
      <c r="H195" s="18">
        <v>3829.24</v>
      </c>
      <c r="I195" s="18">
        <v>4783.41</v>
      </c>
      <c r="J195" s="18" t="s">
        <v>104</v>
      </c>
      <c r="K195" s="18" t="s">
        <v>104</v>
      </c>
      <c r="L195" s="26">
        <f>SUM(M195:O195)</f>
        <v>703161.27</v>
      </c>
      <c r="M195" s="26">
        <f>I195*E195</f>
        <v>703161.27</v>
      </c>
      <c r="N195" s="26" t="s">
        <v>104</v>
      </c>
      <c r="O195" s="37" t="s">
        <v>104</v>
      </c>
      <c r="P195" s="14">
        <f t="shared" si="98"/>
        <v>421216.39999999997</v>
      </c>
      <c r="Q195" s="14">
        <f t="shared" si="99"/>
        <v>440362.6</v>
      </c>
    </row>
    <row r="196" spans="1:17" ht="15" x14ac:dyDescent="0.25">
      <c r="A196" s="303"/>
      <c r="B196" s="29"/>
      <c r="C196" s="21" t="s">
        <v>106</v>
      </c>
      <c r="D196" s="29"/>
      <c r="E196" s="25">
        <f>SUM(E194:E195)</f>
        <v>300</v>
      </c>
      <c r="F196" s="25">
        <f t="shared" ref="F196:G196" si="102">SUM(F194:F195)</f>
        <v>266</v>
      </c>
      <c r="G196" s="25">
        <f t="shared" si="102"/>
        <v>277</v>
      </c>
      <c r="H196" s="25" t="s">
        <v>104</v>
      </c>
      <c r="I196" s="25" t="s">
        <v>104</v>
      </c>
      <c r="J196" s="25" t="s">
        <v>104</v>
      </c>
      <c r="K196" s="25">
        <f t="shared" ref="K196:Q196" si="103">SUM(K194:K195)</f>
        <v>0</v>
      </c>
      <c r="L196" s="25">
        <f>SUM(L194:L195)</f>
        <v>1232721.81</v>
      </c>
      <c r="M196" s="25">
        <f>SUM(M194:M195)</f>
        <v>1232721.81</v>
      </c>
      <c r="N196" s="25">
        <f t="shared" si="103"/>
        <v>0</v>
      </c>
      <c r="O196" s="25">
        <f t="shared" si="103"/>
        <v>0</v>
      </c>
      <c r="P196" s="25">
        <f t="shared" si="103"/>
        <v>961160.48</v>
      </c>
      <c r="Q196" s="25">
        <f t="shared" si="103"/>
        <v>1001073.7599999999</v>
      </c>
    </row>
    <row r="197" spans="1:17" ht="14.25" x14ac:dyDescent="0.2">
      <c r="A197" s="303"/>
      <c r="B197" s="30" t="s">
        <v>112</v>
      </c>
      <c r="C197" s="30"/>
      <c r="D197" s="29"/>
      <c r="E197" s="29"/>
      <c r="F197" s="29"/>
      <c r="G197" s="29"/>
      <c r="H197" s="29"/>
      <c r="I197" s="29"/>
      <c r="J197" s="29"/>
      <c r="K197" s="29"/>
      <c r="L197" s="29">
        <f>L186+L191+L193+L196</f>
        <v>15938128.856999999</v>
      </c>
      <c r="M197" s="29">
        <f t="shared" ref="M197:Q197" si="104">M186+M191+M193+M196</f>
        <v>11448395.310000001</v>
      </c>
      <c r="N197" s="29">
        <f t="shared" si="104"/>
        <v>875632.49699999997</v>
      </c>
      <c r="O197" s="29">
        <f t="shared" si="104"/>
        <v>3614101.05</v>
      </c>
      <c r="P197" s="29">
        <f t="shared" si="104"/>
        <v>17665776.350000001</v>
      </c>
      <c r="Q197" s="29">
        <f t="shared" si="104"/>
        <v>20728437.989999998</v>
      </c>
    </row>
    <row r="198" spans="1:17" ht="30" customHeight="1" x14ac:dyDescent="0.25">
      <c r="A198" s="55" t="s">
        <v>156</v>
      </c>
    </row>
    <row r="199" spans="1:17" ht="30" x14ac:dyDescent="0.2">
      <c r="A199" s="43" t="s">
        <v>3</v>
      </c>
      <c r="B199" s="43" t="s">
        <v>81</v>
      </c>
      <c r="C199" s="43" t="s">
        <v>4</v>
      </c>
      <c r="D199" s="297" t="s">
        <v>5</v>
      </c>
      <c r="E199" s="297"/>
      <c r="F199" s="297"/>
      <c r="G199" s="298" t="s">
        <v>6</v>
      </c>
      <c r="H199" s="298" t="s">
        <v>7</v>
      </c>
      <c r="I199" s="298"/>
      <c r="J199" s="298"/>
    </row>
    <row r="200" spans="1:17" ht="15" x14ac:dyDescent="0.2">
      <c r="A200" s="45"/>
      <c r="B200" s="45"/>
      <c r="C200" s="45"/>
      <c r="D200" s="50" t="s">
        <v>8</v>
      </c>
      <c r="E200" s="50" t="s">
        <v>9</v>
      </c>
      <c r="F200" s="50" t="s">
        <v>10</v>
      </c>
      <c r="G200" s="298"/>
      <c r="H200" s="50">
        <v>2016</v>
      </c>
      <c r="I200" s="50" t="s">
        <v>9</v>
      </c>
      <c r="J200" s="50" t="s">
        <v>10</v>
      </c>
    </row>
    <row r="201" spans="1:17" ht="75" x14ac:dyDescent="0.25">
      <c r="A201" s="42" t="s">
        <v>13</v>
      </c>
      <c r="B201" s="42" t="s">
        <v>14</v>
      </c>
      <c r="C201" s="43" t="s">
        <v>15</v>
      </c>
      <c r="D201" s="42" t="s">
        <v>16</v>
      </c>
      <c r="E201" s="42" t="s">
        <v>16</v>
      </c>
      <c r="F201" s="42" t="s">
        <v>16</v>
      </c>
      <c r="G201" s="43" t="s">
        <v>17</v>
      </c>
      <c r="H201" s="43" t="s">
        <v>17</v>
      </c>
      <c r="I201" s="43" t="s">
        <v>17</v>
      </c>
      <c r="J201" s="43" t="s">
        <v>17</v>
      </c>
    </row>
    <row r="202" spans="1:17" ht="15" x14ac:dyDescent="0.25">
      <c r="A202" s="58" t="s">
        <v>157</v>
      </c>
      <c r="B202" s="45"/>
      <c r="C202" s="45"/>
      <c r="D202" s="45">
        <f>SUM(D203:D204)</f>
        <v>1550</v>
      </c>
      <c r="E202" s="45">
        <f>SUM(E203:E204)</f>
        <v>1550</v>
      </c>
      <c r="F202" s="45">
        <f>SUM(F203:F204)</f>
        <v>1550</v>
      </c>
      <c r="G202" s="45"/>
      <c r="H202" s="56">
        <f>H203+H204</f>
        <v>22307310</v>
      </c>
      <c r="I202" s="56">
        <f>I203+I204</f>
        <v>22307310</v>
      </c>
      <c r="J202" s="56">
        <f>J203+J204</f>
        <v>22307310</v>
      </c>
    </row>
    <row r="203" spans="1:17" ht="86.25" customHeight="1" x14ac:dyDescent="0.25">
      <c r="A203" s="295"/>
      <c r="B203" s="43" t="s">
        <v>158</v>
      </c>
      <c r="C203" s="45" t="s">
        <v>20</v>
      </c>
      <c r="D203" s="48">
        <v>1300</v>
      </c>
      <c r="E203" s="48">
        <v>1300</v>
      </c>
      <c r="F203" s="48">
        <v>1300</v>
      </c>
      <c r="G203" s="46">
        <v>16584.45</v>
      </c>
      <c r="H203" s="46">
        <f>G203*D203</f>
        <v>21559785</v>
      </c>
      <c r="I203" s="46">
        <f>H203</f>
        <v>21559785</v>
      </c>
      <c r="J203" s="46">
        <f>I203</f>
        <v>21559785</v>
      </c>
    </row>
    <row r="204" spans="1:17" ht="63" customHeight="1" x14ac:dyDescent="0.25">
      <c r="A204" s="296"/>
      <c r="B204" s="57" t="s">
        <v>159</v>
      </c>
      <c r="C204" s="45" t="s">
        <v>20</v>
      </c>
      <c r="D204" s="44">
        <v>250</v>
      </c>
      <c r="E204" s="44">
        <v>250</v>
      </c>
      <c r="F204" s="44">
        <v>250</v>
      </c>
      <c r="G204" s="46">
        <v>2990.1</v>
      </c>
      <c r="H204" s="46">
        <f>G204*D204</f>
        <v>747525</v>
      </c>
      <c r="I204" s="46">
        <f t="shared" ref="I204:J205" si="105">H204</f>
        <v>747525</v>
      </c>
      <c r="J204" s="46">
        <f t="shared" si="105"/>
        <v>747525</v>
      </c>
    </row>
    <row r="205" spans="1:17" ht="78.75" customHeight="1" x14ac:dyDescent="0.25">
      <c r="A205" s="50" t="s">
        <v>160</v>
      </c>
      <c r="B205" s="43" t="s">
        <v>158</v>
      </c>
      <c r="C205" s="45" t="s">
        <v>20</v>
      </c>
      <c r="D205" s="48">
        <v>411</v>
      </c>
      <c r="E205" s="48">
        <v>411</v>
      </c>
      <c r="F205" s="48">
        <v>411</v>
      </c>
      <c r="G205" s="46">
        <v>12267.68</v>
      </c>
      <c r="H205" s="46">
        <f>G205*D205</f>
        <v>5042016.4800000004</v>
      </c>
      <c r="I205" s="46">
        <f t="shared" si="105"/>
        <v>5042016.4800000004</v>
      </c>
      <c r="J205" s="46">
        <f t="shared" si="105"/>
        <v>5042016.4800000004</v>
      </c>
    </row>
    <row r="208" spans="1:17" x14ac:dyDescent="0.2">
      <c r="A208" s="54" t="s">
        <v>161</v>
      </c>
    </row>
  </sheetData>
  <sheetProtection password="CF7A" sheet="1" objects="1" scenarios="1"/>
  <mergeCells count="45">
    <mergeCell ref="B183:B186"/>
    <mergeCell ref="B187:B189"/>
    <mergeCell ref="B194:B195"/>
    <mergeCell ref="A96:C96"/>
    <mergeCell ref="A164:A182"/>
    <mergeCell ref="B164:B166"/>
    <mergeCell ref="B169:B172"/>
    <mergeCell ref="B175:B177"/>
    <mergeCell ref="B179:B180"/>
    <mergeCell ref="A148:A163"/>
    <mergeCell ref="B148:B151"/>
    <mergeCell ref="B152:B154"/>
    <mergeCell ref="B156:B158"/>
    <mergeCell ref="B160:B161"/>
    <mergeCell ref="A132:A147"/>
    <mergeCell ref="L6:Q6"/>
    <mergeCell ref="L7:O7"/>
    <mergeCell ref="A3:Q3"/>
    <mergeCell ref="L97:Q97"/>
    <mergeCell ref="A100:A115"/>
    <mergeCell ref="B100:B103"/>
    <mergeCell ref="B104:B106"/>
    <mergeCell ref="B108:B110"/>
    <mergeCell ref="B112:B113"/>
    <mergeCell ref="A97:A98"/>
    <mergeCell ref="B97:B98"/>
    <mergeCell ref="D97:D98"/>
    <mergeCell ref="E97:G97"/>
    <mergeCell ref="H97:K97"/>
    <mergeCell ref="A203:A204"/>
    <mergeCell ref="D199:F199"/>
    <mergeCell ref="G199:G200"/>
    <mergeCell ref="H199:J199"/>
    <mergeCell ref="E6:G6"/>
    <mergeCell ref="H6:K6"/>
    <mergeCell ref="B132:B135"/>
    <mergeCell ref="B136:B138"/>
    <mergeCell ref="B140:B142"/>
    <mergeCell ref="B144:B145"/>
    <mergeCell ref="A116:A131"/>
    <mergeCell ref="B116:B119"/>
    <mergeCell ref="B120:B122"/>
    <mergeCell ref="B124:B126"/>
    <mergeCell ref="B128:B129"/>
    <mergeCell ref="A183:A197"/>
  </mergeCells>
  <pageMargins left="0.51181102362204722" right="0.11811023622047245" top="0.15748031496062992" bottom="0.15748031496062992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71"/>
  <sheetViews>
    <sheetView zoomScale="80" zoomScaleNormal="80" workbookViewId="0">
      <selection activeCell="T50" sqref="T50"/>
    </sheetView>
  </sheetViews>
  <sheetFormatPr defaultColWidth="9.140625" defaultRowHeight="15" x14ac:dyDescent="0.25"/>
  <cols>
    <col min="1" max="1" width="19.42578125" style="80" customWidth="1"/>
    <col min="2" max="2" width="19.85546875" style="80" customWidth="1"/>
    <col min="3" max="3" width="23.7109375" style="80" customWidth="1"/>
    <col min="4" max="4" width="8.7109375" style="80" customWidth="1"/>
    <col min="5" max="5" width="18.28515625" style="80" hidden="1" customWidth="1"/>
    <col min="6" max="6" width="13.28515625" style="80" hidden="1" customWidth="1"/>
    <col min="7" max="7" width="14" style="80" customWidth="1"/>
    <col min="8" max="9" width="12.7109375" style="80" customWidth="1"/>
    <col min="10" max="10" width="17.28515625" style="80" customWidth="1"/>
    <col min="11" max="11" width="16" style="80" customWidth="1"/>
    <col min="12" max="12" width="13.85546875" style="80" customWidth="1"/>
    <col min="13" max="13" width="13.5703125" style="80" customWidth="1"/>
    <col min="14" max="14" width="16.7109375" style="80" customWidth="1"/>
    <col min="15" max="16" width="15.42578125" style="80" customWidth="1"/>
    <col min="17" max="19" width="14.7109375" style="80" customWidth="1"/>
    <col min="20" max="20" width="14.28515625" style="80" customWidth="1"/>
    <col min="21" max="21" width="14.140625" style="80" customWidth="1"/>
    <col min="22" max="22" width="14.85546875" style="80" bestFit="1" customWidth="1"/>
    <col min="23" max="23" width="15.28515625" style="80" customWidth="1"/>
    <col min="24" max="24" width="13.5703125" style="80" bestFit="1" customWidth="1"/>
    <col min="25" max="25" width="9.42578125" style="80" bestFit="1" customWidth="1"/>
    <col min="26" max="16384" width="9.140625" style="80"/>
  </cols>
  <sheetData>
    <row r="1" spans="1:24" x14ac:dyDescent="0.25">
      <c r="T1" s="117" t="s">
        <v>203</v>
      </c>
    </row>
    <row r="2" spans="1:24" x14ac:dyDescent="0.25">
      <c r="T2" s="117" t="s">
        <v>204</v>
      </c>
    </row>
    <row r="3" spans="1:24" x14ac:dyDescent="0.25">
      <c r="T3" s="117" t="s">
        <v>175</v>
      </c>
    </row>
    <row r="4" spans="1:24" x14ac:dyDescent="0.25">
      <c r="T4" s="117" t="s">
        <v>189</v>
      </c>
    </row>
    <row r="5" spans="1:24" x14ac:dyDescent="0.25">
      <c r="A5" s="310" t="s">
        <v>207</v>
      </c>
      <c r="B5" s="310"/>
      <c r="C5" s="311"/>
      <c r="D5" s="310"/>
      <c r="E5" s="310"/>
      <c r="F5" s="311"/>
      <c r="G5" s="311"/>
      <c r="H5" s="310"/>
      <c r="I5" s="310"/>
      <c r="J5" s="310"/>
      <c r="K5" s="311"/>
      <c r="L5" s="310"/>
      <c r="M5" s="310"/>
      <c r="N5" s="310"/>
      <c r="O5" s="310"/>
      <c r="P5" s="311"/>
      <c r="Q5" s="311"/>
      <c r="R5" s="311"/>
      <c r="S5" s="311"/>
      <c r="T5" s="310"/>
      <c r="U5" s="310"/>
      <c r="V5" s="310"/>
    </row>
    <row r="6" spans="1:24" ht="36.75" customHeight="1" x14ac:dyDescent="0.25">
      <c r="A6" s="81" t="s">
        <v>155</v>
      </c>
    </row>
    <row r="8" spans="1:24" ht="49.15" customHeight="1" x14ac:dyDescent="0.25">
      <c r="A8" s="132" t="s">
        <v>3</v>
      </c>
      <c r="B8" s="109" t="s">
        <v>81</v>
      </c>
      <c r="C8" s="109" t="s">
        <v>152</v>
      </c>
      <c r="D8" s="109" t="s">
        <v>4</v>
      </c>
      <c r="E8" s="133" t="s">
        <v>5</v>
      </c>
      <c r="F8" s="134"/>
      <c r="G8" s="134"/>
      <c r="H8" s="134"/>
      <c r="I8" s="135"/>
      <c r="J8" s="312" t="s">
        <v>6</v>
      </c>
      <c r="K8" s="313"/>
      <c r="L8" s="313"/>
      <c r="M8" s="314"/>
      <c r="N8" s="315" t="s">
        <v>7</v>
      </c>
      <c r="O8" s="315"/>
      <c r="P8" s="315"/>
      <c r="Q8" s="315"/>
      <c r="R8" s="315"/>
      <c r="S8" s="315"/>
      <c r="T8" s="315"/>
      <c r="U8" s="315"/>
      <c r="V8" s="315"/>
    </row>
    <row r="9" spans="1:24" x14ac:dyDescent="0.25">
      <c r="A9" s="109"/>
      <c r="B9" s="109"/>
      <c r="C9" s="109"/>
      <c r="D9" s="109"/>
      <c r="E9" s="318"/>
      <c r="F9" s="319"/>
      <c r="G9" s="320"/>
      <c r="H9" s="108"/>
      <c r="I9" s="108"/>
      <c r="J9" s="142"/>
      <c r="K9" s="142"/>
      <c r="L9" s="142"/>
      <c r="M9" s="142"/>
      <c r="N9" s="312"/>
      <c r="O9" s="323"/>
      <c r="P9" s="323"/>
      <c r="Q9" s="323"/>
      <c r="R9" s="323"/>
      <c r="S9" s="323"/>
      <c r="T9" s="324"/>
      <c r="U9" s="109"/>
      <c r="V9" s="109"/>
    </row>
    <row r="10" spans="1:24" ht="60" x14ac:dyDescent="0.25">
      <c r="A10" s="82"/>
      <c r="B10" s="82"/>
      <c r="C10" s="82"/>
      <c r="D10" s="82"/>
      <c r="E10" s="153" t="s">
        <v>176</v>
      </c>
      <c r="F10" s="155" t="s">
        <v>208</v>
      </c>
      <c r="G10" s="158" t="s">
        <v>212</v>
      </c>
      <c r="H10" s="154" t="s">
        <v>183</v>
      </c>
      <c r="I10" s="154" t="s">
        <v>205</v>
      </c>
      <c r="J10" s="83" t="s">
        <v>79</v>
      </c>
      <c r="K10" s="142" t="s">
        <v>80</v>
      </c>
      <c r="L10" s="159" t="s">
        <v>11</v>
      </c>
      <c r="M10" s="143" t="s">
        <v>12</v>
      </c>
      <c r="N10" s="316" t="s">
        <v>176</v>
      </c>
      <c r="O10" s="316"/>
      <c r="P10" s="316"/>
      <c r="Q10" s="316"/>
      <c r="R10" s="316"/>
      <c r="S10" s="316"/>
      <c r="T10" s="316"/>
      <c r="U10" s="154" t="s">
        <v>183</v>
      </c>
      <c r="V10" s="154" t="s">
        <v>205</v>
      </c>
    </row>
    <row r="11" spans="1:24" ht="63" customHeight="1" x14ac:dyDescent="0.25">
      <c r="A11" s="83" t="s">
        <v>13</v>
      </c>
      <c r="B11" s="83" t="s">
        <v>14</v>
      </c>
      <c r="C11" s="83"/>
      <c r="D11" s="109" t="s">
        <v>15</v>
      </c>
      <c r="E11" s="83" t="s">
        <v>16</v>
      </c>
      <c r="F11" s="83" t="s">
        <v>16</v>
      </c>
      <c r="G11" s="83" t="s">
        <v>16</v>
      </c>
      <c r="H11" s="83" t="s">
        <v>16</v>
      </c>
      <c r="I11" s="83" t="s">
        <v>16</v>
      </c>
      <c r="J11" s="142" t="s">
        <v>17</v>
      </c>
      <c r="K11" s="142" t="s">
        <v>17</v>
      </c>
      <c r="L11" s="160" t="s">
        <v>17</v>
      </c>
      <c r="M11" s="142" t="s">
        <v>17</v>
      </c>
      <c r="N11" s="109" t="s">
        <v>85</v>
      </c>
      <c r="O11" s="132" t="s">
        <v>83</v>
      </c>
      <c r="P11" s="178" t="s">
        <v>222</v>
      </c>
      <c r="Q11" s="120" t="s">
        <v>84</v>
      </c>
      <c r="R11" s="178" t="s">
        <v>223</v>
      </c>
      <c r="S11" s="174" t="s">
        <v>221</v>
      </c>
      <c r="T11" s="116" t="s">
        <v>12</v>
      </c>
      <c r="U11" s="109" t="s">
        <v>17</v>
      </c>
      <c r="V11" s="109" t="s">
        <v>17</v>
      </c>
    </row>
    <row r="12" spans="1:24" x14ac:dyDescent="0.25">
      <c r="A12" s="113" t="s">
        <v>18</v>
      </c>
      <c r="B12" s="82"/>
      <c r="C12" s="82"/>
      <c r="D12" s="82"/>
      <c r="E12" s="72"/>
      <c r="F12" s="72"/>
      <c r="G12" s="72"/>
      <c r="H12" s="72"/>
      <c r="I12" s="72"/>
      <c r="J12" s="75"/>
      <c r="K12" s="75"/>
      <c r="L12" s="156"/>
      <c r="M12" s="75"/>
      <c r="N12" s="78">
        <f>N13+N18</f>
        <v>6603084.7400000002</v>
      </c>
      <c r="O12" s="78">
        <f>O13+O18</f>
        <v>1481406.96</v>
      </c>
      <c r="P12" s="78"/>
      <c r="Q12" s="179">
        <f>Q13+Q18</f>
        <v>5010790.0999999996</v>
      </c>
      <c r="R12" s="179"/>
      <c r="S12" s="78"/>
      <c r="T12" s="78">
        <f>T13+T18</f>
        <v>13095281.800000001</v>
      </c>
      <c r="U12" s="78">
        <f>U13+U18</f>
        <v>13095281.799999999</v>
      </c>
      <c r="V12" s="78">
        <f>V13+V18</f>
        <v>13095281.799999999</v>
      </c>
    </row>
    <row r="13" spans="1:24" ht="85.5" x14ac:dyDescent="0.25">
      <c r="A13" s="84"/>
      <c r="B13" s="84" t="s">
        <v>76</v>
      </c>
      <c r="C13" s="84"/>
      <c r="D13" s="82"/>
      <c r="E13" s="72"/>
      <c r="F13" s="72"/>
      <c r="G13" s="72"/>
      <c r="H13" s="72"/>
      <c r="I13" s="72"/>
      <c r="J13" s="75"/>
      <c r="K13" s="75"/>
      <c r="L13" s="156"/>
      <c r="M13" s="75"/>
      <c r="N13" s="75">
        <f>N14+N15+N17+N16</f>
        <v>6603084.7400000002</v>
      </c>
      <c r="O13" s="75">
        <f>O14+O15+O17+O16</f>
        <v>1481406.96</v>
      </c>
      <c r="P13" s="75"/>
      <c r="Q13" s="75">
        <f>Q14+Q15+Q17+Q16</f>
        <v>3769237.58</v>
      </c>
      <c r="R13" s="75"/>
      <c r="S13" s="75">
        <v>0</v>
      </c>
      <c r="T13" s="75">
        <f t="shared" ref="T13:V13" si="0">T14+T15+T17+T16</f>
        <v>11853729.280000001</v>
      </c>
      <c r="U13" s="75">
        <f>U14+U15+U17+U16</f>
        <v>11853729.279999999</v>
      </c>
      <c r="V13" s="75">
        <f t="shared" si="0"/>
        <v>11853729.279999999</v>
      </c>
      <c r="X13" s="85"/>
    </row>
    <row r="14" spans="1:24" ht="105" x14ac:dyDescent="0.25">
      <c r="A14" s="83"/>
      <c r="B14" s="97" t="s">
        <v>19</v>
      </c>
      <c r="C14" s="93" t="s">
        <v>0</v>
      </c>
      <c r="D14" s="86" t="s">
        <v>20</v>
      </c>
      <c r="E14" s="87">
        <v>27</v>
      </c>
      <c r="F14" s="87">
        <v>27</v>
      </c>
      <c r="G14" s="87">
        <f>(E14*8+F14*4)/12</f>
        <v>27</v>
      </c>
      <c r="H14" s="87">
        <v>27</v>
      </c>
      <c r="I14" s="87">
        <v>27</v>
      </c>
      <c r="J14" s="75">
        <v>49378.38</v>
      </c>
      <c r="K14" s="75">
        <v>12142.68</v>
      </c>
      <c r="L14" s="156">
        <v>30895.39</v>
      </c>
      <c r="M14" s="75">
        <f>J14+K14+L14</f>
        <v>92416.45</v>
      </c>
      <c r="N14" s="75">
        <f>G14*J14</f>
        <v>1333216.26</v>
      </c>
      <c r="O14" s="75">
        <f>G14*K14</f>
        <v>327852.36</v>
      </c>
      <c r="P14" s="75"/>
      <c r="Q14" s="75">
        <f>G14*L14</f>
        <v>834175.53</v>
      </c>
      <c r="R14" s="75"/>
      <c r="S14" s="75">
        <v>0</v>
      </c>
      <c r="T14" s="75">
        <f>SUM(N14:Q14)</f>
        <v>2495244.1500000004</v>
      </c>
      <c r="U14" s="75">
        <f>H14*M14</f>
        <v>2495244.15</v>
      </c>
      <c r="V14" s="75">
        <f>I14*M14</f>
        <v>2495244.15</v>
      </c>
      <c r="X14" s="85"/>
    </row>
    <row r="15" spans="1:24" x14ac:dyDescent="0.25">
      <c r="A15" s="88"/>
      <c r="B15" s="97" t="s">
        <v>24</v>
      </c>
      <c r="C15" s="127"/>
      <c r="D15" s="112" t="s">
        <v>20</v>
      </c>
      <c r="E15" s="87">
        <v>54</v>
      </c>
      <c r="F15" s="87">
        <v>54</v>
      </c>
      <c r="G15" s="87">
        <f>(E15*8+F15*4)/12</f>
        <v>54</v>
      </c>
      <c r="H15" s="87">
        <v>54</v>
      </c>
      <c r="I15" s="87">
        <v>54</v>
      </c>
      <c r="J15" s="75">
        <v>39098.57</v>
      </c>
      <c r="K15" s="75">
        <v>12142.68</v>
      </c>
      <c r="L15" s="156">
        <v>30895.39</v>
      </c>
      <c r="M15" s="75">
        <f>J15+K15+L15</f>
        <v>82136.639999999999</v>
      </c>
      <c r="N15" s="75">
        <f>G15*J15</f>
        <v>2111322.7799999998</v>
      </c>
      <c r="O15" s="75">
        <f>G15*K15</f>
        <v>655704.72</v>
      </c>
      <c r="P15" s="75"/>
      <c r="Q15" s="75">
        <f>G15*L15</f>
        <v>1668351.06</v>
      </c>
      <c r="R15" s="75"/>
      <c r="S15" s="75">
        <v>0</v>
      </c>
      <c r="T15" s="75">
        <f>SUM(N15:Q15)</f>
        <v>4435378.5600000005</v>
      </c>
      <c r="U15" s="75">
        <f>H15*M15</f>
        <v>4435378.5599999996</v>
      </c>
      <c r="V15" s="75">
        <f>I15*M15</f>
        <v>4435378.5599999996</v>
      </c>
      <c r="X15" s="85"/>
    </row>
    <row r="16" spans="1:24" ht="105" x14ac:dyDescent="0.25">
      <c r="A16" s="88"/>
      <c r="B16" s="97" t="s">
        <v>24</v>
      </c>
      <c r="C16" s="93" t="s">
        <v>179</v>
      </c>
      <c r="D16" s="126" t="s">
        <v>20</v>
      </c>
      <c r="E16" s="87">
        <v>41</v>
      </c>
      <c r="F16" s="87">
        <v>41</v>
      </c>
      <c r="G16" s="87">
        <f>(E16*8+F16*4)/12</f>
        <v>41</v>
      </c>
      <c r="H16" s="87">
        <v>41</v>
      </c>
      <c r="I16" s="87">
        <v>41</v>
      </c>
      <c r="J16" s="75">
        <v>77037.7</v>
      </c>
      <c r="K16" s="75">
        <v>12142.68</v>
      </c>
      <c r="L16" s="156">
        <v>30895.39</v>
      </c>
      <c r="M16" s="75">
        <f>J16+K16+L16</f>
        <v>120075.77</v>
      </c>
      <c r="N16" s="75">
        <f>G16*J16</f>
        <v>3158545.6999999997</v>
      </c>
      <c r="O16" s="75">
        <f>G16*K16</f>
        <v>497849.88</v>
      </c>
      <c r="P16" s="75"/>
      <c r="Q16" s="75">
        <f>G16*L16</f>
        <v>1266710.99</v>
      </c>
      <c r="R16" s="75"/>
      <c r="S16" s="75">
        <v>0</v>
      </c>
      <c r="T16" s="75">
        <f>SUM(N16:Q16)</f>
        <v>4923106.5699999994</v>
      </c>
      <c r="U16" s="75">
        <f>H16*M16</f>
        <v>4923106.57</v>
      </c>
      <c r="V16" s="75">
        <f>I16*M16</f>
        <v>4923106.57</v>
      </c>
      <c r="X16" s="85"/>
    </row>
    <row r="17" spans="1:24" ht="120" x14ac:dyDescent="0.25">
      <c r="A17" s="88"/>
      <c r="B17" s="97" t="s">
        <v>24</v>
      </c>
      <c r="C17" s="93" t="s">
        <v>162</v>
      </c>
      <c r="D17" s="112" t="s">
        <v>20</v>
      </c>
      <c r="E17" s="87">
        <v>0</v>
      </c>
      <c r="F17" s="87">
        <v>0</v>
      </c>
      <c r="G17" s="87">
        <f>(E17*8+F17*4)/12</f>
        <v>0</v>
      </c>
      <c r="H17" s="87">
        <v>0</v>
      </c>
      <c r="I17" s="87">
        <v>0</v>
      </c>
      <c r="J17" s="75">
        <v>57312.38</v>
      </c>
      <c r="K17" s="75">
        <v>12142.68</v>
      </c>
      <c r="L17" s="156">
        <v>30895.39</v>
      </c>
      <c r="M17" s="75">
        <f>J17+K17+L17</f>
        <v>100350.45</v>
      </c>
      <c r="N17" s="75">
        <f>G17*J17</f>
        <v>0</v>
      </c>
      <c r="O17" s="75">
        <f>G17*K17</f>
        <v>0</v>
      </c>
      <c r="P17" s="75"/>
      <c r="Q17" s="75">
        <f>G17*L17</f>
        <v>0</v>
      </c>
      <c r="R17" s="75"/>
      <c r="S17" s="75">
        <v>0</v>
      </c>
      <c r="T17" s="75">
        <f t="shared" ref="T17:T95" si="1">SUM(N17:Q17)</f>
        <v>0</v>
      </c>
      <c r="U17" s="75">
        <f t="shared" ref="U17:U95" si="2">H17*M17</f>
        <v>0</v>
      </c>
      <c r="V17" s="75">
        <f t="shared" ref="V17:V95" si="3">I17*M17</f>
        <v>0</v>
      </c>
      <c r="X17" s="85"/>
    </row>
    <row r="18" spans="1:24" x14ac:dyDescent="0.25">
      <c r="A18" s="112"/>
      <c r="B18" s="112" t="s">
        <v>28</v>
      </c>
      <c r="C18" s="127" t="s">
        <v>219</v>
      </c>
      <c r="D18" s="82"/>
      <c r="E18" s="87">
        <f>E17+E16+E15+E14</f>
        <v>122</v>
      </c>
      <c r="F18" s="87">
        <f>F17+F16+F15+F14</f>
        <v>122</v>
      </c>
      <c r="G18" s="87">
        <f>(E18*8+F18*4)/12</f>
        <v>122</v>
      </c>
      <c r="H18" s="87">
        <f>H17+H16+H15+H14</f>
        <v>122</v>
      </c>
      <c r="I18" s="87">
        <f>I17+I16+I15+I14</f>
        <v>122</v>
      </c>
      <c r="J18" s="75">
        <v>0</v>
      </c>
      <c r="K18" s="75"/>
      <c r="L18" s="162">
        <v>10176.66</v>
      </c>
      <c r="M18" s="75">
        <f>J18+K18+L18</f>
        <v>10176.66</v>
      </c>
      <c r="N18" s="75">
        <f t="shared" ref="N18" si="4">E18*J18</f>
        <v>0</v>
      </c>
      <c r="O18" s="75">
        <f t="shared" ref="O18" si="5">G18*K18</f>
        <v>0</v>
      </c>
      <c r="P18" s="75"/>
      <c r="Q18" s="75">
        <f>G18*L18</f>
        <v>1241552.52</v>
      </c>
      <c r="R18" s="75"/>
      <c r="S18" s="75">
        <v>0</v>
      </c>
      <c r="T18" s="75">
        <f>SUM(N18:Q18)</f>
        <v>1241552.52</v>
      </c>
      <c r="U18" s="75">
        <f>H18*M18</f>
        <v>1241552.52</v>
      </c>
      <c r="V18" s="75">
        <f>I18*M18</f>
        <v>1241552.52</v>
      </c>
    </row>
    <row r="19" spans="1:24" x14ac:dyDescent="0.25">
      <c r="A19" s="176"/>
      <c r="B19" s="176" t="s">
        <v>28</v>
      </c>
      <c r="C19" s="127" t="s">
        <v>220</v>
      </c>
      <c r="D19" s="82"/>
      <c r="E19" s="87"/>
      <c r="F19" s="87"/>
      <c r="G19" s="87"/>
      <c r="H19" s="87"/>
      <c r="I19" s="87"/>
      <c r="J19" s="75"/>
      <c r="K19" s="75"/>
      <c r="L19" s="162">
        <v>12248.94</v>
      </c>
      <c r="M19" s="75"/>
      <c r="N19" s="75"/>
      <c r="O19" s="75"/>
      <c r="P19" s="75"/>
      <c r="Q19" s="75"/>
      <c r="R19" s="75"/>
      <c r="S19" s="75">
        <f>G18*L19</f>
        <v>1494370.6800000002</v>
      </c>
      <c r="T19" s="75"/>
      <c r="U19" s="75"/>
      <c r="V19" s="75"/>
    </row>
    <row r="20" spans="1:24" x14ac:dyDescent="0.25">
      <c r="A20" s="89" t="s">
        <v>29</v>
      </c>
      <c r="B20" s="112"/>
      <c r="C20" s="127"/>
      <c r="D20" s="82"/>
      <c r="E20" s="87"/>
      <c r="F20" s="87"/>
      <c r="G20" s="87"/>
      <c r="H20" s="87"/>
      <c r="I20" s="87"/>
      <c r="J20" s="75"/>
      <c r="K20" s="75"/>
      <c r="L20" s="156"/>
      <c r="M20" s="75">
        <f t="shared" ref="M20:M97" si="6">J20+K20+L20</f>
        <v>0</v>
      </c>
      <c r="N20" s="78">
        <f>N21+N23</f>
        <v>2274393.33</v>
      </c>
      <c r="O20" s="78">
        <f t="shared" ref="O20:V20" si="7">O21+O23</f>
        <v>412851.11999999994</v>
      </c>
      <c r="P20" s="78"/>
      <c r="Q20" s="179">
        <f>Q21+Q23</f>
        <v>1396449.7</v>
      </c>
      <c r="R20" s="179"/>
      <c r="S20" s="78">
        <f>S19</f>
        <v>1494370.6800000002</v>
      </c>
      <c r="T20" s="78">
        <f t="shared" si="7"/>
        <v>4083694.15</v>
      </c>
      <c r="U20" s="78">
        <f t="shared" si="7"/>
        <v>4083694.15</v>
      </c>
      <c r="V20" s="78">
        <f t="shared" si="7"/>
        <v>4083694.15</v>
      </c>
    </row>
    <row r="21" spans="1:24" ht="85.5" x14ac:dyDescent="0.25">
      <c r="A21" s="90"/>
      <c r="B21" s="84" t="s">
        <v>76</v>
      </c>
      <c r="C21" s="128"/>
      <c r="D21" s="82"/>
      <c r="E21" s="68"/>
      <c r="F21" s="68"/>
      <c r="G21" s="68"/>
      <c r="H21" s="68"/>
      <c r="I21" s="68"/>
      <c r="J21" s="75"/>
      <c r="K21" s="75"/>
      <c r="L21" s="156"/>
      <c r="M21" s="75">
        <f t="shared" si="6"/>
        <v>0</v>
      </c>
      <c r="N21" s="75">
        <f t="shared" ref="N21:V21" si="8">SUM(N22:N22)</f>
        <v>2274393.33</v>
      </c>
      <c r="O21" s="75">
        <f>SUM(O22:O22)</f>
        <v>412851.11999999994</v>
      </c>
      <c r="P21" s="75"/>
      <c r="Q21" s="75">
        <f t="shared" si="8"/>
        <v>1050443.26</v>
      </c>
      <c r="R21" s="75"/>
      <c r="S21" s="75"/>
      <c r="T21" s="75">
        <f t="shared" si="8"/>
        <v>3737687.71</v>
      </c>
      <c r="U21" s="75">
        <f>SUM(U22:U22)</f>
        <v>3737687.71</v>
      </c>
      <c r="V21" s="75">
        <f t="shared" si="8"/>
        <v>3737687.71</v>
      </c>
    </row>
    <row r="22" spans="1:24" ht="105" x14ac:dyDescent="0.25">
      <c r="A22" s="83"/>
      <c r="B22" s="82"/>
      <c r="C22" s="93" t="s">
        <v>30</v>
      </c>
      <c r="D22" s="112" t="s">
        <v>31</v>
      </c>
      <c r="E22" s="87" t="s">
        <v>188</v>
      </c>
      <c r="F22" s="87" t="s">
        <v>188</v>
      </c>
      <c r="G22" s="87" t="s">
        <v>188</v>
      </c>
      <c r="H22" s="87" t="s">
        <v>188</v>
      </c>
      <c r="I22" s="87" t="s">
        <v>188</v>
      </c>
      <c r="J22" s="75">
        <v>758131.11</v>
      </c>
      <c r="K22" s="75">
        <v>12142.68</v>
      </c>
      <c r="L22" s="46">
        <v>30895.39</v>
      </c>
      <c r="M22" s="46">
        <f>J22+K22+L22</f>
        <v>801169.18</v>
      </c>
      <c r="N22" s="46">
        <f>3*J22</f>
        <v>2274393.33</v>
      </c>
      <c r="O22" s="46">
        <f>((34*12142.68*8)+(34*12142.68*4))/12</f>
        <v>412851.11999999994</v>
      </c>
      <c r="P22" s="46"/>
      <c r="Q22" s="46">
        <f>L22*34</f>
        <v>1050443.26</v>
      </c>
      <c r="R22" s="46"/>
      <c r="S22" s="75"/>
      <c r="T22" s="75">
        <f>SUM(N22:Q22)</f>
        <v>3737687.71</v>
      </c>
      <c r="U22" s="75">
        <f>T22</f>
        <v>3737687.71</v>
      </c>
      <c r="V22" s="75">
        <f>U22</f>
        <v>3737687.71</v>
      </c>
    </row>
    <row r="23" spans="1:24" x14ac:dyDescent="0.25">
      <c r="A23" s="112"/>
      <c r="B23" s="112" t="s">
        <v>28</v>
      </c>
      <c r="C23" s="127"/>
      <c r="D23" s="112" t="s">
        <v>20</v>
      </c>
      <c r="E23" s="87">
        <v>34</v>
      </c>
      <c r="F23" s="87">
        <v>34</v>
      </c>
      <c r="G23" s="87">
        <f>(E23*8+F23*4)/12</f>
        <v>34</v>
      </c>
      <c r="H23" s="87">
        <v>34</v>
      </c>
      <c r="I23" s="87">
        <v>34</v>
      </c>
      <c r="J23" s="75" t="s">
        <v>23</v>
      </c>
      <c r="K23" s="75"/>
      <c r="L23" s="46">
        <v>10176.66</v>
      </c>
      <c r="M23" s="46">
        <f t="shared" si="6"/>
        <v>10176.66</v>
      </c>
      <c r="N23" s="46">
        <f t="shared" ref="N23" si="9">E23*J23</f>
        <v>0</v>
      </c>
      <c r="O23" s="46">
        <f t="shared" ref="O23:O31" si="10">E23*K23</f>
        <v>0</v>
      </c>
      <c r="P23" s="46"/>
      <c r="Q23" s="46">
        <f>G23*L23</f>
        <v>346006.44</v>
      </c>
      <c r="R23" s="46"/>
      <c r="S23" s="75"/>
      <c r="T23" s="75">
        <f t="shared" si="1"/>
        <v>346006.44</v>
      </c>
      <c r="U23" s="75">
        <f>H23*M23</f>
        <v>346006.44</v>
      </c>
      <c r="V23" s="75">
        <f t="shared" si="3"/>
        <v>346006.44</v>
      </c>
    </row>
    <row r="24" spans="1:24" x14ac:dyDescent="0.25">
      <c r="A24" s="176"/>
      <c r="B24" s="176" t="s">
        <v>28</v>
      </c>
      <c r="C24" s="127" t="s">
        <v>219</v>
      </c>
      <c r="D24" s="176"/>
      <c r="E24" s="87"/>
      <c r="F24" s="87"/>
      <c r="G24" s="87"/>
      <c r="H24" s="87"/>
      <c r="I24" s="87"/>
      <c r="J24" s="75"/>
      <c r="K24" s="75"/>
      <c r="L24" s="162">
        <v>12248.94</v>
      </c>
      <c r="M24" s="75"/>
      <c r="N24" s="75"/>
      <c r="O24" s="75"/>
      <c r="P24" s="75"/>
      <c r="Q24" s="75"/>
      <c r="R24" s="75"/>
      <c r="S24" s="75">
        <f>L24*G23</f>
        <v>416463.96</v>
      </c>
      <c r="T24" s="75"/>
      <c r="U24" s="75"/>
      <c r="V24" s="75"/>
    </row>
    <row r="25" spans="1:24" x14ac:dyDescent="0.25">
      <c r="A25" s="113" t="s">
        <v>35</v>
      </c>
      <c r="B25" s="176" t="s">
        <v>28</v>
      </c>
      <c r="C25" s="127" t="s">
        <v>220</v>
      </c>
      <c r="D25" s="91"/>
      <c r="E25" s="92"/>
      <c r="F25" s="92"/>
      <c r="G25" s="92"/>
      <c r="H25" s="92"/>
      <c r="I25" s="92"/>
      <c r="J25" s="78"/>
      <c r="K25" s="78"/>
      <c r="L25" s="161"/>
      <c r="M25" s="78">
        <f t="shared" si="6"/>
        <v>0</v>
      </c>
      <c r="N25" s="78">
        <f>N26+N31</f>
        <v>8172644.0499999998</v>
      </c>
      <c r="O25" s="78">
        <f>O26+O31</f>
        <v>1335694.8</v>
      </c>
      <c r="P25" s="78"/>
      <c r="Q25" s="179">
        <f>Q26+Q31</f>
        <v>4517925.5</v>
      </c>
      <c r="R25" s="179"/>
      <c r="S25" s="78">
        <f>S24</f>
        <v>416463.96</v>
      </c>
      <c r="T25" s="78">
        <f t="shared" ref="T25:V25" si="11">T26+T31</f>
        <v>14026264.35</v>
      </c>
      <c r="U25" s="78">
        <f t="shared" si="11"/>
        <v>14026264.349999998</v>
      </c>
      <c r="V25" s="78">
        <f t="shared" si="11"/>
        <v>14026264.349999998</v>
      </c>
    </row>
    <row r="26" spans="1:24" ht="85.5" x14ac:dyDescent="0.25">
      <c r="A26" s="83"/>
      <c r="B26" s="84" t="s">
        <v>76</v>
      </c>
      <c r="C26" s="128"/>
      <c r="D26" s="82"/>
      <c r="E26" s="68"/>
      <c r="F26" s="68"/>
      <c r="G26" s="68"/>
      <c r="H26" s="68"/>
      <c r="I26" s="68"/>
      <c r="J26" s="75"/>
      <c r="K26" s="75"/>
      <c r="L26" s="156"/>
      <c r="M26" s="75">
        <f t="shared" si="6"/>
        <v>0</v>
      </c>
      <c r="N26" s="75">
        <f>SUM(N27:N30)</f>
        <v>8172644.0499999998</v>
      </c>
      <c r="O26" s="75">
        <f t="shared" ref="O26:V26" si="12">SUM(O27:O30)</f>
        <v>1335694.8</v>
      </c>
      <c r="P26" s="75"/>
      <c r="Q26" s="75">
        <f t="shared" si="12"/>
        <v>3398492.9</v>
      </c>
      <c r="R26" s="75"/>
      <c r="S26" s="75"/>
      <c r="T26" s="75">
        <f t="shared" si="12"/>
        <v>12906831.75</v>
      </c>
      <c r="U26" s="75">
        <f t="shared" si="12"/>
        <v>12906831.749999998</v>
      </c>
      <c r="V26" s="75">
        <f t="shared" si="12"/>
        <v>12906831.749999998</v>
      </c>
    </row>
    <row r="27" spans="1:24" ht="105" x14ac:dyDescent="0.25">
      <c r="A27" s="83"/>
      <c r="B27" s="97" t="s">
        <v>19</v>
      </c>
      <c r="C27" s="93" t="s">
        <v>0</v>
      </c>
      <c r="D27" s="112" t="s">
        <v>20</v>
      </c>
      <c r="E27" s="87">
        <v>0</v>
      </c>
      <c r="F27" s="87">
        <v>0</v>
      </c>
      <c r="G27" s="87">
        <f t="shared" ref="G27:G29" si="13">(E27*8+F27*4)/12</f>
        <v>0</v>
      </c>
      <c r="H27" s="87">
        <v>0</v>
      </c>
      <c r="I27" s="87">
        <v>0</v>
      </c>
      <c r="J27" s="75">
        <v>43138.04</v>
      </c>
      <c r="K27" s="75">
        <v>12142.68</v>
      </c>
      <c r="L27" s="156">
        <v>30895.39</v>
      </c>
      <c r="M27" s="75">
        <f t="shared" si="6"/>
        <v>86176.11</v>
      </c>
      <c r="N27" s="75">
        <f>G27*J27</f>
        <v>0</v>
      </c>
      <c r="O27" s="75">
        <f>G27*K27</f>
        <v>0</v>
      </c>
      <c r="P27" s="75"/>
      <c r="Q27" s="75">
        <f>G27*L27</f>
        <v>0</v>
      </c>
      <c r="R27" s="75"/>
      <c r="S27" s="75"/>
      <c r="T27" s="46">
        <f t="shared" si="1"/>
        <v>0</v>
      </c>
      <c r="U27" s="75">
        <f t="shared" si="2"/>
        <v>0</v>
      </c>
      <c r="V27" s="75">
        <f t="shared" si="3"/>
        <v>0</v>
      </c>
    </row>
    <row r="28" spans="1:24" x14ac:dyDescent="0.25">
      <c r="A28" s="88"/>
      <c r="B28" s="97" t="s">
        <v>24</v>
      </c>
      <c r="C28" s="97"/>
      <c r="D28" s="86" t="s">
        <v>20</v>
      </c>
      <c r="E28" s="87">
        <v>0</v>
      </c>
      <c r="F28" s="87">
        <v>0</v>
      </c>
      <c r="G28" s="87">
        <f t="shared" si="13"/>
        <v>0</v>
      </c>
      <c r="H28" s="87">
        <v>0</v>
      </c>
      <c r="I28" s="87">
        <v>0</v>
      </c>
      <c r="J28" s="75">
        <v>34198.17</v>
      </c>
      <c r="K28" s="75">
        <v>12142.68</v>
      </c>
      <c r="L28" s="156">
        <v>30895.39</v>
      </c>
      <c r="M28" s="75">
        <f t="shared" si="6"/>
        <v>77236.239999999991</v>
      </c>
      <c r="N28" s="75">
        <f>G28*J28</f>
        <v>0</v>
      </c>
      <c r="O28" s="75">
        <f>G28*K28</f>
        <v>0</v>
      </c>
      <c r="P28" s="75"/>
      <c r="Q28" s="75">
        <f>G28*L28</f>
        <v>0</v>
      </c>
      <c r="R28" s="75"/>
      <c r="S28" s="75"/>
      <c r="T28" s="46">
        <f t="shared" si="1"/>
        <v>0</v>
      </c>
      <c r="U28" s="75">
        <f t="shared" si="2"/>
        <v>0</v>
      </c>
      <c r="V28" s="75">
        <f t="shared" si="3"/>
        <v>0</v>
      </c>
    </row>
    <row r="29" spans="1:24" ht="105" x14ac:dyDescent="0.25">
      <c r="A29" s="83"/>
      <c r="B29" s="97" t="s">
        <v>24</v>
      </c>
      <c r="C29" s="93" t="s">
        <v>38</v>
      </c>
      <c r="D29" s="112" t="s">
        <v>20</v>
      </c>
      <c r="E29" s="87">
        <v>29</v>
      </c>
      <c r="F29" s="87">
        <v>29</v>
      </c>
      <c r="G29" s="87">
        <f t="shared" si="13"/>
        <v>29</v>
      </c>
      <c r="H29" s="87">
        <v>29</v>
      </c>
      <c r="I29" s="87">
        <v>29</v>
      </c>
      <c r="J29" s="75">
        <v>142093.57999999999</v>
      </c>
      <c r="K29" s="75">
        <v>12142.68</v>
      </c>
      <c r="L29" s="156">
        <v>30895.39</v>
      </c>
      <c r="M29" s="75">
        <f t="shared" si="6"/>
        <v>185131.64999999997</v>
      </c>
      <c r="N29" s="75">
        <f>G29*J29</f>
        <v>4120713.82</v>
      </c>
      <c r="O29" s="75">
        <f>G29*K29</f>
        <v>352137.72000000003</v>
      </c>
      <c r="P29" s="75"/>
      <c r="Q29" s="75">
        <f>G29*L29</f>
        <v>895966.30999999994</v>
      </c>
      <c r="R29" s="75"/>
      <c r="S29" s="75"/>
      <c r="T29" s="46">
        <f t="shared" si="1"/>
        <v>5368817.8499999996</v>
      </c>
      <c r="U29" s="75">
        <f t="shared" si="2"/>
        <v>5368817.8499999987</v>
      </c>
      <c r="V29" s="75">
        <f t="shared" si="3"/>
        <v>5368817.8499999987</v>
      </c>
    </row>
    <row r="30" spans="1:24" ht="120" x14ac:dyDescent="0.25">
      <c r="A30" s="83"/>
      <c r="B30" s="97" t="s">
        <v>24</v>
      </c>
      <c r="C30" s="93" t="s">
        <v>162</v>
      </c>
      <c r="D30" s="112" t="s">
        <v>20</v>
      </c>
      <c r="E30" s="87">
        <v>81</v>
      </c>
      <c r="F30" s="87">
        <v>81</v>
      </c>
      <c r="G30" s="87">
        <f>(E30*8+F30*4)/12</f>
        <v>81</v>
      </c>
      <c r="H30" s="87">
        <v>81</v>
      </c>
      <c r="I30" s="87">
        <v>81</v>
      </c>
      <c r="J30" s="75">
        <v>50023.83</v>
      </c>
      <c r="K30" s="75">
        <v>12142.68</v>
      </c>
      <c r="L30" s="156">
        <v>30895.39</v>
      </c>
      <c r="M30" s="75">
        <f t="shared" si="6"/>
        <v>93061.9</v>
      </c>
      <c r="N30" s="75">
        <f>G30*J30</f>
        <v>4051930.23</v>
      </c>
      <c r="O30" s="75">
        <f>G30*K30</f>
        <v>983557.08000000007</v>
      </c>
      <c r="P30" s="75"/>
      <c r="Q30" s="75">
        <f>G30*L30</f>
        <v>2502526.59</v>
      </c>
      <c r="R30" s="75"/>
      <c r="S30" s="75"/>
      <c r="T30" s="46">
        <f t="shared" si="1"/>
        <v>7538013.9000000004</v>
      </c>
      <c r="U30" s="75">
        <f t="shared" si="2"/>
        <v>7538013.8999999994</v>
      </c>
      <c r="V30" s="75">
        <f t="shared" si="3"/>
        <v>7538013.8999999994</v>
      </c>
    </row>
    <row r="31" spans="1:24" x14ac:dyDescent="0.25">
      <c r="A31" s="86"/>
      <c r="B31" s="176" t="s">
        <v>28</v>
      </c>
      <c r="C31" s="127" t="s">
        <v>219</v>
      </c>
      <c r="D31" s="112" t="s">
        <v>20</v>
      </c>
      <c r="E31" s="87">
        <f>E30+E29+E28+E27</f>
        <v>110</v>
      </c>
      <c r="F31" s="87">
        <f>F30+F29+F28+F27</f>
        <v>110</v>
      </c>
      <c r="G31" s="87">
        <f>(E31*8+F31*4)/12</f>
        <v>110</v>
      </c>
      <c r="H31" s="87">
        <f>H30+H29+H28+H27</f>
        <v>110</v>
      </c>
      <c r="I31" s="87">
        <f>I30+I29+I28+I27</f>
        <v>110</v>
      </c>
      <c r="J31" s="75" t="s">
        <v>23</v>
      </c>
      <c r="K31" s="75"/>
      <c r="L31" s="162">
        <v>10176.66</v>
      </c>
      <c r="M31" s="75">
        <f t="shared" si="6"/>
        <v>10176.66</v>
      </c>
      <c r="N31" s="75">
        <f t="shared" ref="N31:N61" si="14">E31*J31</f>
        <v>0</v>
      </c>
      <c r="O31" s="75">
        <f t="shared" si="10"/>
        <v>0</v>
      </c>
      <c r="P31" s="75"/>
      <c r="Q31" s="75">
        <f>G31*L31</f>
        <v>1119432.6000000001</v>
      </c>
      <c r="R31" s="75"/>
      <c r="S31" s="75"/>
      <c r="T31" s="46">
        <f>SUM(N31:Q31)</f>
        <v>1119432.6000000001</v>
      </c>
      <c r="U31" s="75">
        <f>H31*M31</f>
        <v>1119432.6000000001</v>
      </c>
      <c r="V31" s="75">
        <f t="shared" si="3"/>
        <v>1119432.6000000001</v>
      </c>
    </row>
    <row r="32" spans="1:24" x14ac:dyDescent="0.25">
      <c r="A32" s="86"/>
      <c r="B32" s="176" t="s">
        <v>28</v>
      </c>
      <c r="C32" s="127" t="s">
        <v>220</v>
      </c>
      <c r="D32" s="176"/>
      <c r="E32" s="87"/>
      <c r="F32" s="87"/>
      <c r="G32" s="87"/>
      <c r="H32" s="87"/>
      <c r="I32" s="87"/>
      <c r="J32" s="75"/>
      <c r="K32" s="75"/>
      <c r="L32" s="162">
        <v>12248.94</v>
      </c>
      <c r="M32" s="75"/>
      <c r="N32" s="75"/>
      <c r="O32" s="75"/>
      <c r="P32" s="75"/>
      <c r="Q32" s="75"/>
      <c r="R32" s="75"/>
      <c r="S32" s="75">
        <f>L32*G31</f>
        <v>1347383.4000000001</v>
      </c>
      <c r="T32" s="46"/>
      <c r="U32" s="75"/>
      <c r="V32" s="75"/>
    </row>
    <row r="33" spans="1:23" x14ac:dyDescent="0.25">
      <c r="A33" s="113" t="s">
        <v>40</v>
      </c>
      <c r="B33" s="94"/>
      <c r="C33" s="94"/>
      <c r="D33" s="94"/>
      <c r="E33" s="92"/>
      <c r="F33" s="92"/>
      <c r="G33" s="92"/>
      <c r="H33" s="92"/>
      <c r="I33" s="92"/>
      <c r="J33" s="78"/>
      <c r="K33" s="78"/>
      <c r="L33" s="161"/>
      <c r="M33" s="78">
        <f t="shared" si="6"/>
        <v>0</v>
      </c>
      <c r="N33" s="78">
        <f>N34+N38</f>
        <v>4610681.3000000007</v>
      </c>
      <c r="O33" s="78">
        <f t="shared" ref="O33:V33" si="15">O34+O38</f>
        <v>1299266.76</v>
      </c>
      <c r="P33" s="78"/>
      <c r="Q33" s="179">
        <f t="shared" si="15"/>
        <v>4394709.3499999996</v>
      </c>
      <c r="R33" s="179"/>
      <c r="S33" s="78">
        <f>S32</f>
        <v>1347383.4000000001</v>
      </c>
      <c r="T33" s="78">
        <f t="shared" si="15"/>
        <v>10304657.409999998</v>
      </c>
      <c r="U33" s="78">
        <f>U34+U38</f>
        <v>10304657.409999998</v>
      </c>
      <c r="V33" s="78">
        <f t="shared" si="15"/>
        <v>10304657.409999998</v>
      </c>
      <c r="W33" s="85">
        <f>T33-U33</f>
        <v>0</v>
      </c>
    </row>
    <row r="34" spans="1:23" ht="85.5" x14ac:dyDescent="0.25">
      <c r="A34" s="83"/>
      <c r="B34" s="84" t="s">
        <v>76</v>
      </c>
      <c r="C34" s="128"/>
      <c r="D34" s="95"/>
      <c r="E34" s="68"/>
      <c r="F34" s="68"/>
      <c r="G34" s="68"/>
      <c r="H34" s="68"/>
      <c r="I34" s="68"/>
      <c r="J34" s="75"/>
      <c r="K34" s="75"/>
      <c r="L34" s="156"/>
      <c r="M34" s="75">
        <f t="shared" si="6"/>
        <v>0</v>
      </c>
      <c r="N34" s="75">
        <f>SUM(N35:N37)</f>
        <v>4610681.3000000007</v>
      </c>
      <c r="O34" s="75">
        <f t="shared" ref="O34:V34" si="16">SUM(O35:O37)</f>
        <v>1299266.76</v>
      </c>
      <c r="P34" s="75"/>
      <c r="Q34" s="75">
        <f t="shared" si="16"/>
        <v>3305806.73</v>
      </c>
      <c r="R34" s="75"/>
      <c r="S34" s="75"/>
      <c r="T34" s="75">
        <f t="shared" si="16"/>
        <v>9215754.7899999991</v>
      </c>
      <c r="U34" s="75">
        <f t="shared" si="16"/>
        <v>9215754.7899999991</v>
      </c>
      <c r="V34" s="75">
        <f t="shared" si="16"/>
        <v>9215754.7899999991</v>
      </c>
    </row>
    <row r="35" spans="1:23" ht="105" x14ac:dyDescent="0.25">
      <c r="A35" s="83"/>
      <c r="B35" s="97" t="s">
        <v>19</v>
      </c>
      <c r="C35" s="93" t="s">
        <v>0</v>
      </c>
      <c r="D35" s="112" t="s">
        <v>20</v>
      </c>
      <c r="E35" s="87">
        <v>25</v>
      </c>
      <c r="F35" s="87">
        <v>25</v>
      </c>
      <c r="G35" s="87">
        <f t="shared" ref="G35:G37" si="17">(E35*8+F35*4)/12</f>
        <v>25</v>
      </c>
      <c r="H35" s="87">
        <v>25</v>
      </c>
      <c r="I35" s="87">
        <v>25</v>
      </c>
      <c r="J35" s="75">
        <v>43138.04</v>
      </c>
      <c r="K35" s="75">
        <v>12142.68</v>
      </c>
      <c r="L35" s="156">
        <v>30895.39</v>
      </c>
      <c r="M35" s="75">
        <f t="shared" si="6"/>
        <v>86176.11</v>
      </c>
      <c r="N35" s="75">
        <f>G35*J35</f>
        <v>1078451</v>
      </c>
      <c r="O35" s="75">
        <f>G35*K35</f>
        <v>303567</v>
      </c>
      <c r="P35" s="75"/>
      <c r="Q35" s="75">
        <f>G35*L35</f>
        <v>772384.75</v>
      </c>
      <c r="R35" s="75"/>
      <c r="S35" s="75"/>
      <c r="T35" s="75">
        <f t="shared" si="1"/>
        <v>2154402.75</v>
      </c>
      <c r="U35" s="75">
        <f t="shared" si="2"/>
        <v>2154402.75</v>
      </c>
      <c r="V35" s="75">
        <f t="shared" si="3"/>
        <v>2154402.75</v>
      </c>
    </row>
    <row r="36" spans="1:23" x14ac:dyDescent="0.25">
      <c r="A36" s="88"/>
      <c r="B36" s="97" t="s">
        <v>24</v>
      </c>
      <c r="C36" s="97"/>
      <c r="D36" s="86" t="s">
        <v>20</v>
      </c>
      <c r="E36" s="87">
        <v>36</v>
      </c>
      <c r="F36" s="87">
        <v>36</v>
      </c>
      <c r="G36" s="87">
        <f t="shared" si="17"/>
        <v>36</v>
      </c>
      <c r="H36" s="87">
        <v>36</v>
      </c>
      <c r="I36" s="87">
        <v>36</v>
      </c>
      <c r="J36" s="75">
        <v>34198.17</v>
      </c>
      <c r="K36" s="75">
        <v>12142.68</v>
      </c>
      <c r="L36" s="156">
        <v>30895.39</v>
      </c>
      <c r="M36" s="75">
        <f t="shared" si="6"/>
        <v>77236.239999999991</v>
      </c>
      <c r="N36" s="75">
        <f>G36*J36</f>
        <v>1231134.1199999999</v>
      </c>
      <c r="O36" s="75">
        <f>G36*K36</f>
        <v>437136.48</v>
      </c>
      <c r="P36" s="75"/>
      <c r="Q36" s="75">
        <f>G36*L36</f>
        <v>1112234.04</v>
      </c>
      <c r="R36" s="75"/>
      <c r="S36" s="75"/>
      <c r="T36" s="75">
        <f t="shared" si="1"/>
        <v>2780504.6399999997</v>
      </c>
      <c r="U36" s="75">
        <f t="shared" si="2"/>
        <v>2780504.6399999997</v>
      </c>
      <c r="V36" s="75">
        <f t="shared" si="3"/>
        <v>2780504.6399999997</v>
      </c>
    </row>
    <row r="37" spans="1:23" ht="120" x14ac:dyDescent="0.25">
      <c r="A37" s="88"/>
      <c r="B37" s="97" t="s">
        <v>24</v>
      </c>
      <c r="C37" s="93" t="s">
        <v>162</v>
      </c>
      <c r="D37" s="112" t="s">
        <v>20</v>
      </c>
      <c r="E37" s="87">
        <v>46</v>
      </c>
      <c r="F37" s="87">
        <v>46</v>
      </c>
      <c r="G37" s="87">
        <f t="shared" si="17"/>
        <v>46</v>
      </c>
      <c r="H37" s="87">
        <v>46</v>
      </c>
      <c r="I37" s="87">
        <v>46</v>
      </c>
      <c r="J37" s="75">
        <v>50023.83</v>
      </c>
      <c r="K37" s="75">
        <v>12142.68</v>
      </c>
      <c r="L37" s="156">
        <v>30895.39</v>
      </c>
      <c r="M37" s="75">
        <f t="shared" si="6"/>
        <v>93061.9</v>
      </c>
      <c r="N37" s="75">
        <f t="shared" ref="N37:N38" si="18">G37*J37</f>
        <v>2301096.1800000002</v>
      </c>
      <c r="O37" s="75">
        <f t="shared" ref="O37:O38" si="19">G37*K37</f>
        <v>558563.28</v>
      </c>
      <c r="P37" s="75"/>
      <c r="Q37" s="75">
        <f>G37*L37</f>
        <v>1421187.94</v>
      </c>
      <c r="R37" s="75"/>
      <c r="S37" s="75"/>
      <c r="T37" s="75">
        <f t="shared" si="1"/>
        <v>4280847.4000000004</v>
      </c>
      <c r="U37" s="75">
        <f t="shared" si="2"/>
        <v>4280847.3999999994</v>
      </c>
      <c r="V37" s="75">
        <f t="shared" si="3"/>
        <v>4280847.3999999994</v>
      </c>
    </row>
    <row r="38" spans="1:23" x14ac:dyDescent="0.25">
      <c r="A38" s="86"/>
      <c r="B38" s="176" t="s">
        <v>28</v>
      </c>
      <c r="C38" s="127" t="s">
        <v>219</v>
      </c>
      <c r="D38" s="86" t="s">
        <v>20</v>
      </c>
      <c r="E38" s="87">
        <f>E37+E36+E35</f>
        <v>107</v>
      </c>
      <c r="F38" s="87">
        <f>F37+F36+F35</f>
        <v>107</v>
      </c>
      <c r="G38" s="87">
        <f>(E38*8+F38*4)/12</f>
        <v>107</v>
      </c>
      <c r="H38" s="87">
        <f>H37+H36+H35</f>
        <v>107</v>
      </c>
      <c r="I38" s="87">
        <f>I37+I36+I35</f>
        <v>107</v>
      </c>
      <c r="J38" s="75" t="s">
        <v>23</v>
      </c>
      <c r="K38" s="75"/>
      <c r="L38" s="162">
        <v>10176.66</v>
      </c>
      <c r="M38" s="75">
        <f t="shared" si="6"/>
        <v>10176.66</v>
      </c>
      <c r="N38" s="75">
        <f t="shared" si="18"/>
        <v>0</v>
      </c>
      <c r="O38" s="75">
        <f t="shared" si="19"/>
        <v>0</v>
      </c>
      <c r="P38" s="75"/>
      <c r="Q38" s="75">
        <f>E38*L38</f>
        <v>1088902.6199999999</v>
      </c>
      <c r="R38" s="75"/>
      <c r="S38" s="75"/>
      <c r="T38" s="75">
        <f>SUM(N38:Q38)</f>
        <v>1088902.6199999999</v>
      </c>
      <c r="U38" s="75">
        <f>H38*L38</f>
        <v>1088902.6199999999</v>
      </c>
      <c r="V38" s="75">
        <f>I38*M38</f>
        <v>1088902.6199999999</v>
      </c>
    </row>
    <row r="39" spans="1:23" x14ac:dyDescent="0.25">
      <c r="A39" s="86"/>
      <c r="B39" s="176" t="s">
        <v>28</v>
      </c>
      <c r="C39" s="127" t="s">
        <v>220</v>
      </c>
      <c r="D39" s="86"/>
      <c r="E39" s="87"/>
      <c r="F39" s="87"/>
      <c r="G39" s="87"/>
      <c r="H39" s="87"/>
      <c r="I39" s="87"/>
      <c r="J39" s="75"/>
      <c r="K39" s="75"/>
      <c r="L39" s="162">
        <v>12248.94</v>
      </c>
      <c r="M39" s="75"/>
      <c r="N39" s="75"/>
      <c r="O39" s="75"/>
      <c r="P39" s="75"/>
      <c r="Q39" s="75"/>
      <c r="R39" s="75"/>
      <c r="S39" s="75">
        <f>L39*G38</f>
        <v>1310636.58</v>
      </c>
      <c r="T39" s="75"/>
      <c r="U39" s="75"/>
      <c r="V39" s="75"/>
    </row>
    <row r="40" spans="1:23" x14ac:dyDescent="0.25">
      <c r="A40" s="113" t="s">
        <v>44</v>
      </c>
      <c r="B40" s="94"/>
      <c r="C40" s="94"/>
      <c r="D40" s="94"/>
      <c r="E40" s="92"/>
      <c r="F40" s="92"/>
      <c r="G40" s="92"/>
      <c r="H40" s="92"/>
      <c r="I40" s="92"/>
      <c r="J40" s="78"/>
      <c r="K40" s="78"/>
      <c r="L40" s="161"/>
      <c r="M40" s="78">
        <f t="shared" si="6"/>
        <v>0</v>
      </c>
      <c r="N40" s="78">
        <f>N41+N46</f>
        <v>11659167.85</v>
      </c>
      <c r="O40" s="78">
        <f t="shared" ref="O40:V40" si="20">O41+O46</f>
        <v>2659246.92</v>
      </c>
      <c r="P40" s="78"/>
      <c r="Q40" s="179">
        <f t="shared" si="20"/>
        <v>8994778.9499999993</v>
      </c>
      <c r="R40" s="179"/>
      <c r="S40" s="78">
        <f>S39</f>
        <v>1310636.58</v>
      </c>
      <c r="T40" s="78">
        <f t="shared" si="20"/>
        <v>23313193.719999999</v>
      </c>
      <c r="U40" s="78">
        <f t="shared" si="20"/>
        <v>23313193.719999999</v>
      </c>
      <c r="V40" s="78">
        <f t="shared" si="20"/>
        <v>23313193.719999999</v>
      </c>
    </row>
    <row r="41" spans="1:23" ht="85.5" x14ac:dyDescent="0.25">
      <c r="A41" s="83"/>
      <c r="B41" s="84" t="s">
        <v>76</v>
      </c>
      <c r="C41" s="128"/>
      <c r="D41" s="95"/>
      <c r="E41" s="68"/>
      <c r="F41" s="68"/>
      <c r="G41" s="68"/>
      <c r="H41" s="68"/>
      <c r="I41" s="68"/>
      <c r="J41" s="75"/>
      <c r="K41" s="75"/>
      <c r="L41" s="156"/>
      <c r="M41" s="75">
        <f t="shared" si="6"/>
        <v>0</v>
      </c>
      <c r="N41" s="75">
        <f>SUM(N42:N45)</f>
        <v>11659167.85</v>
      </c>
      <c r="O41" s="75">
        <f t="shared" ref="O41:V41" si="21">SUM(O42:O45)</f>
        <v>2659246.92</v>
      </c>
      <c r="P41" s="75"/>
      <c r="Q41" s="75">
        <f t="shared" si="21"/>
        <v>6766090.4100000001</v>
      </c>
      <c r="R41" s="75"/>
      <c r="S41" s="75"/>
      <c r="T41" s="75">
        <f t="shared" si="21"/>
        <v>21084505.18</v>
      </c>
      <c r="U41" s="75">
        <f t="shared" si="21"/>
        <v>21084505.18</v>
      </c>
      <c r="V41" s="75">
        <f t="shared" si="21"/>
        <v>21084505.18</v>
      </c>
    </row>
    <row r="42" spans="1:23" ht="105" x14ac:dyDescent="0.25">
      <c r="A42" s="83"/>
      <c r="B42" s="97" t="s">
        <v>19</v>
      </c>
      <c r="C42" s="93" t="s">
        <v>0</v>
      </c>
      <c r="D42" s="112" t="s">
        <v>20</v>
      </c>
      <c r="E42" s="87">
        <v>44</v>
      </c>
      <c r="F42" s="87">
        <v>44</v>
      </c>
      <c r="G42" s="87">
        <f t="shared" ref="G42:G45" si="22">(E42*8+F42*4)/12</f>
        <v>44</v>
      </c>
      <c r="H42" s="87">
        <v>44</v>
      </c>
      <c r="I42" s="87">
        <v>44</v>
      </c>
      <c r="J42" s="75">
        <v>43138.04</v>
      </c>
      <c r="K42" s="75">
        <v>12142.68</v>
      </c>
      <c r="L42" s="156">
        <v>30895.39</v>
      </c>
      <c r="M42" s="75">
        <f t="shared" si="6"/>
        <v>86176.11</v>
      </c>
      <c r="N42" s="75">
        <f>G42*J42</f>
        <v>1898073.76</v>
      </c>
      <c r="O42" s="75">
        <f>G42*K42</f>
        <v>534277.92000000004</v>
      </c>
      <c r="P42" s="75"/>
      <c r="Q42" s="75">
        <f>G42*L42</f>
        <v>1359397.16</v>
      </c>
      <c r="R42" s="75"/>
      <c r="S42" s="75"/>
      <c r="T42" s="75">
        <f t="shared" si="1"/>
        <v>3791748.84</v>
      </c>
      <c r="U42" s="75">
        <f t="shared" si="2"/>
        <v>3791748.84</v>
      </c>
      <c r="V42" s="75">
        <f t="shared" si="3"/>
        <v>3791748.84</v>
      </c>
    </row>
    <row r="43" spans="1:23" x14ac:dyDescent="0.25">
      <c r="A43" s="88"/>
      <c r="B43" s="97" t="s">
        <v>24</v>
      </c>
      <c r="C43" s="97"/>
      <c r="D43" s="86" t="s">
        <v>20</v>
      </c>
      <c r="E43" s="87">
        <v>76</v>
      </c>
      <c r="F43" s="87">
        <v>76</v>
      </c>
      <c r="G43" s="87">
        <f t="shared" si="22"/>
        <v>76</v>
      </c>
      <c r="H43" s="87">
        <v>76</v>
      </c>
      <c r="I43" s="87">
        <v>76</v>
      </c>
      <c r="J43" s="75">
        <v>34198.17</v>
      </c>
      <c r="K43" s="75">
        <v>12142.68</v>
      </c>
      <c r="L43" s="156">
        <v>30895.39</v>
      </c>
      <c r="M43" s="75">
        <f t="shared" si="6"/>
        <v>77236.239999999991</v>
      </c>
      <c r="N43" s="75">
        <f t="shared" ref="N43:N46" si="23">G43*J43</f>
        <v>2599060.92</v>
      </c>
      <c r="O43" s="75">
        <f t="shared" ref="O43:O46" si="24">G43*K43</f>
        <v>922843.68</v>
      </c>
      <c r="P43" s="75"/>
      <c r="Q43" s="75">
        <f t="shared" ref="Q43:Q45" si="25">G43*L43</f>
        <v>2348049.64</v>
      </c>
      <c r="R43" s="75"/>
      <c r="S43" s="75"/>
      <c r="T43" s="75">
        <f t="shared" si="1"/>
        <v>5869954.2400000002</v>
      </c>
      <c r="U43" s="75">
        <f t="shared" si="2"/>
        <v>5869954.2399999993</v>
      </c>
      <c r="V43" s="75">
        <f t="shared" si="3"/>
        <v>5869954.2399999993</v>
      </c>
    </row>
    <row r="44" spans="1:23" ht="105" x14ac:dyDescent="0.25">
      <c r="A44" s="83"/>
      <c r="B44" s="130"/>
      <c r="C44" s="93" t="s">
        <v>38</v>
      </c>
      <c r="D44" s="112" t="s">
        <v>20</v>
      </c>
      <c r="E44" s="87">
        <v>24</v>
      </c>
      <c r="F44" s="87">
        <v>24</v>
      </c>
      <c r="G44" s="87">
        <f t="shared" si="22"/>
        <v>24</v>
      </c>
      <c r="H44" s="87">
        <v>24</v>
      </c>
      <c r="I44" s="87">
        <v>24</v>
      </c>
      <c r="J44" s="75">
        <v>142093.57999999999</v>
      </c>
      <c r="K44" s="75">
        <v>12142.68</v>
      </c>
      <c r="L44" s="156">
        <v>30895.39</v>
      </c>
      <c r="M44" s="75">
        <f t="shared" si="6"/>
        <v>185131.64999999997</v>
      </c>
      <c r="N44" s="75">
        <f t="shared" si="23"/>
        <v>3410245.92</v>
      </c>
      <c r="O44" s="75">
        <f t="shared" si="24"/>
        <v>291424.32</v>
      </c>
      <c r="P44" s="75"/>
      <c r="Q44" s="75">
        <f t="shared" si="25"/>
        <v>741489.36</v>
      </c>
      <c r="R44" s="75"/>
      <c r="S44" s="75"/>
      <c r="T44" s="75">
        <f t="shared" si="1"/>
        <v>4443159.5999999996</v>
      </c>
      <c r="U44" s="75">
        <f t="shared" si="2"/>
        <v>4443159.5999999996</v>
      </c>
      <c r="V44" s="75">
        <f t="shared" si="3"/>
        <v>4443159.5999999996</v>
      </c>
    </row>
    <row r="45" spans="1:23" ht="120" x14ac:dyDescent="0.25">
      <c r="A45" s="83"/>
      <c r="B45" s="97" t="s">
        <v>24</v>
      </c>
      <c r="C45" s="93" t="s">
        <v>162</v>
      </c>
      <c r="D45" s="112" t="s">
        <v>20</v>
      </c>
      <c r="E45" s="87">
        <v>75</v>
      </c>
      <c r="F45" s="87">
        <v>75</v>
      </c>
      <c r="G45" s="87">
        <f t="shared" si="22"/>
        <v>75</v>
      </c>
      <c r="H45" s="87">
        <v>75</v>
      </c>
      <c r="I45" s="87">
        <v>75</v>
      </c>
      <c r="J45" s="75">
        <v>50023.83</v>
      </c>
      <c r="K45" s="75">
        <v>12142.68</v>
      </c>
      <c r="L45" s="156">
        <v>30895.39</v>
      </c>
      <c r="M45" s="75">
        <f t="shared" si="6"/>
        <v>93061.9</v>
      </c>
      <c r="N45" s="75">
        <f t="shared" si="23"/>
        <v>3751787.25</v>
      </c>
      <c r="O45" s="75">
        <f t="shared" si="24"/>
        <v>910701</v>
      </c>
      <c r="P45" s="75"/>
      <c r="Q45" s="75">
        <f t="shared" si="25"/>
        <v>2317154.25</v>
      </c>
      <c r="R45" s="75"/>
      <c r="S45" s="75"/>
      <c r="T45" s="75">
        <f t="shared" si="1"/>
        <v>6979642.5</v>
      </c>
      <c r="U45" s="75">
        <f t="shared" si="2"/>
        <v>6979642.5</v>
      </c>
      <c r="V45" s="75">
        <f t="shared" si="3"/>
        <v>6979642.5</v>
      </c>
    </row>
    <row r="46" spans="1:23" x14ac:dyDescent="0.25">
      <c r="A46" s="86"/>
      <c r="B46" s="176" t="s">
        <v>28</v>
      </c>
      <c r="C46" s="127" t="s">
        <v>219</v>
      </c>
      <c r="D46" s="86" t="s">
        <v>20</v>
      </c>
      <c r="E46" s="87">
        <f>E45+E44+E43+E42</f>
        <v>219</v>
      </c>
      <c r="F46" s="87">
        <f>F45+F44+F43+F42</f>
        <v>219</v>
      </c>
      <c r="G46" s="87">
        <f t="shared" ref="G46" si="26">(E46*8+F46*4)/12</f>
        <v>219</v>
      </c>
      <c r="H46" s="87">
        <f>H45+H44+H43+H42</f>
        <v>219</v>
      </c>
      <c r="I46" s="87">
        <f>I45+I44+I43+I42</f>
        <v>219</v>
      </c>
      <c r="J46" s="75" t="s">
        <v>23</v>
      </c>
      <c r="K46" s="75"/>
      <c r="L46" s="162">
        <v>10176.66</v>
      </c>
      <c r="M46" s="75">
        <f t="shared" si="6"/>
        <v>10176.66</v>
      </c>
      <c r="N46" s="75">
        <f t="shared" si="23"/>
        <v>0</v>
      </c>
      <c r="O46" s="75">
        <f t="shared" si="24"/>
        <v>0</v>
      </c>
      <c r="P46" s="75"/>
      <c r="Q46" s="75">
        <f>G46*L46</f>
        <v>2228688.54</v>
      </c>
      <c r="R46" s="75"/>
      <c r="S46" s="75"/>
      <c r="T46" s="75">
        <f t="shared" si="1"/>
        <v>2228688.54</v>
      </c>
      <c r="U46" s="75">
        <f t="shared" si="2"/>
        <v>2228688.54</v>
      </c>
      <c r="V46" s="75">
        <f t="shared" si="3"/>
        <v>2228688.54</v>
      </c>
    </row>
    <row r="47" spans="1:23" x14ac:dyDescent="0.25">
      <c r="A47" s="86"/>
      <c r="B47" s="176" t="s">
        <v>28</v>
      </c>
      <c r="C47" s="127" t="s">
        <v>220</v>
      </c>
      <c r="D47" s="86"/>
      <c r="E47" s="87"/>
      <c r="F47" s="87"/>
      <c r="G47" s="87"/>
      <c r="H47" s="87"/>
      <c r="I47" s="87"/>
      <c r="J47" s="75"/>
      <c r="K47" s="75"/>
      <c r="L47" s="162">
        <v>12248.94</v>
      </c>
      <c r="M47" s="75"/>
      <c r="N47" s="75"/>
      <c r="O47" s="75"/>
      <c r="P47" s="75"/>
      <c r="Q47" s="75"/>
      <c r="R47" s="75"/>
      <c r="S47" s="75">
        <f>L47*G46</f>
        <v>2682517.8600000003</v>
      </c>
      <c r="T47" s="75"/>
      <c r="U47" s="75"/>
      <c r="V47" s="75"/>
    </row>
    <row r="48" spans="1:23" x14ac:dyDescent="0.25">
      <c r="A48" s="113" t="s">
        <v>49</v>
      </c>
      <c r="B48" s="94"/>
      <c r="C48" s="94"/>
      <c r="D48" s="94"/>
      <c r="E48" s="92"/>
      <c r="F48" s="92"/>
      <c r="G48" s="92"/>
      <c r="H48" s="92"/>
      <c r="I48" s="92"/>
      <c r="J48" s="78"/>
      <c r="K48" s="78"/>
      <c r="L48" s="161"/>
      <c r="M48" s="78">
        <f t="shared" si="6"/>
        <v>0</v>
      </c>
      <c r="N48" s="78">
        <f>N49+N54</f>
        <v>4967010.3499999996</v>
      </c>
      <c r="O48" s="78">
        <f t="shared" ref="O48:V48" si="27">O49+O54</f>
        <v>1384265.52</v>
      </c>
      <c r="P48" s="78"/>
      <c r="Q48" s="179">
        <f>Q49+Q54</f>
        <v>4682213.7</v>
      </c>
      <c r="R48" s="179"/>
      <c r="S48" s="78">
        <f>S47</f>
        <v>2682517.8600000003</v>
      </c>
      <c r="T48" s="78">
        <f t="shared" si="27"/>
        <v>11033489.57</v>
      </c>
      <c r="U48" s="78">
        <f t="shared" si="27"/>
        <v>11033489.57</v>
      </c>
      <c r="V48" s="78">
        <f t="shared" si="27"/>
        <v>11033489.57</v>
      </c>
    </row>
    <row r="49" spans="1:22" ht="85.5" x14ac:dyDescent="0.25">
      <c r="A49" s="83"/>
      <c r="B49" s="84" t="s">
        <v>76</v>
      </c>
      <c r="C49" s="128"/>
      <c r="D49" s="95"/>
      <c r="E49" s="68"/>
      <c r="F49" s="68"/>
      <c r="G49" s="68"/>
      <c r="H49" s="68"/>
      <c r="I49" s="68"/>
      <c r="J49" s="75"/>
      <c r="K49" s="75"/>
      <c r="L49" s="156"/>
      <c r="M49" s="75">
        <f t="shared" si="6"/>
        <v>0</v>
      </c>
      <c r="N49" s="75">
        <f t="shared" ref="N49:V49" si="28">SUM(N50:N53)</f>
        <v>4967010.3499999996</v>
      </c>
      <c r="O49" s="75">
        <f t="shared" si="28"/>
        <v>1384265.52</v>
      </c>
      <c r="P49" s="75"/>
      <c r="Q49" s="75">
        <f t="shared" si="28"/>
        <v>3522074.46</v>
      </c>
      <c r="R49" s="75"/>
      <c r="S49" s="75"/>
      <c r="T49" s="75">
        <f t="shared" si="28"/>
        <v>9873350.3300000001</v>
      </c>
      <c r="U49" s="75">
        <f t="shared" si="28"/>
        <v>9873350.3300000001</v>
      </c>
      <c r="V49" s="75">
        <f t="shared" si="28"/>
        <v>9873350.3300000001</v>
      </c>
    </row>
    <row r="50" spans="1:22" ht="105" x14ac:dyDescent="0.25">
      <c r="A50" s="83"/>
      <c r="B50" s="97" t="s">
        <v>19</v>
      </c>
      <c r="C50" s="93" t="s">
        <v>0</v>
      </c>
      <c r="D50" s="112" t="s">
        <v>20</v>
      </c>
      <c r="E50" s="87">
        <v>31</v>
      </c>
      <c r="F50" s="87">
        <v>31</v>
      </c>
      <c r="G50" s="87">
        <f t="shared" ref="G50:G53" si="29">(E50*8+F50*4)/12</f>
        <v>31</v>
      </c>
      <c r="H50" s="87">
        <v>31</v>
      </c>
      <c r="I50" s="87">
        <v>31</v>
      </c>
      <c r="J50" s="75">
        <v>43138.04</v>
      </c>
      <c r="K50" s="75">
        <v>12142.68</v>
      </c>
      <c r="L50" s="156">
        <v>30895.39</v>
      </c>
      <c r="M50" s="75">
        <f t="shared" si="6"/>
        <v>86176.11</v>
      </c>
      <c r="N50" s="75">
        <f>G50*J50</f>
        <v>1337279.24</v>
      </c>
      <c r="O50" s="75">
        <f>G50*K50</f>
        <v>376423.08</v>
      </c>
      <c r="P50" s="75"/>
      <c r="Q50" s="75">
        <f>G50*L50</f>
        <v>957757.09</v>
      </c>
      <c r="R50" s="75"/>
      <c r="S50" s="75"/>
      <c r="T50" s="46">
        <f t="shared" si="1"/>
        <v>2671459.41</v>
      </c>
      <c r="U50" s="75">
        <f t="shared" si="2"/>
        <v>2671459.41</v>
      </c>
      <c r="V50" s="75">
        <f t="shared" si="3"/>
        <v>2671459.41</v>
      </c>
    </row>
    <row r="51" spans="1:22" x14ac:dyDescent="0.25">
      <c r="A51" s="88"/>
      <c r="B51" s="97" t="s">
        <v>24</v>
      </c>
      <c r="C51" s="97"/>
      <c r="D51" s="86" t="s">
        <v>20</v>
      </c>
      <c r="E51" s="87">
        <v>33</v>
      </c>
      <c r="F51" s="87">
        <v>33</v>
      </c>
      <c r="G51" s="87">
        <f>(E51*8+F51*4)/12</f>
        <v>33</v>
      </c>
      <c r="H51" s="87">
        <v>33</v>
      </c>
      <c r="I51" s="87">
        <v>33</v>
      </c>
      <c r="J51" s="75">
        <v>34198.17</v>
      </c>
      <c r="K51" s="75">
        <v>12142.68</v>
      </c>
      <c r="L51" s="156">
        <v>30895.39</v>
      </c>
      <c r="M51" s="75">
        <f t="shared" si="6"/>
        <v>77236.239999999991</v>
      </c>
      <c r="N51" s="75">
        <f>G51*J51</f>
        <v>1128539.6099999999</v>
      </c>
      <c r="O51" s="75">
        <f>G51*K51</f>
        <v>400708.44</v>
      </c>
      <c r="P51" s="75"/>
      <c r="Q51" s="75">
        <f>G51*L51</f>
        <v>1019547.87</v>
      </c>
      <c r="R51" s="75"/>
      <c r="S51" s="75"/>
      <c r="T51" s="75">
        <f>SUM(N51:Q51)</f>
        <v>2548795.92</v>
      </c>
      <c r="U51" s="75">
        <f>H51*M51</f>
        <v>2548795.92</v>
      </c>
      <c r="V51" s="75">
        <f>I51*M51</f>
        <v>2548795.92</v>
      </c>
    </row>
    <row r="52" spans="1:22" ht="105" x14ac:dyDescent="0.25">
      <c r="A52" s="88"/>
      <c r="B52" s="97" t="s">
        <v>24</v>
      </c>
      <c r="C52" s="93" t="s">
        <v>179</v>
      </c>
      <c r="D52" s="86" t="s">
        <v>20</v>
      </c>
      <c r="E52" s="87">
        <v>0</v>
      </c>
      <c r="F52" s="87">
        <v>0</v>
      </c>
      <c r="G52" s="87">
        <f>(E52*8+F52*4)/12</f>
        <v>0</v>
      </c>
      <c r="H52" s="87">
        <v>0</v>
      </c>
      <c r="I52" s="87">
        <v>0</v>
      </c>
      <c r="J52" s="75">
        <v>67236.92</v>
      </c>
      <c r="K52" s="75">
        <v>12142.68</v>
      </c>
      <c r="L52" s="156">
        <v>30895.39</v>
      </c>
      <c r="M52" s="75">
        <f>J52+K52+L52</f>
        <v>110274.99</v>
      </c>
      <c r="N52" s="75">
        <f>G52*J52</f>
        <v>0</v>
      </c>
      <c r="O52" s="75">
        <f>G52*K52</f>
        <v>0</v>
      </c>
      <c r="P52" s="75"/>
      <c r="Q52" s="75">
        <f>G52*L52</f>
        <v>0</v>
      </c>
      <c r="R52" s="75"/>
      <c r="S52" s="75"/>
      <c r="T52" s="75">
        <f>SUM(N52:Q52)</f>
        <v>0</v>
      </c>
      <c r="U52" s="75">
        <f>H52*M52</f>
        <v>0</v>
      </c>
      <c r="V52" s="75">
        <f>I52*M52</f>
        <v>0</v>
      </c>
    </row>
    <row r="53" spans="1:22" ht="120" x14ac:dyDescent="0.25">
      <c r="A53" s="88"/>
      <c r="B53" s="97" t="s">
        <v>24</v>
      </c>
      <c r="C53" s="93" t="s">
        <v>162</v>
      </c>
      <c r="D53" s="112" t="s">
        <v>20</v>
      </c>
      <c r="E53" s="87">
        <v>50</v>
      </c>
      <c r="F53" s="87">
        <v>50</v>
      </c>
      <c r="G53" s="87">
        <f t="shared" si="29"/>
        <v>50</v>
      </c>
      <c r="H53" s="87">
        <v>50</v>
      </c>
      <c r="I53" s="87">
        <v>50</v>
      </c>
      <c r="J53" s="75">
        <v>50023.83</v>
      </c>
      <c r="K53" s="75">
        <v>12142.68</v>
      </c>
      <c r="L53" s="156">
        <v>30895.39</v>
      </c>
      <c r="M53" s="75">
        <f t="shared" ref="M53" si="30">J53+K53+L53</f>
        <v>93061.9</v>
      </c>
      <c r="N53" s="75">
        <f t="shared" ref="N53:N54" si="31">G53*J53</f>
        <v>2501191.5</v>
      </c>
      <c r="O53" s="75">
        <f t="shared" ref="O53:O54" si="32">G53*K53</f>
        <v>607134</v>
      </c>
      <c r="P53" s="75"/>
      <c r="Q53" s="75">
        <f t="shared" ref="Q53:Q54" si="33">G53*L53</f>
        <v>1544769.5</v>
      </c>
      <c r="R53" s="75"/>
      <c r="S53" s="75"/>
      <c r="T53" s="75">
        <f t="shared" ref="T53" si="34">SUM(N53:Q53)</f>
        <v>4653095</v>
      </c>
      <c r="U53" s="75">
        <f t="shared" ref="U53" si="35">H53*M53</f>
        <v>4653095</v>
      </c>
      <c r="V53" s="75">
        <f t="shared" ref="V53" si="36">I53*M53</f>
        <v>4653095</v>
      </c>
    </row>
    <row r="54" spans="1:22" x14ac:dyDescent="0.25">
      <c r="A54" s="86"/>
      <c r="B54" s="176" t="s">
        <v>28</v>
      </c>
      <c r="C54" s="127" t="s">
        <v>219</v>
      </c>
      <c r="D54" s="86" t="s">
        <v>20</v>
      </c>
      <c r="E54" s="87">
        <f>E53+E52+E51+E50</f>
        <v>114</v>
      </c>
      <c r="F54" s="87">
        <f>F53+F52+F51+F50</f>
        <v>114</v>
      </c>
      <c r="G54" s="87">
        <f>(E54*8+F54*4)/12</f>
        <v>114</v>
      </c>
      <c r="H54" s="87">
        <f>H53+H52+H51+H50</f>
        <v>114</v>
      </c>
      <c r="I54" s="87">
        <f>I53+I52+I51+I50</f>
        <v>114</v>
      </c>
      <c r="J54" s="75" t="s">
        <v>23</v>
      </c>
      <c r="K54" s="75"/>
      <c r="L54" s="162">
        <v>10176.66</v>
      </c>
      <c r="M54" s="75">
        <f t="shared" si="6"/>
        <v>10176.66</v>
      </c>
      <c r="N54" s="75">
        <f t="shared" si="31"/>
        <v>0</v>
      </c>
      <c r="O54" s="75">
        <f t="shared" si="32"/>
        <v>0</v>
      </c>
      <c r="P54" s="75"/>
      <c r="Q54" s="75">
        <f t="shared" si="33"/>
        <v>1160139.24</v>
      </c>
      <c r="R54" s="75"/>
      <c r="S54" s="75"/>
      <c r="T54" s="75">
        <f t="shared" si="1"/>
        <v>1160139.24</v>
      </c>
      <c r="U54" s="75">
        <f t="shared" si="2"/>
        <v>1160139.24</v>
      </c>
      <c r="V54" s="75">
        <f t="shared" si="3"/>
        <v>1160139.24</v>
      </c>
    </row>
    <row r="55" spans="1:22" x14ac:dyDescent="0.25">
      <c r="A55" s="86"/>
      <c r="B55" s="176" t="s">
        <v>28</v>
      </c>
      <c r="C55" s="127" t="s">
        <v>220</v>
      </c>
      <c r="D55" s="86"/>
      <c r="E55" s="87"/>
      <c r="F55" s="87"/>
      <c r="G55" s="87"/>
      <c r="H55" s="87"/>
      <c r="I55" s="87"/>
      <c r="J55" s="75"/>
      <c r="K55" s="75"/>
      <c r="L55" s="162">
        <v>12248.94</v>
      </c>
      <c r="M55" s="75"/>
      <c r="N55" s="75"/>
      <c r="O55" s="75"/>
      <c r="P55" s="75"/>
      <c r="Q55" s="75"/>
      <c r="R55" s="75"/>
      <c r="S55" s="75">
        <f>L55*G54</f>
        <v>1396379.1600000001</v>
      </c>
      <c r="T55" s="75"/>
      <c r="U55" s="75"/>
      <c r="V55" s="75"/>
    </row>
    <row r="56" spans="1:22" x14ac:dyDescent="0.25">
      <c r="A56" s="113" t="s">
        <v>53</v>
      </c>
      <c r="B56" s="94"/>
      <c r="C56" s="94"/>
      <c r="D56" s="94"/>
      <c r="E56" s="92"/>
      <c r="F56" s="92"/>
      <c r="G56" s="92"/>
      <c r="H56" s="92"/>
      <c r="I56" s="92"/>
      <c r="J56" s="78"/>
      <c r="K56" s="78"/>
      <c r="L56" s="161"/>
      <c r="M56" s="78">
        <f t="shared" si="6"/>
        <v>0</v>
      </c>
      <c r="N56" s="78">
        <f>N57+N61</f>
        <v>6619023.6899999995</v>
      </c>
      <c r="O56" s="78">
        <f t="shared" ref="O56:V56" si="37">O57+O61</f>
        <v>1954971.48</v>
      </c>
      <c r="P56" s="78"/>
      <c r="Q56" s="179">
        <f t="shared" si="37"/>
        <v>6612600.0499999998</v>
      </c>
      <c r="R56" s="179"/>
      <c r="S56" s="78">
        <f>S55</f>
        <v>1396379.1600000001</v>
      </c>
      <c r="T56" s="78">
        <f t="shared" si="37"/>
        <v>15186595.220000001</v>
      </c>
      <c r="U56" s="78">
        <f t="shared" si="37"/>
        <v>15186595.219999999</v>
      </c>
      <c r="V56" s="78">
        <f t="shared" si="37"/>
        <v>15186595.219999999</v>
      </c>
    </row>
    <row r="57" spans="1:22" ht="85.5" x14ac:dyDescent="0.25">
      <c r="A57" s="83"/>
      <c r="B57" s="84" t="s">
        <v>76</v>
      </c>
      <c r="C57" s="128"/>
      <c r="D57" s="95"/>
      <c r="E57" s="68"/>
      <c r="F57" s="68"/>
      <c r="G57" s="68"/>
      <c r="H57" s="68"/>
      <c r="I57" s="68"/>
      <c r="J57" s="75"/>
      <c r="K57" s="75"/>
      <c r="L57" s="156"/>
      <c r="M57" s="75">
        <f t="shared" si="6"/>
        <v>0</v>
      </c>
      <c r="N57" s="75">
        <f>SUM(N58:N60)</f>
        <v>6619023.6899999995</v>
      </c>
      <c r="O57" s="75">
        <f t="shared" ref="O57:T57" si="38">SUM(O58:O60)</f>
        <v>1954971.48</v>
      </c>
      <c r="P57" s="75"/>
      <c r="Q57" s="75">
        <f t="shared" si="38"/>
        <v>4974157.79</v>
      </c>
      <c r="R57" s="75"/>
      <c r="S57" s="75"/>
      <c r="T57" s="75">
        <f t="shared" si="38"/>
        <v>13548152.960000001</v>
      </c>
      <c r="U57" s="75">
        <f>SUM(U58:U60)</f>
        <v>13548152.959999999</v>
      </c>
      <c r="V57" s="75">
        <f>SUM(V58:V60)</f>
        <v>13548152.959999999</v>
      </c>
    </row>
    <row r="58" spans="1:22" ht="105" x14ac:dyDescent="0.25">
      <c r="A58" s="83"/>
      <c r="B58" s="97" t="s">
        <v>19</v>
      </c>
      <c r="C58" s="93" t="s">
        <v>0</v>
      </c>
      <c r="D58" s="112" t="s">
        <v>20</v>
      </c>
      <c r="E58" s="87">
        <v>36</v>
      </c>
      <c r="F58" s="87">
        <v>36</v>
      </c>
      <c r="G58" s="87">
        <f t="shared" ref="G58:G60" si="39">(E58*8+F58*4)/12</f>
        <v>36</v>
      </c>
      <c r="H58" s="87">
        <v>36</v>
      </c>
      <c r="I58" s="87">
        <v>36</v>
      </c>
      <c r="J58" s="75">
        <v>43138.04</v>
      </c>
      <c r="K58" s="75">
        <v>12142.68</v>
      </c>
      <c r="L58" s="156">
        <v>30895.39</v>
      </c>
      <c r="M58" s="75">
        <f t="shared" si="6"/>
        <v>86176.11</v>
      </c>
      <c r="N58" s="75">
        <f>G58*J58</f>
        <v>1552969.44</v>
      </c>
      <c r="O58" s="75">
        <f>G58*K58</f>
        <v>437136.48</v>
      </c>
      <c r="P58" s="75"/>
      <c r="Q58" s="75">
        <f>G58*L58</f>
        <v>1112234.04</v>
      </c>
      <c r="R58" s="75"/>
      <c r="S58" s="75"/>
      <c r="T58" s="75">
        <f t="shared" si="1"/>
        <v>3102339.96</v>
      </c>
      <c r="U58" s="75">
        <f t="shared" si="2"/>
        <v>3102339.96</v>
      </c>
      <c r="V58" s="75">
        <f t="shared" si="3"/>
        <v>3102339.96</v>
      </c>
    </row>
    <row r="59" spans="1:22" x14ac:dyDescent="0.25">
      <c r="A59" s="88"/>
      <c r="B59" s="97" t="s">
        <v>24</v>
      </c>
      <c r="C59" s="97"/>
      <c r="D59" s="86" t="s">
        <v>20</v>
      </c>
      <c r="E59" s="87">
        <v>75</v>
      </c>
      <c r="F59" s="87">
        <v>75</v>
      </c>
      <c r="G59" s="87">
        <f t="shared" si="39"/>
        <v>75</v>
      </c>
      <c r="H59" s="87">
        <v>75</v>
      </c>
      <c r="I59" s="87">
        <v>75</v>
      </c>
      <c r="J59" s="75">
        <v>34198.17</v>
      </c>
      <c r="K59" s="75">
        <v>12142.68</v>
      </c>
      <c r="L59" s="156">
        <v>30895.39</v>
      </c>
      <c r="M59" s="75">
        <f t="shared" si="6"/>
        <v>77236.239999999991</v>
      </c>
      <c r="N59" s="75">
        <f>G59*J59</f>
        <v>2564862.75</v>
      </c>
      <c r="O59" s="75">
        <f t="shared" ref="O59:O61" si="40">G59*K59</f>
        <v>910701</v>
      </c>
      <c r="P59" s="75"/>
      <c r="Q59" s="75">
        <f t="shared" ref="Q59:Q60" si="41">G59*L59</f>
        <v>2317154.25</v>
      </c>
      <c r="R59" s="75"/>
      <c r="S59" s="75"/>
      <c r="T59" s="75">
        <f t="shared" si="1"/>
        <v>5792718</v>
      </c>
      <c r="U59" s="75">
        <f t="shared" si="2"/>
        <v>5792717.9999999991</v>
      </c>
      <c r="V59" s="75">
        <f t="shared" si="3"/>
        <v>5792717.9999999991</v>
      </c>
    </row>
    <row r="60" spans="1:22" ht="120" x14ac:dyDescent="0.25">
      <c r="A60" s="88"/>
      <c r="B60" s="97" t="s">
        <v>24</v>
      </c>
      <c r="C60" s="93" t="s">
        <v>162</v>
      </c>
      <c r="D60" s="112" t="s">
        <v>20</v>
      </c>
      <c r="E60" s="87">
        <v>50</v>
      </c>
      <c r="F60" s="87">
        <v>50</v>
      </c>
      <c r="G60" s="87">
        <f t="shared" si="39"/>
        <v>50</v>
      </c>
      <c r="H60" s="87">
        <v>50</v>
      </c>
      <c r="I60" s="87">
        <v>50</v>
      </c>
      <c r="J60" s="75">
        <v>50023.83</v>
      </c>
      <c r="K60" s="75">
        <v>12142.68</v>
      </c>
      <c r="L60" s="156">
        <v>30895.39</v>
      </c>
      <c r="M60" s="75">
        <f t="shared" si="6"/>
        <v>93061.9</v>
      </c>
      <c r="N60" s="75">
        <f>G60*J60</f>
        <v>2501191.5</v>
      </c>
      <c r="O60" s="75">
        <f t="shared" si="40"/>
        <v>607134</v>
      </c>
      <c r="P60" s="75"/>
      <c r="Q60" s="75">
        <f t="shared" si="41"/>
        <v>1544769.5</v>
      </c>
      <c r="R60" s="75"/>
      <c r="S60" s="75"/>
      <c r="T60" s="75">
        <f t="shared" si="1"/>
        <v>4653095</v>
      </c>
      <c r="U60" s="75">
        <f t="shared" si="2"/>
        <v>4653095</v>
      </c>
      <c r="V60" s="75">
        <f t="shared" si="3"/>
        <v>4653095</v>
      </c>
    </row>
    <row r="61" spans="1:22" x14ac:dyDescent="0.25">
      <c r="A61" s="86"/>
      <c r="B61" s="176" t="s">
        <v>28</v>
      </c>
      <c r="C61" s="127" t="s">
        <v>219</v>
      </c>
      <c r="D61" s="86" t="s">
        <v>20</v>
      </c>
      <c r="E61" s="87">
        <f>E60+E59+E58</f>
        <v>161</v>
      </c>
      <c r="F61" s="87">
        <f>F60+F59+F58</f>
        <v>161</v>
      </c>
      <c r="G61" s="87">
        <f t="shared" ref="G61" si="42">(E61*8+F61*4)/12</f>
        <v>161</v>
      </c>
      <c r="H61" s="87">
        <f>H60+H59+H58</f>
        <v>161</v>
      </c>
      <c r="I61" s="87">
        <f>I60+I59+I58</f>
        <v>161</v>
      </c>
      <c r="J61" s="75" t="s">
        <v>23</v>
      </c>
      <c r="K61" s="75"/>
      <c r="L61" s="162">
        <v>10176.66</v>
      </c>
      <c r="M61" s="75">
        <f t="shared" si="6"/>
        <v>10176.66</v>
      </c>
      <c r="N61" s="75">
        <f t="shared" si="14"/>
        <v>0</v>
      </c>
      <c r="O61" s="75">
        <f t="shared" si="40"/>
        <v>0</v>
      </c>
      <c r="P61" s="75"/>
      <c r="Q61" s="75">
        <f>G61*L61</f>
        <v>1638442.26</v>
      </c>
      <c r="R61" s="75"/>
      <c r="S61" s="75"/>
      <c r="T61" s="75">
        <f t="shared" si="1"/>
        <v>1638442.26</v>
      </c>
      <c r="U61" s="75">
        <f t="shared" si="2"/>
        <v>1638442.26</v>
      </c>
      <c r="V61" s="75">
        <f t="shared" si="3"/>
        <v>1638442.26</v>
      </c>
    </row>
    <row r="62" spans="1:22" x14ac:dyDescent="0.25">
      <c r="A62" s="86"/>
      <c r="B62" s="176" t="s">
        <v>28</v>
      </c>
      <c r="C62" s="127" t="s">
        <v>220</v>
      </c>
      <c r="D62" s="86"/>
      <c r="E62" s="87"/>
      <c r="F62" s="87"/>
      <c r="G62" s="87"/>
      <c r="H62" s="87"/>
      <c r="I62" s="87"/>
      <c r="J62" s="75"/>
      <c r="K62" s="75"/>
      <c r="L62" s="162">
        <v>12248.94</v>
      </c>
      <c r="M62" s="75"/>
      <c r="N62" s="75"/>
      <c r="O62" s="75"/>
      <c r="P62" s="75"/>
      <c r="Q62" s="75"/>
      <c r="R62" s="75"/>
      <c r="S62" s="75">
        <f>L62*G61</f>
        <v>1972079.34</v>
      </c>
      <c r="T62" s="75"/>
      <c r="U62" s="75"/>
      <c r="V62" s="75"/>
    </row>
    <row r="63" spans="1:22" x14ac:dyDescent="0.25">
      <c r="A63" s="113" t="s">
        <v>57</v>
      </c>
      <c r="B63" s="94"/>
      <c r="C63" s="94"/>
      <c r="D63" s="94"/>
      <c r="E63" s="92"/>
      <c r="F63" s="92"/>
      <c r="G63" s="92"/>
      <c r="H63" s="92"/>
      <c r="I63" s="92"/>
      <c r="J63" s="78"/>
      <c r="K63" s="78"/>
      <c r="L63" s="161"/>
      <c r="M63" s="78">
        <f t="shared" si="6"/>
        <v>0</v>
      </c>
      <c r="N63" s="78">
        <f t="shared" ref="N63:V63" si="43">N64+N71</f>
        <v>5077661.33</v>
      </c>
      <c r="O63" s="78">
        <f t="shared" si="43"/>
        <v>1384265.52</v>
      </c>
      <c r="P63" s="78"/>
      <c r="Q63" s="179">
        <f t="shared" si="43"/>
        <v>4682213.7</v>
      </c>
      <c r="R63" s="179"/>
      <c r="S63" s="78">
        <f>S62</f>
        <v>1972079.34</v>
      </c>
      <c r="T63" s="78">
        <f t="shared" si="43"/>
        <v>11144140.549999999</v>
      </c>
      <c r="U63" s="78">
        <f t="shared" si="43"/>
        <v>11144140.549999999</v>
      </c>
      <c r="V63" s="78">
        <f t="shared" si="43"/>
        <v>11144140.549999999</v>
      </c>
    </row>
    <row r="64" spans="1:22" ht="85.5" x14ac:dyDescent="0.25">
      <c r="A64" s="83"/>
      <c r="B64" s="84" t="s">
        <v>76</v>
      </c>
      <c r="C64" s="128"/>
      <c r="D64" s="95"/>
      <c r="E64" s="68"/>
      <c r="F64" s="68"/>
      <c r="G64" s="68"/>
      <c r="H64" s="68"/>
      <c r="I64" s="68"/>
      <c r="J64" s="75"/>
      <c r="K64" s="75"/>
      <c r="L64" s="156"/>
      <c r="M64" s="75">
        <f t="shared" si="6"/>
        <v>0</v>
      </c>
      <c r="N64" s="75">
        <f t="shared" ref="N64:V64" si="44">SUM(N65:N70)</f>
        <v>5077661.33</v>
      </c>
      <c r="O64" s="75">
        <f t="shared" si="44"/>
        <v>1384265.52</v>
      </c>
      <c r="P64" s="75"/>
      <c r="Q64" s="75">
        <f t="shared" si="44"/>
        <v>3522074.46</v>
      </c>
      <c r="R64" s="75"/>
      <c r="S64" s="75"/>
      <c r="T64" s="75">
        <f t="shared" si="44"/>
        <v>9984001.3099999987</v>
      </c>
      <c r="U64" s="75">
        <f t="shared" si="44"/>
        <v>9984001.3099999987</v>
      </c>
      <c r="V64" s="75">
        <f t="shared" si="44"/>
        <v>9984001.3099999987</v>
      </c>
    </row>
    <row r="65" spans="1:22" ht="105" x14ac:dyDescent="0.25">
      <c r="A65" s="83"/>
      <c r="B65" s="97" t="s">
        <v>19</v>
      </c>
      <c r="C65" s="93" t="s">
        <v>0</v>
      </c>
      <c r="D65" s="112" t="s">
        <v>20</v>
      </c>
      <c r="E65" s="87">
        <v>25</v>
      </c>
      <c r="F65" s="87">
        <v>25</v>
      </c>
      <c r="G65" s="87">
        <f t="shared" ref="G65:G66" si="45">(E65*8+F65*4)/12</f>
        <v>25</v>
      </c>
      <c r="H65" s="87">
        <v>25</v>
      </c>
      <c r="I65" s="87">
        <v>25</v>
      </c>
      <c r="J65" s="75">
        <v>43138.04</v>
      </c>
      <c r="K65" s="75">
        <v>12142.68</v>
      </c>
      <c r="L65" s="156">
        <v>30895.39</v>
      </c>
      <c r="M65" s="75">
        <f t="shared" si="6"/>
        <v>86176.11</v>
      </c>
      <c r="N65" s="75">
        <f t="shared" ref="N65:N71" si="46">G65*J65</f>
        <v>1078451</v>
      </c>
      <c r="O65" s="75">
        <f>G65*K65</f>
        <v>303567</v>
      </c>
      <c r="P65" s="75"/>
      <c r="Q65" s="75">
        <f>G65*L65</f>
        <v>772384.75</v>
      </c>
      <c r="R65" s="75"/>
      <c r="S65" s="75"/>
      <c r="T65" s="75">
        <f t="shared" si="1"/>
        <v>2154402.75</v>
      </c>
      <c r="U65" s="75">
        <f t="shared" si="2"/>
        <v>2154402.75</v>
      </c>
      <c r="V65" s="75">
        <f t="shared" si="3"/>
        <v>2154402.75</v>
      </c>
    </row>
    <row r="66" spans="1:22" x14ac:dyDescent="0.25">
      <c r="A66" s="88"/>
      <c r="B66" s="97" t="s">
        <v>24</v>
      </c>
      <c r="C66" s="97"/>
      <c r="D66" s="86" t="s">
        <v>20</v>
      </c>
      <c r="E66" s="87">
        <v>39</v>
      </c>
      <c r="F66" s="87">
        <v>39</v>
      </c>
      <c r="G66" s="87">
        <f t="shared" si="45"/>
        <v>39</v>
      </c>
      <c r="H66" s="87">
        <v>39</v>
      </c>
      <c r="I66" s="87">
        <v>39</v>
      </c>
      <c r="J66" s="75">
        <v>34198.17</v>
      </c>
      <c r="K66" s="75">
        <v>12142.68</v>
      </c>
      <c r="L66" s="156">
        <v>30895.39</v>
      </c>
      <c r="M66" s="75">
        <f t="shared" si="6"/>
        <v>77236.239999999991</v>
      </c>
      <c r="N66" s="75">
        <f t="shared" si="46"/>
        <v>1333728.6299999999</v>
      </c>
      <c r="O66" s="75">
        <f t="shared" ref="O66:O71" si="47">G66*K66</f>
        <v>473564.52</v>
      </c>
      <c r="P66" s="75"/>
      <c r="Q66" s="75">
        <f t="shared" ref="Q66" si="48">G66*L66</f>
        <v>1204920.21</v>
      </c>
      <c r="R66" s="75"/>
      <c r="S66" s="75"/>
      <c r="T66" s="75">
        <f t="shared" si="1"/>
        <v>3012213.36</v>
      </c>
      <c r="U66" s="75">
        <f t="shared" si="2"/>
        <v>3012213.3599999994</v>
      </c>
      <c r="V66" s="75">
        <f t="shared" si="3"/>
        <v>3012213.3599999994</v>
      </c>
    </row>
    <row r="67" spans="1:22" ht="120" x14ac:dyDescent="0.25">
      <c r="A67" s="83"/>
      <c r="B67" s="97" t="s">
        <v>24</v>
      </c>
      <c r="C67" s="93" t="s">
        <v>162</v>
      </c>
      <c r="D67" s="112" t="s">
        <v>20</v>
      </c>
      <c r="E67" s="87">
        <v>50</v>
      </c>
      <c r="F67" s="87">
        <v>50</v>
      </c>
      <c r="G67" s="87">
        <f>(E67*8+F67*4)/12</f>
        <v>50</v>
      </c>
      <c r="H67" s="87">
        <v>50</v>
      </c>
      <c r="I67" s="87">
        <v>50</v>
      </c>
      <c r="J67" s="75">
        <v>50023.83</v>
      </c>
      <c r="K67" s="75">
        <v>12142.68</v>
      </c>
      <c r="L67" s="156">
        <v>30895.39</v>
      </c>
      <c r="M67" s="75">
        <f t="shared" ref="M67" si="49">J67+K67+L67</f>
        <v>93061.9</v>
      </c>
      <c r="N67" s="75">
        <f>G67*J67</f>
        <v>2501191.5</v>
      </c>
      <c r="O67" s="75">
        <f>G67*K67</f>
        <v>607134</v>
      </c>
      <c r="P67" s="75"/>
      <c r="Q67" s="75">
        <f>G67*L67</f>
        <v>1544769.5</v>
      </c>
      <c r="R67" s="75"/>
      <c r="S67" s="75"/>
      <c r="T67" s="75">
        <f>SUM(N67:Q67)</f>
        <v>4653095</v>
      </c>
      <c r="U67" s="75">
        <f t="shared" ref="U67" si="50">H67*M67</f>
        <v>4653095</v>
      </c>
      <c r="V67" s="75">
        <f t="shared" ref="V67" si="51">I67*M67</f>
        <v>4653095</v>
      </c>
    </row>
    <row r="68" spans="1:22" ht="56.25" customHeight="1" x14ac:dyDescent="0.25">
      <c r="A68" s="83"/>
      <c r="B68" s="97" t="s">
        <v>180</v>
      </c>
      <c r="C68" s="325" t="s">
        <v>78</v>
      </c>
      <c r="D68" s="327" t="s">
        <v>20</v>
      </c>
      <c r="E68" s="87">
        <v>0</v>
      </c>
      <c r="F68" s="87">
        <v>0</v>
      </c>
      <c r="G68" s="87">
        <f>(E68*8+F68*4)/12</f>
        <v>0</v>
      </c>
      <c r="H68" s="87">
        <v>0</v>
      </c>
      <c r="I68" s="87">
        <v>0</v>
      </c>
      <c r="J68" s="75">
        <v>2073.06</v>
      </c>
      <c r="K68" s="75"/>
      <c r="L68" s="156"/>
      <c r="M68" s="75">
        <f>J68+K68+L68</f>
        <v>2073.06</v>
      </c>
      <c r="N68" s="75">
        <f t="shared" si="46"/>
        <v>0</v>
      </c>
      <c r="O68" s="75">
        <f>G68*K68</f>
        <v>0</v>
      </c>
      <c r="P68" s="75"/>
      <c r="Q68" s="75">
        <f>G68*L68</f>
        <v>0</v>
      </c>
      <c r="R68" s="75"/>
      <c r="S68" s="75"/>
      <c r="T68" s="75">
        <f>SUM(N68:Q68)</f>
        <v>0</v>
      </c>
      <c r="U68" s="75">
        <f>H68*M68</f>
        <v>0</v>
      </c>
      <c r="V68" s="75">
        <f>I68*M68</f>
        <v>0</v>
      </c>
    </row>
    <row r="69" spans="1:22" ht="21" customHeight="1" x14ac:dyDescent="0.25">
      <c r="A69" s="83"/>
      <c r="B69" s="97" t="s">
        <v>181</v>
      </c>
      <c r="C69" s="326"/>
      <c r="D69" s="328"/>
      <c r="E69" s="87">
        <v>39</v>
      </c>
      <c r="F69" s="87">
        <v>39</v>
      </c>
      <c r="G69" s="87">
        <f>(E69*8+F69*4)/12</f>
        <v>39</v>
      </c>
      <c r="H69" s="87">
        <v>39</v>
      </c>
      <c r="I69" s="87">
        <v>39</v>
      </c>
      <c r="J69" s="75">
        <v>1554.8</v>
      </c>
      <c r="K69" s="75"/>
      <c r="L69" s="156"/>
      <c r="M69" s="75">
        <f>J69+K69+L69</f>
        <v>1554.8</v>
      </c>
      <c r="N69" s="75">
        <f>G69*J69</f>
        <v>60637.2</v>
      </c>
      <c r="O69" s="75">
        <f>G69*K69</f>
        <v>0</v>
      </c>
      <c r="P69" s="75"/>
      <c r="Q69" s="75">
        <f>G69*L69</f>
        <v>0</v>
      </c>
      <c r="R69" s="75"/>
      <c r="S69" s="75"/>
      <c r="T69" s="75">
        <f>SUM(N69:Q69)</f>
        <v>60637.2</v>
      </c>
      <c r="U69" s="75">
        <f>H69*M69</f>
        <v>60637.2</v>
      </c>
      <c r="V69" s="75">
        <f>I69*M69</f>
        <v>60637.2</v>
      </c>
    </row>
    <row r="70" spans="1:22" ht="75" x14ac:dyDescent="0.25">
      <c r="A70" s="83"/>
      <c r="B70" s="97" t="s">
        <v>181</v>
      </c>
      <c r="C70" s="139" t="s">
        <v>182</v>
      </c>
      <c r="D70" s="86" t="s">
        <v>20</v>
      </c>
      <c r="E70" s="87">
        <v>50</v>
      </c>
      <c r="F70" s="87">
        <v>50</v>
      </c>
      <c r="G70" s="87">
        <f>(E70*8+F70*4)/12</f>
        <v>50</v>
      </c>
      <c r="H70" s="87">
        <v>50</v>
      </c>
      <c r="I70" s="87">
        <v>50</v>
      </c>
      <c r="J70" s="75">
        <v>2073.06</v>
      </c>
      <c r="K70" s="75"/>
      <c r="L70" s="156"/>
      <c r="M70" s="75">
        <f>J70+K70+L70</f>
        <v>2073.06</v>
      </c>
      <c r="N70" s="75">
        <f t="shared" si="46"/>
        <v>103653</v>
      </c>
      <c r="O70" s="75">
        <f>G70*K70</f>
        <v>0</v>
      </c>
      <c r="P70" s="75"/>
      <c r="Q70" s="75">
        <f>G70*L70</f>
        <v>0</v>
      </c>
      <c r="R70" s="75"/>
      <c r="S70" s="75"/>
      <c r="T70" s="75">
        <f>SUM(N70:Q70)</f>
        <v>103653</v>
      </c>
      <c r="U70" s="75">
        <f>H70*M70</f>
        <v>103653</v>
      </c>
      <c r="V70" s="75">
        <f>I70*M70</f>
        <v>103653</v>
      </c>
    </row>
    <row r="71" spans="1:22" x14ac:dyDescent="0.25">
      <c r="A71" s="86"/>
      <c r="B71" s="176" t="s">
        <v>28</v>
      </c>
      <c r="C71" s="127" t="s">
        <v>219</v>
      </c>
      <c r="D71" s="86" t="s">
        <v>20</v>
      </c>
      <c r="E71" s="87">
        <f>E67+E66+E65</f>
        <v>114</v>
      </c>
      <c r="F71" s="87">
        <f>F67+F66+F65</f>
        <v>114</v>
      </c>
      <c r="G71" s="87">
        <f>(E71*8+F71*4)/12</f>
        <v>114</v>
      </c>
      <c r="H71" s="87">
        <f>H67+H66+H65</f>
        <v>114</v>
      </c>
      <c r="I71" s="87">
        <f>I67+I66+I65</f>
        <v>114</v>
      </c>
      <c r="J71" s="75" t="s">
        <v>23</v>
      </c>
      <c r="K71" s="75"/>
      <c r="L71" s="162">
        <v>10176.66</v>
      </c>
      <c r="M71" s="75">
        <f t="shared" si="6"/>
        <v>10176.66</v>
      </c>
      <c r="N71" s="75">
        <f t="shared" si="46"/>
        <v>0</v>
      </c>
      <c r="O71" s="75">
        <f t="shared" si="47"/>
        <v>0</v>
      </c>
      <c r="P71" s="75"/>
      <c r="Q71" s="75">
        <f>G71*L71</f>
        <v>1160139.24</v>
      </c>
      <c r="R71" s="75"/>
      <c r="S71" s="75"/>
      <c r="T71" s="75">
        <f t="shared" si="1"/>
        <v>1160139.24</v>
      </c>
      <c r="U71" s="75">
        <f t="shared" si="2"/>
        <v>1160139.24</v>
      </c>
      <c r="V71" s="75">
        <f t="shared" si="3"/>
        <v>1160139.24</v>
      </c>
    </row>
    <row r="72" spans="1:22" x14ac:dyDescent="0.25">
      <c r="A72" s="86"/>
      <c r="B72" s="176" t="s">
        <v>28</v>
      </c>
      <c r="C72" s="127" t="s">
        <v>220</v>
      </c>
      <c r="D72" s="86"/>
      <c r="E72" s="87"/>
      <c r="F72" s="87"/>
      <c r="G72" s="87"/>
      <c r="H72" s="87"/>
      <c r="I72" s="87"/>
      <c r="J72" s="75"/>
      <c r="K72" s="75"/>
      <c r="L72" s="162">
        <v>12248.94</v>
      </c>
      <c r="M72" s="75"/>
      <c r="N72" s="75"/>
      <c r="O72" s="75"/>
      <c r="P72" s="75"/>
      <c r="Q72" s="75"/>
      <c r="R72" s="75"/>
      <c r="S72" s="75">
        <f>L72*G71</f>
        <v>1396379.1600000001</v>
      </c>
      <c r="T72" s="75"/>
      <c r="U72" s="75"/>
      <c r="V72" s="75"/>
    </row>
    <row r="73" spans="1:22" x14ac:dyDescent="0.25">
      <c r="A73" s="113" t="s">
        <v>61</v>
      </c>
      <c r="B73" s="94"/>
      <c r="C73" s="94"/>
      <c r="D73" s="94"/>
      <c r="E73" s="92"/>
      <c r="F73" s="92"/>
      <c r="G73" s="92"/>
      <c r="H73" s="92"/>
      <c r="I73" s="92"/>
      <c r="J73" s="78"/>
      <c r="K73" s="78"/>
      <c r="L73" s="78"/>
      <c r="M73" s="78">
        <f t="shared" si="6"/>
        <v>0</v>
      </c>
      <c r="N73" s="78">
        <f t="shared" ref="N73:V73" si="52">N74+N81</f>
        <v>11094680.750000002</v>
      </c>
      <c r="O73" s="78">
        <f t="shared" si="52"/>
        <v>2732103</v>
      </c>
      <c r="P73" s="78"/>
      <c r="Q73" s="179">
        <f t="shared" si="52"/>
        <v>9241211.25</v>
      </c>
      <c r="R73" s="179"/>
      <c r="S73" s="78">
        <f>S72</f>
        <v>1396379.1600000001</v>
      </c>
      <c r="T73" s="78">
        <f t="shared" si="52"/>
        <v>23067995</v>
      </c>
      <c r="U73" s="78">
        <f t="shared" si="52"/>
        <v>23067995</v>
      </c>
      <c r="V73" s="78">
        <f t="shared" si="52"/>
        <v>23067995</v>
      </c>
    </row>
    <row r="74" spans="1:22" ht="85.5" x14ac:dyDescent="0.25">
      <c r="A74" s="83"/>
      <c r="B74" s="84" t="s">
        <v>76</v>
      </c>
      <c r="C74" s="128"/>
      <c r="D74" s="95"/>
      <c r="E74" s="68"/>
      <c r="F74" s="68"/>
      <c r="G74" s="68"/>
      <c r="H74" s="68"/>
      <c r="I74" s="68"/>
      <c r="J74" s="75"/>
      <c r="K74" s="75"/>
      <c r="L74" s="156"/>
      <c r="M74" s="75">
        <f>J74+K74+L74</f>
        <v>0</v>
      </c>
      <c r="N74" s="75">
        <f t="shared" ref="N74:V74" si="53">SUM(N75:N80)</f>
        <v>11094680.750000002</v>
      </c>
      <c r="O74" s="75">
        <f t="shared" si="53"/>
        <v>2732103</v>
      </c>
      <c r="P74" s="75"/>
      <c r="Q74" s="75">
        <f t="shared" si="53"/>
        <v>6951462.75</v>
      </c>
      <c r="R74" s="75"/>
      <c r="S74" s="75"/>
      <c r="T74" s="75">
        <f t="shared" si="53"/>
        <v>20778246.5</v>
      </c>
      <c r="U74" s="75">
        <f t="shared" si="53"/>
        <v>20778246.5</v>
      </c>
      <c r="V74" s="75">
        <f t="shared" si="53"/>
        <v>20778246.5</v>
      </c>
    </row>
    <row r="75" spans="1:22" ht="105" x14ac:dyDescent="0.25">
      <c r="A75" s="83"/>
      <c r="B75" s="97" t="s">
        <v>19</v>
      </c>
      <c r="C75" s="93" t="s">
        <v>0</v>
      </c>
      <c r="D75" s="112" t="s">
        <v>20</v>
      </c>
      <c r="E75" s="87">
        <v>70</v>
      </c>
      <c r="F75" s="87">
        <v>70</v>
      </c>
      <c r="G75" s="87">
        <f t="shared" ref="G75:G80" si="54">(E75*8+F75*4)/12</f>
        <v>70</v>
      </c>
      <c r="H75" s="87">
        <v>70</v>
      </c>
      <c r="I75" s="87">
        <v>70</v>
      </c>
      <c r="J75" s="75">
        <v>43138.04</v>
      </c>
      <c r="K75" s="75">
        <v>12142.68</v>
      </c>
      <c r="L75" s="156">
        <v>30895.39</v>
      </c>
      <c r="M75" s="75">
        <f t="shared" si="6"/>
        <v>86176.11</v>
      </c>
      <c r="N75" s="75">
        <f>G75*J75</f>
        <v>3019662.8000000003</v>
      </c>
      <c r="O75" s="75">
        <f>G75*K75</f>
        <v>849987.6</v>
      </c>
      <c r="P75" s="75"/>
      <c r="Q75" s="75">
        <f>G75*L75</f>
        <v>2162677.2999999998</v>
      </c>
      <c r="R75" s="75"/>
      <c r="S75" s="75"/>
      <c r="T75" s="75">
        <f t="shared" si="1"/>
        <v>6032327.7000000002</v>
      </c>
      <c r="U75" s="75">
        <f t="shared" si="2"/>
        <v>6032327.7000000002</v>
      </c>
      <c r="V75" s="75">
        <f t="shared" si="3"/>
        <v>6032327.7000000002</v>
      </c>
    </row>
    <row r="76" spans="1:22" x14ac:dyDescent="0.25">
      <c r="A76" s="88"/>
      <c r="B76" s="97" t="s">
        <v>24</v>
      </c>
      <c r="C76" s="97"/>
      <c r="D76" s="86" t="s">
        <v>20</v>
      </c>
      <c r="E76" s="87">
        <v>0</v>
      </c>
      <c r="F76" s="87">
        <v>0</v>
      </c>
      <c r="G76" s="87">
        <f t="shared" si="54"/>
        <v>0</v>
      </c>
      <c r="H76" s="87">
        <v>0</v>
      </c>
      <c r="I76" s="87">
        <v>0</v>
      </c>
      <c r="J76" s="75">
        <v>34198.17</v>
      </c>
      <c r="K76" s="75">
        <v>12142.68</v>
      </c>
      <c r="L76" s="156">
        <v>30895.39</v>
      </c>
      <c r="M76" s="75">
        <f>J76+K76+L76</f>
        <v>77236.239999999991</v>
      </c>
      <c r="N76" s="75">
        <f>G76*J76</f>
        <v>0</v>
      </c>
      <c r="O76" s="75">
        <f t="shared" ref="O76:O81" si="55">G76*K76</f>
        <v>0</v>
      </c>
      <c r="P76" s="75"/>
      <c r="Q76" s="75">
        <f t="shared" ref="Q76:Q78" si="56">G76*L76</f>
        <v>0</v>
      </c>
      <c r="R76" s="75"/>
      <c r="S76" s="75"/>
      <c r="T76" s="75">
        <f t="shared" si="1"/>
        <v>0</v>
      </c>
      <c r="U76" s="75">
        <f t="shared" si="2"/>
        <v>0</v>
      </c>
      <c r="V76" s="75">
        <f t="shared" si="3"/>
        <v>0</v>
      </c>
    </row>
    <row r="77" spans="1:22" ht="120" x14ac:dyDescent="0.25">
      <c r="A77" s="88"/>
      <c r="B77" s="97" t="s">
        <v>24</v>
      </c>
      <c r="C77" s="125" t="s">
        <v>162</v>
      </c>
      <c r="D77" s="112" t="s">
        <v>20</v>
      </c>
      <c r="E77" s="87">
        <v>155</v>
      </c>
      <c r="F77" s="87">
        <v>155</v>
      </c>
      <c r="G77" s="87">
        <f t="shared" si="54"/>
        <v>155</v>
      </c>
      <c r="H77" s="87">
        <v>155</v>
      </c>
      <c r="I77" s="87">
        <v>155</v>
      </c>
      <c r="J77" s="75">
        <v>50023.83</v>
      </c>
      <c r="K77" s="75">
        <v>12142.68</v>
      </c>
      <c r="L77" s="156">
        <v>30895.39</v>
      </c>
      <c r="M77" s="75">
        <f t="shared" si="6"/>
        <v>93061.9</v>
      </c>
      <c r="N77" s="75">
        <f t="shared" ref="N77:N78" si="57">G77*J77</f>
        <v>7753693.6500000004</v>
      </c>
      <c r="O77" s="75">
        <f t="shared" si="55"/>
        <v>1882115.4000000001</v>
      </c>
      <c r="P77" s="75"/>
      <c r="Q77" s="75">
        <f t="shared" si="56"/>
        <v>4788785.45</v>
      </c>
      <c r="R77" s="75"/>
      <c r="S77" s="75"/>
      <c r="T77" s="75">
        <f t="shared" si="1"/>
        <v>14424594.5</v>
      </c>
      <c r="U77" s="75">
        <f t="shared" si="2"/>
        <v>14424594.5</v>
      </c>
      <c r="V77" s="75">
        <f t="shared" si="3"/>
        <v>14424594.5</v>
      </c>
    </row>
    <row r="78" spans="1:22" ht="75" x14ac:dyDescent="0.25">
      <c r="A78" s="83"/>
      <c r="B78" s="97" t="s">
        <v>180</v>
      </c>
      <c r="C78" s="93" t="s">
        <v>78</v>
      </c>
      <c r="D78" s="112" t="s">
        <v>20</v>
      </c>
      <c r="E78" s="87"/>
      <c r="F78" s="87"/>
      <c r="G78" s="87">
        <f t="shared" si="54"/>
        <v>0</v>
      </c>
      <c r="H78" s="87"/>
      <c r="I78" s="87"/>
      <c r="J78" s="75">
        <v>2073.06</v>
      </c>
      <c r="K78" s="75"/>
      <c r="L78" s="156"/>
      <c r="M78" s="75">
        <f t="shared" si="6"/>
        <v>2073.06</v>
      </c>
      <c r="N78" s="75">
        <f t="shared" si="57"/>
        <v>0</v>
      </c>
      <c r="O78" s="75">
        <f t="shared" si="55"/>
        <v>0</v>
      </c>
      <c r="P78" s="75"/>
      <c r="Q78" s="75">
        <f t="shared" si="56"/>
        <v>0</v>
      </c>
      <c r="R78" s="75"/>
      <c r="S78" s="75"/>
      <c r="T78" s="75">
        <f t="shared" si="1"/>
        <v>0</v>
      </c>
      <c r="U78" s="75">
        <f t="shared" si="2"/>
        <v>0</v>
      </c>
      <c r="V78" s="75">
        <f t="shared" si="3"/>
        <v>0</v>
      </c>
    </row>
    <row r="79" spans="1:22" x14ac:dyDescent="0.25">
      <c r="A79" s="83"/>
      <c r="B79" s="97" t="s">
        <v>181</v>
      </c>
      <c r="C79" s="93"/>
      <c r="D79" s="126" t="s">
        <v>20</v>
      </c>
      <c r="E79" s="87"/>
      <c r="F79" s="87"/>
      <c r="G79" s="87">
        <f t="shared" si="54"/>
        <v>0</v>
      </c>
      <c r="H79" s="87"/>
      <c r="I79" s="87"/>
      <c r="J79" s="75">
        <v>1554.8</v>
      </c>
      <c r="K79" s="75"/>
      <c r="L79" s="156"/>
      <c r="M79" s="75">
        <f t="shared" ref="M79:M80" si="58">J79+K79+L79</f>
        <v>1554.8</v>
      </c>
      <c r="N79" s="75">
        <f t="shared" ref="N79:N80" si="59">G79*J79</f>
        <v>0</v>
      </c>
      <c r="O79" s="75">
        <f t="shared" ref="O79:O80" si="60">G79*K79</f>
        <v>0</v>
      </c>
      <c r="P79" s="75"/>
      <c r="Q79" s="75">
        <f t="shared" ref="Q79:Q80" si="61">G79*L79</f>
        <v>0</v>
      </c>
      <c r="R79" s="75"/>
      <c r="S79" s="75"/>
      <c r="T79" s="75">
        <f t="shared" ref="T79:T80" si="62">SUM(N79:Q79)</f>
        <v>0</v>
      </c>
      <c r="U79" s="75">
        <f t="shared" ref="U79:U80" si="63">H79*M79</f>
        <v>0</v>
      </c>
      <c r="V79" s="75">
        <f t="shared" ref="V79:V80" si="64">I79*M79</f>
        <v>0</v>
      </c>
    </row>
    <row r="80" spans="1:22" ht="75" x14ac:dyDescent="0.25">
      <c r="A80" s="83"/>
      <c r="B80" s="97" t="s">
        <v>181</v>
      </c>
      <c r="C80" s="129" t="s">
        <v>182</v>
      </c>
      <c r="D80" s="126" t="s">
        <v>20</v>
      </c>
      <c r="E80" s="87">
        <v>155</v>
      </c>
      <c r="F80" s="87">
        <v>155</v>
      </c>
      <c r="G80" s="87">
        <f t="shared" si="54"/>
        <v>155</v>
      </c>
      <c r="H80" s="87">
        <v>155</v>
      </c>
      <c r="I80" s="87">
        <v>155</v>
      </c>
      <c r="J80" s="75">
        <v>2073.06</v>
      </c>
      <c r="K80" s="75"/>
      <c r="L80" s="156"/>
      <c r="M80" s="75">
        <f t="shared" si="58"/>
        <v>2073.06</v>
      </c>
      <c r="N80" s="75">
        <f t="shared" si="59"/>
        <v>321324.3</v>
      </c>
      <c r="O80" s="75">
        <f t="shared" si="60"/>
        <v>0</v>
      </c>
      <c r="P80" s="75"/>
      <c r="Q80" s="75">
        <f t="shared" si="61"/>
        <v>0</v>
      </c>
      <c r="R80" s="75"/>
      <c r="S80" s="75"/>
      <c r="T80" s="75">
        <f t="shared" si="62"/>
        <v>321324.3</v>
      </c>
      <c r="U80" s="75">
        <f t="shared" si="63"/>
        <v>321324.3</v>
      </c>
      <c r="V80" s="75">
        <f t="shared" si="64"/>
        <v>321324.3</v>
      </c>
    </row>
    <row r="81" spans="1:22" x14ac:dyDescent="0.25">
      <c r="A81" s="86"/>
      <c r="B81" s="176" t="s">
        <v>28</v>
      </c>
      <c r="C81" s="127" t="s">
        <v>219</v>
      </c>
      <c r="D81" s="86" t="s">
        <v>20</v>
      </c>
      <c r="E81" s="87">
        <f>E77+E76+E75</f>
        <v>225</v>
      </c>
      <c r="F81" s="87">
        <f>F77+F76+F75</f>
        <v>225</v>
      </c>
      <c r="G81" s="87">
        <f>(E81*8+F81*4)/12</f>
        <v>225</v>
      </c>
      <c r="H81" s="87">
        <f>H77+H76+H75</f>
        <v>225</v>
      </c>
      <c r="I81" s="87">
        <f>I77+I76+I75</f>
        <v>225</v>
      </c>
      <c r="J81" s="75" t="s">
        <v>23</v>
      </c>
      <c r="K81" s="75"/>
      <c r="L81" s="162">
        <v>10176.66</v>
      </c>
      <c r="M81" s="75">
        <f t="shared" si="6"/>
        <v>10176.66</v>
      </c>
      <c r="N81" s="75">
        <f>G81*J81</f>
        <v>0</v>
      </c>
      <c r="O81" s="75">
        <f t="shared" si="55"/>
        <v>0</v>
      </c>
      <c r="P81" s="75"/>
      <c r="Q81" s="75">
        <f>G81*L81</f>
        <v>2289748.5</v>
      </c>
      <c r="R81" s="75"/>
      <c r="S81" s="75"/>
      <c r="T81" s="75">
        <f t="shared" si="1"/>
        <v>2289748.5</v>
      </c>
      <c r="U81" s="75">
        <f t="shared" si="2"/>
        <v>2289748.5</v>
      </c>
      <c r="V81" s="75">
        <f t="shared" si="3"/>
        <v>2289748.5</v>
      </c>
    </row>
    <row r="82" spans="1:22" x14ac:dyDescent="0.25">
      <c r="A82" s="86"/>
      <c r="B82" s="176" t="s">
        <v>28</v>
      </c>
      <c r="C82" s="127" t="s">
        <v>220</v>
      </c>
      <c r="D82" s="86"/>
      <c r="E82" s="87"/>
      <c r="F82" s="87"/>
      <c r="G82" s="87"/>
      <c r="H82" s="87"/>
      <c r="I82" s="87"/>
      <c r="J82" s="75"/>
      <c r="K82" s="75"/>
      <c r="L82" s="162">
        <v>12248.94</v>
      </c>
      <c r="M82" s="75"/>
      <c r="N82" s="75"/>
      <c r="O82" s="75"/>
      <c r="P82" s="75"/>
      <c r="Q82" s="75"/>
      <c r="R82" s="75"/>
      <c r="S82" s="75">
        <f>L82*G81</f>
        <v>2756011.5</v>
      </c>
      <c r="T82" s="75"/>
      <c r="U82" s="75"/>
      <c r="V82" s="75"/>
    </row>
    <row r="83" spans="1:22" x14ac:dyDescent="0.25">
      <c r="A83" s="113" t="s">
        <v>65</v>
      </c>
      <c r="B83" s="94"/>
      <c r="C83" s="94"/>
      <c r="D83" s="94"/>
      <c r="E83" s="92"/>
      <c r="F83" s="92"/>
      <c r="G83" s="92"/>
      <c r="H83" s="92"/>
      <c r="I83" s="92"/>
      <c r="J83" s="78"/>
      <c r="K83" s="78"/>
      <c r="L83" s="78"/>
      <c r="M83" s="78">
        <f t="shared" si="6"/>
        <v>0</v>
      </c>
      <c r="N83" s="78">
        <f>N84+N88</f>
        <v>6224984.6600000001</v>
      </c>
      <c r="O83" s="78">
        <f t="shared" ref="O83:V83" si="65">O84+O88</f>
        <v>1699975.2000000002</v>
      </c>
      <c r="P83" s="78"/>
      <c r="Q83" s="179">
        <f t="shared" si="65"/>
        <v>5750087</v>
      </c>
      <c r="R83" s="179"/>
      <c r="S83" s="78">
        <f>S82</f>
        <v>2756011.5</v>
      </c>
      <c r="T83" s="78">
        <f t="shared" si="65"/>
        <v>13675046.860000001</v>
      </c>
      <c r="U83" s="78">
        <f t="shared" si="65"/>
        <v>13675046.860000001</v>
      </c>
      <c r="V83" s="78">
        <f t="shared" si="65"/>
        <v>13675046.860000001</v>
      </c>
    </row>
    <row r="84" spans="1:22" ht="85.5" x14ac:dyDescent="0.25">
      <c r="A84" s="83"/>
      <c r="B84" s="84" t="s">
        <v>76</v>
      </c>
      <c r="C84" s="128"/>
      <c r="D84" s="95"/>
      <c r="E84" s="68"/>
      <c r="F84" s="68"/>
      <c r="G84" s="68"/>
      <c r="H84" s="68"/>
      <c r="I84" s="68"/>
      <c r="J84" s="75"/>
      <c r="K84" s="75"/>
      <c r="L84" s="156"/>
      <c r="M84" s="75">
        <f t="shared" si="6"/>
        <v>0</v>
      </c>
      <c r="N84" s="75">
        <f>SUM(N85:N87)</f>
        <v>6224984.6600000001</v>
      </c>
      <c r="O84" s="75">
        <f t="shared" ref="O84:V84" si="66">SUM(O85:O87)</f>
        <v>1699975.2000000002</v>
      </c>
      <c r="P84" s="75"/>
      <c r="Q84" s="75">
        <f t="shared" si="66"/>
        <v>4325354.5999999996</v>
      </c>
      <c r="R84" s="75"/>
      <c r="S84" s="75"/>
      <c r="T84" s="75">
        <f t="shared" si="66"/>
        <v>12250314.460000001</v>
      </c>
      <c r="U84" s="75">
        <f t="shared" si="66"/>
        <v>12250314.460000001</v>
      </c>
      <c r="V84" s="75">
        <f t="shared" si="66"/>
        <v>12250314.460000001</v>
      </c>
    </row>
    <row r="85" spans="1:22" ht="105" x14ac:dyDescent="0.25">
      <c r="A85" s="83"/>
      <c r="B85" s="97" t="s">
        <v>19</v>
      </c>
      <c r="C85" s="93" t="s">
        <v>0</v>
      </c>
      <c r="D85" s="86" t="s">
        <v>20</v>
      </c>
      <c r="E85" s="87">
        <v>28</v>
      </c>
      <c r="F85" s="87">
        <v>28</v>
      </c>
      <c r="G85" s="87">
        <f t="shared" ref="G85:G88" si="67">(E85*8+F85*4)/12</f>
        <v>28</v>
      </c>
      <c r="H85" s="87">
        <v>28</v>
      </c>
      <c r="I85" s="87">
        <v>28</v>
      </c>
      <c r="J85" s="75">
        <v>43138.04</v>
      </c>
      <c r="K85" s="75">
        <v>12142.68</v>
      </c>
      <c r="L85" s="156">
        <v>30895.39</v>
      </c>
      <c r="M85" s="75">
        <f t="shared" si="6"/>
        <v>86176.11</v>
      </c>
      <c r="N85" s="75">
        <f>G85*J85</f>
        <v>1207865.1200000001</v>
      </c>
      <c r="O85" s="75">
        <f>G85*K85</f>
        <v>339995.04000000004</v>
      </c>
      <c r="P85" s="75"/>
      <c r="Q85" s="75">
        <f>G85*L85</f>
        <v>865070.91999999993</v>
      </c>
      <c r="R85" s="75"/>
      <c r="S85" s="75"/>
      <c r="T85" s="75">
        <f t="shared" si="1"/>
        <v>2412931.08</v>
      </c>
      <c r="U85" s="75">
        <f t="shared" si="2"/>
        <v>2412931.08</v>
      </c>
      <c r="V85" s="75">
        <f t="shared" si="3"/>
        <v>2412931.08</v>
      </c>
    </row>
    <row r="86" spans="1:22" x14ac:dyDescent="0.25">
      <c r="A86" s="88"/>
      <c r="B86" s="97" t="s">
        <v>24</v>
      </c>
      <c r="C86" s="97"/>
      <c r="D86" s="86" t="s">
        <v>20</v>
      </c>
      <c r="E86" s="87">
        <v>37</v>
      </c>
      <c r="F86" s="87">
        <v>37</v>
      </c>
      <c r="G86" s="87">
        <f t="shared" si="67"/>
        <v>37</v>
      </c>
      <c r="H86" s="87">
        <v>37</v>
      </c>
      <c r="I86" s="87">
        <v>37</v>
      </c>
      <c r="J86" s="75">
        <v>34198.17</v>
      </c>
      <c r="K86" s="75">
        <v>12142.68</v>
      </c>
      <c r="L86" s="156">
        <v>30895.39</v>
      </c>
      <c r="M86" s="75">
        <f t="shared" si="6"/>
        <v>77236.239999999991</v>
      </c>
      <c r="N86" s="75">
        <f t="shared" ref="N86:N88" si="68">G86*J86</f>
        <v>1265332.29</v>
      </c>
      <c r="O86" s="75">
        <f t="shared" ref="O86:O88" si="69">G86*K86</f>
        <v>449279.16000000003</v>
      </c>
      <c r="P86" s="75"/>
      <c r="Q86" s="75">
        <f t="shared" ref="Q86:Q87" si="70">G86*L86</f>
        <v>1143129.43</v>
      </c>
      <c r="R86" s="75"/>
      <c r="S86" s="75"/>
      <c r="T86" s="75">
        <f t="shared" si="1"/>
        <v>2857740.88</v>
      </c>
      <c r="U86" s="75">
        <f t="shared" si="2"/>
        <v>2857740.88</v>
      </c>
      <c r="V86" s="75">
        <f t="shared" si="3"/>
        <v>2857740.88</v>
      </c>
    </row>
    <row r="87" spans="1:22" ht="120" x14ac:dyDescent="0.25">
      <c r="A87" s="88"/>
      <c r="B87" s="97" t="s">
        <v>24</v>
      </c>
      <c r="C87" s="125" t="s">
        <v>162</v>
      </c>
      <c r="D87" s="112" t="s">
        <v>20</v>
      </c>
      <c r="E87" s="87">
        <v>75</v>
      </c>
      <c r="F87" s="87">
        <v>75</v>
      </c>
      <c r="G87" s="87">
        <f t="shared" si="67"/>
        <v>75</v>
      </c>
      <c r="H87" s="87">
        <v>75</v>
      </c>
      <c r="I87" s="87">
        <v>75</v>
      </c>
      <c r="J87" s="75">
        <v>50023.83</v>
      </c>
      <c r="K87" s="75">
        <v>12142.68</v>
      </c>
      <c r="L87" s="156">
        <v>30895.39</v>
      </c>
      <c r="M87" s="75">
        <f t="shared" ref="M87" si="71">J87+K87+L87</f>
        <v>93061.9</v>
      </c>
      <c r="N87" s="75">
        <f t="shared" si="68"/>
        <v>3751787.25</v>
      </c>
      <c r="O87" s="75">
        <f t="shared" si="69"/>
        <v>910701</v>
      </c>
      <c r="P87" s="75"/>
      <c r="Q87" s="75">
        <f t="shared" si="70"/>
        <v>2317154.25</v>
      </c>
      <c r="R87" s="75"/>
      <c r="S87" s="75"/>
      <c r="T87" s="75">
        <f t="shared" ref="T87" si="72">SUM(N87:Q87)</f>
        <v>6979642.5</v>
      </c>
      <c r="U87" s="75">
        <f t="shared" ref="U87" si="73">H87*M87</f>
        <v>6979642.5</v>
      </c>
      <c r="V87" s="75">
        <f t="shared" ref="V87" si="74">I87*M87</f>
        <v>6979642.5</v>
      </c>
    </row>
    <row r="88" spans="1:22" x14ac:dyDescent="0.25">
      <c r="A88" s="86"/>
      <c r="B88" s="176" t="s">
        <v>28</v>
      </c>
      <c r="C88" s="127" t="s">
        <v>219</v>
      </c>
      <c r="D88" s="86" t="s">
        <v>20</v>
      </c>
      <c r="E88" s="87">
        <f>E87+E86+E85</f>
        <v>140</v>
      </c>
      <c r="F88" s="87">
        <f>F87+F86+F85</f>
        <v>140</v>
      </c>
      <c r="G88" s="87">
        <f t="shared" si="67"/>
        <v>140</v>
      </c>
      <c r="H88" s="87">
        <f>H87+H86+H85</f>
        <v>140</v>
      </c>
      <c r="I88" s="87">
        <f>I87+I86+I85</f>
        <v>140</v>
      </c>
      <c r="J88" s="75" t="s">
        <v>23</v>
      </c>
      <c r="K88" s="75"/>
      <c r="L88" s="162">
        <v>10176.66</v>
      </c>
      <c r="M88" s="75">
        <f t="shared" si="6"/>
        <v>10176.66</v>
      </c>
      <c r="N88" s="75">
        <f t="shared" si="68"/>
        <v>0</v>
      </c>
      <c r="O88" s="75">
        <f t="shared" si="69"/>
        <v>0</v>
      </c>
      <c r="P88" s="75"/>
      <c r="Q88" s="75">
        <f>G88*L88</f>
        <v>1424732.4</v>
      </c>
      <c r="R88" s="75"/>
      <c r="S88" s="75"/>
      <c r="T88" s="75">
        <f t="shared" si="1"/>
        <v>1424732.4</v>
      </c>
      <c r="U88" s="75">
        <f t="shared" si="2"/>
        <v>1424732.4</v>
      </c>
      <c r="V88" s="75">
        <f t="shared" si="3"/>
        <v>1424732.4</v>
      </c>
    </row>
    <row r="89" spans="1:22" x14ac:dyDescent="0.25">
      <c r="A89" s="86"/>
      <c r="B89" s="176" t="s">
        <v>28</v>
      </c>
      <c r="C89" s="127" t="s">
        <v>220</v>
      </c>
      <c r="D89" s="86"/>
      <c r="E89" s="87"/>
      <c r="F89" s="87"/>
      <c r="G89" s="87"/>
      <c r="H89" s="87"/>
      <c r="I89" s="87"/>
      <c r="J89" s="75"/>
      <c r="K89" s="75"/>
      <c r="L89" s="162">
        <v>12248.94</v>
      </c>
      <c r="M89" s="75"/>
      <c r="N89" s="75"/>
      <c r="O89" s="75"/>
      <c r="P89" s="75"/>
      <c r="Q89" s="75"/>
      <c r="R89" s="75"/>
      <c r="S89" s="75">
        <f>L89*G88</f>
        <v>1714851.6</v>
      </c>
      <c r="T89" s="75"/>
      <c r="U89" s="75"/>
      <c r="V89" s="75"/>
    </row>
    <row r="90" spans="1:22" x14ac:dyDescent="0.25">
      <c r="A90" s="113" t="s">
        <v>68</v>
      </c>
      <c r="B90" s="94"/>
      <c r="C90" s="94"/>
      <c r="D90" s="94"/>
      <c r="E90" s="92"/>
      <c r="F90" s="92"/>
      <c r="G90" s="92"/>
      <c r="H90" s="92"/>
      <c r="I90" s="92"/>
      <c r="J90" s="78"/>
      <c r="K90" s="78"/>
      <c r="L90" s="78"/>
      <c r="M90" s="78">
        <f t="shared" si="6"/>
        <v>0</v>
      </c>
      <c r="N90" s="78">
        <f>N91+N95</f>
        <v>5861980.0199999996</v>
      </c>
      <c r="O90" s="78">
        <f t="shared" ref="O90:V90" si="75">O91+O95</f>
        <v>1724260.56</v>
      </c>
      <c r="P90" s="78"/>
      <c r="Q90" s="179">
        <f t="shared" si="75"/>
        <v>5832231.0999999996</v>
      </c>
      <c r="R90" s="179"/>
      <c r="S90" s="78">
        <f>S89</f>
        <v>1714851.6</v>
      </c>
      <c r="T90" s="78">
        <f t="shared" si="75"/>
        <v>13418471.680000002</v>
      </c>
      <c r="U90" s="78">
        <f t="shared" si="75"/>
        <v>13418471.68</v>
      </c>
      <c r="V90" s="78">
        <f t="shared" si="75"/>
        <v>13418471.68</v>
      </c>
    </row>
    <row r="91" spans="1:22" ht="85.5" x14ac:dyDescent="0.25">
      <c r="A91" s="83"/>
      <c r="B91" s="84" t="s">
        <v>76</v>
      </c>
      <c r="C91" s="128"/>
      <c r="D91" s="95"/>
      <c r="E91" s="68"/>
      <c r="F91" s="68"/>
      <c r="G91" s="68"/>
      <c r="H91" s="68"/>
      <c r="I91" s="68"/>
      <c r="J91" s="75"/>
      <c r="K91" s="75"/>
      <c r="L91" s="75"/>
      <c r="M91" s="75">
        <f t="shared" si="6"/>
        <v>0</v>
      </c>
      <c r="N91" s="75">
        <f>SUM(N92:N94)</f>
        <v>5861980.0199999996</v>
      </c>
      <c r="O91" s="75">
        <f>SUM(O92:O94)</f>
        <v>1724260.56</v>
      </c>
      <c r="P91" s="75"/>
      <c r="Q91" s="75">
        <f t="shared" ref="Q91:V91" si="76">SUM(Q92:Q94)</f>
        <v>4387145.38</v>
      </c>
      <c r="R91" s="75"/>
      <c r="S91" s="75"/>
      <c r="T91" s="75">
        <f t="shared" si="76"/>
        <v>11973385.960000001</v>
      </c>
      <c r="U91" s="75">
        <f t="shared" si="76"/>
        <v>11973385.959999999</v>
      </c>
      <c r="V91" s="75">
        <f t="shared" si="76"/>
        <v>11973385.959999999</v>
      </c>
    </row>
    <row r="92" spans="1:22" ht="105" x14ac:dyDescent="0.25">
      <c r="A92" s="83"/>
      <c r="B92" s="97" t="s">
        <v>19</v>
      </c>
      <c r="C92" s="93" t="s">
        <v>0</v>
      </c>
      <c r="D92" s="112" t="s">
        <v>20</v>
      </c>
      <c r="E92" s="87">
        <v>24</v>
      </c>
      <c r="F92" s="87">
        <v>24</v>
      </c>
      <c r="G92" s="87">
        <f t="shared" ref="G92:G95" si="77">(E92*8+F92*4)/12</f>
        <v>24</v>
      </c>
      <c r="H92" s="87">
        <v>24</v>
      </c>
      <c r="I92" s="87">
        <v>24</v>
      </c>
      <c r="J92" s="75">
        <v>43138.04</v>
      </c>
      <c r="K92" s="75">
        <v>12142.68</v>
      </c>
      <c r="L92" s="156">
        <v>30895.39</v>
      </c>
      <c r="M92" s="75">
        <f t="shared" si="6"/>
        <v>86176.11</v>
      </c>
      <c r="N92" s="75">
        <f>G92*J92</f>
        <v>1035312.96</v>
      </c>
      <c r="O92" s="75">
        <f>G92*K92</f>
        <v>291424.32</v>
      </c>
      <c r="P92" s="75"/>
      <c r="Q92" s="75">
        <f>G92*L92</f>
        <v>741489.36</v>
      </c>
      <c r="R92" s="75"/>
      <c r="S92" s="75"/>
      <c r="T92" s="75">
        <f t="shared" si="1"/>
        <v>2068226.6400000001</v>
      </c>
      <c r="U92" s="75">
        <f t="shared" si="2"/>
        <v>2068226.6400000001</v>
      </c>
      <c r="V92" s="75">
        <f t="shared" si="3"/>
        <v>2068226.6400000001</v>
      </c>
    </row>
    <row r="93" spans="1:22" x14ac:dyDescent="0.25">
      <c r="A93" s="88"/>
      <c r="B93" s="97" t="s">
        <v>24</v>
      </c>
      <c r="C93" s="97"/>
      <c r="D93" s="86" t="s">
        <v>20</v>
      </c>
      <c r="E93" s="87">
        <v>68</v>
      </c>
      <c r="F93" s="87">
        <v>68</v>
      </c>
      <c r="G93" s="87">
        <f t="shared" si="77"/>
        <v>68</v>
      </c>
      <c r="H93" s="87">
        <v>68</v>
      </c>
      <c r="I93" s="87">
        <v>68</v>
      </c>
      <c r="J93" s="75">
        <v>34198.17</v>
      </c>
      <c r="K93" s="75">
        <v>12142.68</v>
      </c>
      <c r="L93" s="156">
        <v>30895.39</v>
      </c>
      <c r="M93" s="75">
        <f t="shared" si="6"/>
        <v>77236.239999999991</v>
      </c>
      <c r="N93" s="75">
        <f t="shared" ref="N93:N95" si="78">G93*J93</f>
        <v>2325475.56</v>
      </c>
      <c r="O93" s="75">
        <f>G93*K93</f>
        <v>825702.24</v>
      </c>
      <c r="P93" s="75"/>
      <c r="Q93" s="75">
        <f t="shared" ref="Q93:Q94" si="79">G93*L93</f>
        <v>2100886.52</v>
      </c>
      <c r="R93" s="75"/>
      <c r="S93" s="75"/>
      <c r="T93" s="75">
        <f t="shared" si="1"/>
        <v>5252064.32</v>
      </c>
      <c r="U93" s="75">
        <f t="shared" si="2"/>
        <v>5252064.3199999994</v>
      </c>
      <c r="V93" s="75">
        <f t="shared" si="3"/>
        <v>5252064.3199999994</v>
      </c>
    </row>
    <row r="94" spans="1:22" ht="120" x14ac:dyDescent="0.25">
      <c r="A94" s="88"/>
      <c r="B94" s="97" t="s">
        <v>24</v>
      </c>
      <c r="C94" s="93" t="s">
        <v>162</v>
      </c>
      <c r="D94" s="112" t="s">
        <v>20</v>
      </c>
      <c r="E94" s="87">
        <v>50</v>
      </c>
      <c r="F94" s="87">
        <v>50</v>
      </c>
      <c r="G94" s="87">
        <f t="shared" si="77"/>
        <v>50</v>
      </c>
      <c r="H94" s="87">
        <v>50</v>
      </c>
      <c r="I94" s="87">
        <v>50</v>
      </c>
      <c r="J94" s="75">
        <v>50023.83</v>
      </c>
      <c r="K94" s="75">
        <v>12142.68</v>
      </c>
      <c r="L94" s="156">
        <v>30895.39</v>
      </c>
      <c r="M94" s="75">
        <f t="shared" si="6"/>
        <v>93061.9</v>
      </c>
      <c r="N94" s="75">
        <f t="shared" si="78"/>
        <v>2501191.5</v>
      </c>
      <c r="O94" s="75">
        <f>G94*K94</f>
        <v>607134</v>
      </c>
      <c r="P94" s="75"/>
      <c r="Q94" s="75">
        <f t="shared" si="79"/>
        <v>1544769.5</v>
      </c>
      <c r="R94" s="75"/>
      <c r="S94" s="75"/>
      <c r="T94" s="75">
        <f t="shared" si="1"/>
        <v>4653095</v>
      </c>
      <c r="U94" s="75">
        <f t="shared" si="2"/>
        <v>4653095</v>
      </c>
      <c r="V94" s="75">
        <f t="shared" si="3"/>
        <v>4653095</v>
      </c>
    </row>
    <row r="95" spans="1:22" x14ac:dyDescent="0.25">
      <c r="A95" s="86"/>
      <c r="B95" s="176" t="s">
        <v>28</v>
      </c>
      <c r="C95" s="127" t="s">
        <v>219</v>
      </c>
      <c r="D95" s="86" t="s">
        <v>20</v>
      </c>
      <c r="E95" s="87">
        <f>E94+E93+E92</f>
        <v>142</v>
      </c>
      <c r="F95" s="87">
        <f>F94+F93+F92</f>
        <v>142</v>
      </c>
      <c r="G95" s="87">
        <f t="shared" si="77"/>
        <v>142</v>
      </c>
      <c r="H95" s="87">
        <f>H94+H93+H92</f>
        <v>142</v>
      </c>
      <c r="I95" s="87">
        <f>I94+I93+I92</f>
        <v>142</v>
      </c>
      <c r="J95" s="75" t="s">
        <v>23</v>
      </c>
      <c r="K95" s="75"/>
      <c r="L95" s="162">
        <v>10176.66</v>
      </c>
      <c r="M95" s="75">
        <f t="shared" si="6"/>
        <v>10176.66</v>
      </c>
      <c r="N95" s="75">
        <f t="shared" si="78"/>
        <v>0</v>
      </c>
      <c r="O95" s="75">
        <f t="shared" ref="O95" si="80">G95*K95</f>
        <v>0</v>
      </c>
      <c r="P95" s="75"/>
      <c r="Q95" s="75">
        <f>G95*L95</f>
        <v>1445085.72</v>
      </c>
      <c r="R95" s="75"/>
      <c r="S95" s="75"/>
      <c r="T95" s="75">
        <f t="shared" si="1"/>
        <v>1445085.72</v>
      </c>
      <c r="U95" s="75">
        <f t="shared" si="2"/>
        <v>1445085.72</v>
      </c>
      <c r="V95" s="75">
        <f t="shared" si="3"/>
        <v>1445085.72</v>
      </c>
    </row>
    <row r="96" spans="1:22" x14ac:dyDescent="0.25">
      <c r="A96" s="86"/>
      <c r="B96" s="176" t="s">
        <v>28</v>
      </c>
      <c r="C96" s="127" t="s">
        <v>220</v>
      </c>
      <c r="D96" s="86"/>
      <c r="E96" s="87"/>
      <c r="F96" s="87"/>
      <c r="G96" s="87"/>
      <c r="H96" s="87"/>
      <c r="I96" s="87"/>
      <c r="J96" s="75"/>
      <c r="K96" s="75"/>
      <c r="L96" s="162">
        <v>12248.94</v>
      </c>
      <c r="M96" s="75"/>
      <c r="N96" s="75"/>
      <c r="O96" s="75"/>
      <c r="P96" s="75"/>
      <c r="Q96" s="75"/>
      <c r="R96" s="75"/>
      <c r="S96" s="75">
        <f>L96*G95</f>
        <v>1739349.48</v>
      </c>
      <c r="T96" s="75"/>
      <c r="U96" s="75"/>
      <c r="V96" s="75"/>
    </row>
    <row r="97" spans="1:22" s="96" customFormat="1" ht="14.25" x14ac:dyDescent="0.2">
      <c r="A97" s="113" t="s">
        <v>71</v>
      </c>
      <c r="B97" s="94"/>
      <c r="C97" s="94"/>
      <c r="D97" s="94"/>
      <c r="E97" s="92"/>
      <c r="F97" s="92"/>
      <c r="G97" s="92"/>
      <c r="H97" s="92"/>
      <c r="I97" s="92"/>
      <c r="J97" s="78"/>
      <c r="K97" s="78"/>
      <c r="L97" s="78"/>
      <c r="M97" s="78">
        <f t="shared" si="6"/>
        <v>0</v>
      </c>
      <c r="N97" s="78">
        <f>N98+N102</f>
        <v>10839512.129999999</v>
      </c>
      <c r="O97" s="78">
        <f t="shared" ref="O97:V97" si="81">O98+O102</f>
        <v>2974956.6</v>
      </c>
      <c r="P97" s="78"/>
      <c r="Q97" s="179">
        <f t="shared" si="81"/>
        <v>9611389.5999999996</v>
      </c>
      <c r="R97" s="179"/>
      <c r="S97" s="78">
        <f>S96</f>
        <v>1739349.48</v>
      </c>
      <c r="T97" s="78">
        <f t="shared" si="81"/>
        <v>23425858.330000002</v>
      </c>
      <c r="U97" s="78">
        <f t="shared" si="81"/>
        <v>23425867.73</v>
      </c>
      <c r="V97" s="78">
        <f t="shared" si="81"/>
        <v>23425867.73</v>
      </c>
    </row>
    <row r="98" spans="1:22" ht="85.5" x14ac:dyDescent="0.25">
      <c r="A98" s="83"/>
      <c r="B98" s="84" t="s">
        <v>76</v>
      </c>
      <c r="C98" s="128"/>
      <c r="D98" s="95"/>
      <c r="E98" s="68"/>
      <c r="F98" s="68"/>
      <c r="G98" s="68"/>
      <c r="H98" s="68"/>
      <c r="I98" s="68"/>
      <c r="J98" s="75"/>
      <c r="K98" s="75"/>
      <c r="L98" s="75"/>
      <c r="M98" s="75">
        <f t="shared" ref="M98:M102" si="82">J98+K98+L98</f>
        <v>0</v>
      </c>
      <c r="N98" s="75">
        <f>SUM(N99:N101)</f>
        <v>10839512.129999999</v>
      </c>
      <c r="O98" s="75">
        <f t="shared" ref="O98:V98" si="83">SUM(O99:O101)</f>
        <v>2974956.6</v>
      </c>
      <c r="P98" s="75"/>
      <c r="Q98" s="75">
        <f t="shared" si="83"/>
        <v>7075462.7999999998</v>
      </c>
      <c r="R98" s="75"/>
      <c r="S98" s="75"/>
      <c r="T98" s="75">
        <f>SUM(T99:T101)</f>
        <v>20889931.530000001</v>
      </c>
      <c r="U98" s="75">
        <f t="shared" si="83"/>
        <v>20889931.530000001</v>
      </c>
      <c r="V98" s="75">
        <f t="shared" si="83"/>
        <v>20889931.530000001</v>
      </c>
    </row>
    <row r="99" spans="1:22" ht="105" x14ac:dyDescent="0.25">
      <c r="A99" s="83"/>
      <c r="B99" s="97" t="s">
        <v>19</v>
      </c>
      <c r="C99" s="93" t="s">
        <v>0</v>
      </c>
      <c r="D99" s="112" t="s">
        <v>20</v>
      </c>
      <c r="E99" s="87">
        <v>54</v>
      </c>
      <c r="F99" s="87">
        <v>54</v>
      </c>
      <c r="G99" s="87">
        <f t="shared" ref="G99:G102" si="84">(E99*8+F99*4)/12</f>
        <v>54</v>
      </c>
      <c r="H99" s="87">
        <v>54</v>
      </c>
      <c r="I99" s="87">
        <v>54</v>
      </c>
      <c r="J99" s="75">
        <v>43138.04</v>
      </c>
      <c r="K99" s="75">
        <v>12142.68</v>
      </c>
      <c r="L99" s="156">
        <v>28879.439999999999</v>
      </c>
      <c r="M99" s="75">
        <f t="shared" si="82"/>
        <v>84160.16</v>
      </c>
      <c r="N99" s="75">
        <f>G99*J99</f>
        <v>2329454.16</v>
      </c>
      <c r="O99" s="75">
        <f>G99*K99</f>
        <v>655704.72</v>
      </c>
      <c r="P99" s="75"/>
      <c r="Q99" s="75">
        <f>G99*L99</f>
        <v>1559489.76</v>
      </c>
      <c r="R99" s="75"/>
      <c r="S99" s="75"/>
      <c r="T99" s="75">
        <f t="shared" ref="T99:T102" si="85">SUM(N99:Q99)</f>
        <v>4544648.6399999997</v>
      </c>
      <c r="U99" s="75">
        <f t="shared" ref="U99:U102" si="86">H99*M99</f>
        <v>4544648.6400000006</v>
      </c>
      <c r="V99" s="75">
        <f t="shared" ref="V99:V102" si="87">I99*M99</f>
        <v>4544648.6400000006</v>
      </c>
    </row>
    <row r="100" spans="1:22" x14ac:dyDescent="0.25">
      <c r="A100" s="88"/>
      <c r="B100" s="97" t="s">
        <v>24</v>
      </c>
      <c r="C100" s="97"/>
      <c r="D100" s="86" t="s">
        <v>20</v>
      </c>
      <c r="E100" s="87">
        <v>66</v>
      </c>
      <c r="F100" s="87">
        <v>66</v>
      </c>
      <c r="G100" s="87">
        <f t="shared" si="84"/>
        <v>66</v>
      </c>
      <c r="H100" s="87">
        <v>66</v>
      </c>
      <c r="I100" s="87">
        <v>66</v>
      </c>
      <c r="J100" s="75">
        <v>34198.17</v>
      </c>
      <c r="K100" s="75">
        <v>12142.68</v>
      </c>
      <c r="L100" s="156">
        <v>28879.439999999999</v>
      </c>
      <c r="M100" s="75">
        <f t="shared" si="82"/>
        <v>75220.289999999994</v>
      </c>
      <c r="N100" s="75">
        <f t="shared" ref="N100:N102" si="88">G100*J100</f>
        <v>2257079.2199999997</v>
      </c>
      <c r="O100" s="75">
        <f t="shared" ref="O100:O102" si="89">G100*K100</f>
        <v>801416.88</v>
      </c>
      <c r="P100" s="75"/>
      <c r="Q100" s="75">
        <f t="shared" ref="Q100:Q101" si="90">G100*L100</f>
        <v>1906043.0399999998</v>
      </c>
      <c r="R100" s="75"/>
      <c r="S100" s="75"/>
      <c r="T100" s="75">
        <f t="shared" si="85"/>
        <v>4964539.1399999997</v>
      </c>
      <c r="U100" s="75">
        <f t="shared" si="86"/>
        <v>4964539.1399999997</v>
      </c>
      <c r="V100" s="75">
        <f t="shared" si="87"/>
        <v>4964539.1399999997</v>
      </c>
    </row>
    <row r="101" spans="1:22" ht="120" x14ac:dyDescent="0.25">
      <c r="A101" s="88"/>
      <c r="B101" s="97" t="s">
        <v>24</v>
      </c>
      <c r="C101" s="93" t="s">
        <v>162</v>
      </c>
      <c r="D101" s="112" t="s">
        <v>20</v>
      </c>
      <c r="E101" s="87">
        <v>125</v>
      </c>
      <c r="F101" s="87">
        <v>125</v>
      </c>
      <c r="G101" s="87">
        <f t="shared" si="84"/>
        <v>125</v>
      </c>
      <c r="H101" s="87">
        <v>125</v>
      </c>
      <c r="I101" s="87">
        <v>125</v>
      </c>
      <c r="J101" s="75">
        <v>50023.83</v>
      </c>
      <c r="K101" s="75">
        <v>12142.68</v>
      </c>
      <c r="L101" s="156">
        <v>28879.439999999999</v>
      </c>
      <c r="M101" s="75">
        <f t="shared" si="82"/>
        <v>91045.95</v>
      </c>
      <c r="N101" s="75">
        <f t="shared" si="88"/>
        <v>6252978.75</v>
      </c>
      <c r="O101" s="75">
        <f t="shared" si="89"/>
        <v>1517835</v>
      </c>
      <c r="P101" s="75"/>
      <c r="Q101" s="75">
        <f t="shared" si="90"/>
        <v>3609930</v>
      </c>
      <c r="R101" s="75"/>
      <c r="S101" s="75"/>
      <c r="T101" s="75">
        <f t="shared" si="85"/>
        <v>11380743.75</v>
      </c>
      <c r="U101" s="75">
        <f t="shared" si="86"/>
        <v>11380743.75</v>
      </c>
      <c r="V101" s="75">
        <f t="shared" si="87"/>
        <v>11380743.75</v>
      </c>
    </row>
    <row r="102" spans="1:22" x14ac:dyDescent="0.25">
      <c r="A102" s="86"/>
      <c r="B102" s="176" t="s">
        <v>28</v>
      </c>
      <c r="C102" s="127" t="s">
        <v>219</v>
      </c>
      <c r="D102" s="86" t="s">
        <v>20</v>
      </c>
      <c r="E102" s="87">
        <f>E101+E100+E99</f>
        <v>245</v>
      </c>
      <c r="F102" s="87">
        <f>F101+F100+F99</f>
        <v>245</v>
      </c>
      <c r="G102" s="87">
        <f t="shared" si="84"/>
        <v>245</v>
      </c>
      <c r="H102" s="87">
        <f>H101+H100+H99</f>
        <v>245</v>
      </c>
      <c r="I102" s="87">
        <f>I101+I100+I99</f>
        <v>245</v>
      </c>
      <c r="J102" s="75" t="s">
        <v>23</v>
      </c>
      <c r="K102" s="75"/>
      <c r="L102" s="162">
        <v>10350.76</v>
      </c>
      <c r="M102" s="75">
        <f t="shared" si="82"/>
        <v>10350.76</v>
      </c>
      <c r="N102" s="75">
        <f t="shared" si="88"/>
        <v>0</v>
      </c>
      <c r="O102" s="75">
        <f t="shared" si="89"/>
        <v>0</v>
      </c>
      <c r="P102" s="75"/>
      <c r="Q102" s="75">
        <f>G102*L102-9.4</f>
        <v>2535926.8000000003</v>
      </c>
      <c r="R102" s="75"/>
      <c r="S102" s="75"/>
      <c r="T102" s="75">
        <f t="shared" si="85"/>
        <v>2535926.8000000003</v>
      </c>
      <c r="U102" s="75">
        <f t="shared" si="86"/>
        <v>2535936.2000000002</v>
      </c>
      <c r="V102" s="75">
        <f t="shared" si="87"/>
        <v>2535936.2000000002</v>
      </c>
    </row>
    <row r="103" spans="1:22" x14ac:dyDescent="0.25">
      <c r="A103" s="86"/>
      <c r="B103" s="176" t="s">
        <v>28</v>
      </c>
      <c r="C103" s="127" t="s">
        <v>220</v>
      </c>
      <c r="D103" s="86"/>
      <c r="E103" s="87"/>
      <c r="F103" s="87"/>
      <c r="G103" s="87"/>
      <c r="H103" s="87"/>
      <c r="I103" s="87"/>
      <c r="J103" s="75"/>
      <c r="K103" s="75"/>
      <c r="L103" s="162">
        <v>12248.94</v>
      </c>
      <c r="M103" s="75"/>
      <c r="N103" s="75"/>
      <c r="O103" s="75"/>
      <c r="P103" s="75"/>
      <c r="Q103" s="75"/>
      <c r="R103" s="75"/>
      <c r="S103" s="75">
        <f>L103*G102</f>
        <v>3000990.3000000003</v>
      </c>
      <c r="T103" s="75"/>
      <c r="U103" s="75"/>
      <c r="V103" s="75"/>
    </row>
    <row r="104" spans="1:22" x14ac:dyDescent="0.25">
      <c r="A104" s="317" t="s">
        <v>154</v>
      </c>
      <c r="B104" s="317"/>
      <c r="C104" s="317"/>
      <c r="D104" s="86"/>
      <c r="E104" s="87"/>
      <c r="F104" s="87"/>
      <c r="G104" s="87"/>
      <c r="H104" s="87"/>
      <c r="I104" s="87"/>
      <c r="J104" s="75"/>
      <c r="K104" s="75"/>
      <c r="L104" s="75"/>
      <c r="M104" s="75"/>
      <c r="N104" s="75"/>
      <c r="O104" s="75"/>
      <c r="P104" s="75"/>
      <c r="Q104" s="162">
        <f>Q97+Q90+Q83+Q73+Q63+Q56+Q48+Q40+Q33+Q25+Q20+Q12</f>
        <v>70726600</v>
      </c>
      <c r="R104" s="162"/>
      <c r="S104" s="75"/>
      <c r="T104" s="75"/>
      <c r="U104" s="75"/>
      <c r="V104" s="75"/>
    </row>
    <row r="105" spans="1:22" ht="30" x14ac:dyDescent="0.25">
      <c r="A105" s="321" t="s">
        <v>3</v>
      </c>
      <c r="B105" s="321" t="s">
        <v>86</v>
      </c>
      <c r="C105" s="114" t="s">
        <v>87</v>
      </c>
      <c r="D105" s="321" t="s">
        <v>4</v>
      </c>
      <c r="E105" s="322" t="s">
        <v>5</v>
      </c>
      <c r="F105" s="322"/>
      <c r="G105" s="322"/>
      <c r="H105" s="322"/>
      <c r="I105" s="322"/>
      <c r="J105" s="309" t="s">
        <v>6</v>
      </c>
      <c r="K105" s="309"/>
      <c r="L105" s="309"/>
      <c r="M105" s="309"/>
      <c r="N105" s="309" t="s">
        <v>7</v>
      </c>
      <c r="O105" s="309"/>
      <c r="P105" s="309"/>
      <c r="Q105" s="309"/>
      <c r="R105" s="309"/>
      <c r="S105" s="309"/>
      <c r="T105" s="309"/>
      <c r="U105" s="309"/>
      <c r="V105" s="309"/>
    </row>
    <row r="106" spans="1:22" ht="120" x14ac:dyDescent="0.25">
      <c r="A106" s="321"/>
      <c r="B106" s="321"/>
      <c r="C106" s="114"/>
      <c r="D106" s="321"/>
      <c r="E106" s="155" t="s">
        <v>176</v>
      </c>
      <c r="F106" s="155" t="s">
        <v>208</v>
      </c>
      <c r="G106" s="158" t="s">
        <v>212</v>
      </c>
      <c r="H106" s="155" t="s">
        <v>183</v>
      </c>
      <c r="I106" s="155" t="s">
        <v>205</v>
      </c>
      <c r="J106" s="141" t="s">
        <v>88</v>
      </c>
      <c r="K106" s="141" t="s">
        <v>89</v>
      </c>
      <c r="L106" s="141" t="s">
        <v>90</v>
      </c>
      <c r="M106" s="141" t="s">
        <v>91</v>
      </c>
      <c r="N106" s="152" t="s">
        <v>209</v>
      </c>
      <c r="O106" s="131" t="s">
        <v>93</v>
      </c>
      <c r="P106" s="177"/>
      <c r="Q106" s="119" t="s">
        <v>94</v>
      </c>
      <c r="R106" s="177"/>
      <c r="S106" s="175"/>
      <c r="T106" s="115" t="s">
        <v>95</v>
      </c>
      <c r="U106" s="152" t="s">
        <v>184</v>
      </c>
      <c r="V106" s="152" t="s">
        <v>210</v>
      </c>
    </row>
    <row r="107" spans="1:22" ht="45" x14ac:dyDescent="0.25">
      <c r="A107" s="98" t="s">
        <v>13</v>
      </c>
      <c r="B107" s="98" t="s">
        <v>13</v>
      </c>
      <c r="C107" s="98"/>
      <c r="D107" s="98" t="s">
        <v>15</v>
      </c>
      <c r="E107" s="99" t="s">
        <v>16</v>
      </c>
      <c r="F107" s="99" t="s">
        <v>16</v>
      </c>
      <c r="G107" s="99"/>
      <c r="H107" s="99" t="s">
        <v>16</v>
      </c>
      <c r="I107" s="99" t="s">
        <v>16</v>
      </c>
      <c r="J107" s="141" t="s">
        <v>17</v>
      </c>
      <c r="K107" s="141" t="s">
        <v>17</v>
      </c>
      <c r="L107" s="141" t="s">
        <v>17</v>
      </c>
      <c r="M107" s="141" t="s">
        <v>17</v>
      </c>
      <c r="N107" s="140" t="s">
        <v>17</v>
      </c>
      <c r="O107" s="131" t="s">
        <v>17</v>
      </c>
      <c r="P107" s="177"/>
      <c r="Q107" s="119" t="s">
        <v>17</v>
      </c>
      <c r="R107" s="177"/>
      <c r="S107" s="175"/>
      <c r="T107" s="115" t="s">
        <v>17</v>
      </c>
      <c r="U107" s="111" t="s">
        <v>17</v>
      </c>
      <c r="V107" s="111" t="s">
        <v>17</v>
      </c>
    </row>
    <row r="108" spans="1:22" ht="90" x14ac:dyDescent="0.25">
      <c r="A108" s="329" t="s">
        <v>98</v>
      </c>
      <c r="B108" s="331" t="s">
        <v>99</v>
      </c>
      <c r="C108" s="61" t="s">
        <v>100</v>
      </c>
      <c r="D108" s="62" t="s">
        <v>101</v>
      </c>
      <c r="E108" s="59">
        <v>268</v>
      </c>
      <c r="F108" s="59">
        <v>268</v>
      </c>
      <c r="G108" s="59">
        <f>((E108*8)+(F108*4))/12</f>
        <v>268</v>
      </c>
      <c r="H108" s="59">
        <v>268</v>
      </c>
      <c r="I108" s="59">
        <v>268</v>
      </c>
      <c r="J108" s="107">
        <f>SUM(K108:M108)</f>
        <v>40097.97</v>
      </c>
      <c r="K108" s="147">
        <f>23119.12+1351.63</f>
        <v>24470.75</v>
      </c>
      <c r="L108" s="70">
        <v>4001.99</v>
      </c>
      <c r="M108" s="163">
        <v>11625.23</v>
      </c>
      <c r="N108" s="71">
        <f>SUM(O108:T108)</f>
        <v>10746255.960000001</v>
      </c>
      <c r="O108" s="146">
        <f>G108*K108</f>
        <v>6558161</v>
      </c>
      <c r="P108" s="146"/>
      <c r="Q108" s="71">
        <f>G108*L108</f>
        <v>1072533.3199999998</v>
      </c>
      <c r="R108" s="71"/>
      <c r="S108" s="71"/>
      <c r="T108" s="156">
        <f>G108*M108</f>
        <v>3115561.6399999997</v>
      </c>
      <c r="U108" s="75">
        <f>H108*J108</f>
        <v>10746255.960000001</v>
      </c>
      <c r="V108" s="75">
        <f>I108*J108</f>
        <v>10746255.960000001</v>
      </c>
    </row>
    <row r="109" spans="1:22" ht="120.75" customHeight="1" x14ac:dyDescent="0.25">
      <c r="A109" s="329"/>
      <c r="B109" s="332"/>
      <c r="C109" s="63" t="s">
        <v>163</v>
      </c>
      <c r="D109" s="64" t="s">
        <v>101</v>
      </c>
      <c r="E109" s="59" t="s">
        <v>104</v>
      </c>
      <c r="F109" s="59" t="s">
        <v>104</v>
      </c>
      <c r="G109" s="59"/>
      <c r="H109" s="59" t="s">
        <v>104</v>
      </c>
      <c r="I109" s="59" t="s">
        <v>104</v>
      </c>
      <c r="J109" s="59" t="s">
        <v>104</v>
      </c>
      <c r="K109" s="59" t="s">
        <v>104</v>
      </c>
      <c r="L109" s="72" t="s">
        <v>104</v>
      </c>
      <c r="M109" s="72" t="s">
        <v>104</v>
      </c>
      <c r="N109" s="140"/>
      <c r="O109" s="71"/>
      <c r="P109" s="71"/>
      <c r="Q109" s="72" t="s">
        <v>104</v>
      </c>
      <c r="R109" s="72"/>
      <c r="S109" s="72"/>
      <c r="T109" s="72" t="s">
        <v>104</v>
      </c>
      <c r="U109" s="100"/>
      <c r="V109" s="100"/>
    </row>
    <row r="110" spans="1:22" x14ac:dyDescent="0.25">
      <c r="A110" s="329"/>
      <c r="B110" s="332"/>
      <c r="C110" s="63" t="s">
        <v>164</v>
      </c>
      <c r="D110" s="64"/>
      <c r="E110" s="123"/>
      <c r="F110" s="59"/>
      <c r="G110" s="59">
        <f>((E110*8)+(F110*4))/12</f>
        <v>0</v>
      </c>
      <c r="H110" s="123"/>
      <c r="I110" s="123"/>
      <c r="J110" s="71">
        <f>K110</f>
        <v>25589.72</v>
      </c>
      <c r="K110" s="75">
        <v>25589.72</v>
      </c>
      <c r="L110" s="72" t="s">
        <v>104</v>
      </c>
      <c r="M110" s="72" t="s">
        <v>104</v>
      </c>
      <c r="N110" s="140">
        <f>O110</f>
        <v>0</v>
      </c>
      <c r="O110" s="146">
        <f>G110*K110</f>
        <v>0</v>
      </c>
      <c r="P110" s="146"/>
      <c r="Q110" s="72" t="s">
        <v>104</v>
      </c>
      <c r="R110" s="72"/>
      <c r="S110" s="72"/>
      <c r="T110" s="72" t="s">
        <v>104</v>
      </c>
      <c r="U110" s="100">
        <f>H110*K110</f>
        <v>0</v>
      </c>
      <c r="V110" s="100">
        <f>I110*K110</f>
        <v>0</v>
      </c>
    </row>
    <row r="111" spans="1:22" x14ac:dyDescent="0.25">
      <c r="A111" s="329"/>
      <c r="B111" s="332"/>
      <c r="C111" s="15" t="s">
        <v>169</v>
      </c>
      <c r="D111" s="64"/>
      <c r="E111" s="59">
        <v>7</v>
      </c>
      <c r="F111" s="59">
        <v>7</v>
      </c>
      <c r="G111" s="59">
        <f t="shared" ref="G111:G118" si="91">((E111*8)+(F111*4))/12</f>
        <v>7</v>
      </c>
      <c r="H111" s="59">
        <v>7</v>
      </c>
      <c r="I111" s="59">
        <v>7</v>
      </c>
      <c r="J111" s="71">
        <f>K111</f>
        <v>69362.66</v>
      </c>
      <c r="K111" s="71">
        <v>69362.66</v>
      </c>
      <c r="L111" s="72" t="s">
        <v>104</v>
      </c>
      <c r="M111" s="72" t="s">
        <v>104</v>
      </c>
      <c r="N111" s="140">
        <f>O111</f>
        <v>485538.62</v>
      </c>
      <c r="O111" s="146">
        <f t="shared" ref="O111:O117" si="92">G111*K111</f>
        <v>485538.62</v>
      </c>
      <c r="P111" s="146"/>
      <c r="Q111" s="72" t="s">
        <v>104</v>
      </c>
      <c r="R111" s="72"/>
      <c r="S111" s="72"/>
      <c r="T111" s="72" t="s">
        <v>104</v>
      </c>
      <c r="U111" s="100">
        <f>H111*K111</f>
        <v>485538.62</v>
      </c>
      <c r="V111" s="100">
        <f>I111*K111</f>
        <v>485538.62</v>
      </c>
    </row>
    <row r="112" spans="1:22" x14ac:dyDescent="0.25">
      <c r="A112" s="329"/>
      <c r="B112" s="332"/>
      <c r="C112" s="15" t="s">
        <v>165</v>
      </c>
      <c r="D112" s="64"/>
      <c r="E112" s="59">
        <v>4</v>
      </c>
      <c r="F112" s="59">
        <v>4</v>
      </c>
      <c r="G112" s="59">
        <f t="shared" si="91"/>
        <v>4</v>
      </c>
      <c r="H112" s="59">
        <v>4</v>
      </c>
      <c r="I112" s="59">
        <v>4</v>
      </c>
      <c r="J112" s="71">
        <f t="shared" ref="J112:J117" si="93">K112</f>
        <v>92468.25</v>
      </c>
      <c r="K112" s="75">
        <v>92468.25</v>
      </c>
      <c r="L112" s="72" t="s">
        <v>104</v>
      </c>
      <c r="M112" s="72" t="s">
        <v>104</v>
      </c>
      <c r="N112" s="140">
        <f t="shared" ref="N112:N117" si="94">O112</f>
        <v>369873</v>
      </c>
      <c r="O112" s="146">
        <f t="shared" si="92"/>
        <v>369873</v>
      </c>
      <c r="P112" s="146"/>
      <c r="Q112" s="72" t="s">
        <v>104</v>
      </c>
      <c r="R112" s="72"/>
      <c r="S112" s="72"/>
      <c r="T112" s="72" t="s">
        <v>104</v>
      </c>
      <c r="U112" s="100">
        <f t="shared" ref="U112:U117" si="95">H112*K112</f>
        <v>369873</v>
      </c>
      <c r="V112" s="100">
        <f t="shared" ref="V112:V117" si="96">I112*K112</f>
        <v>369873</v>
      </c>
    </row>
    <row r="113" spans="1:25" x14ac:dyDescent="0.25">
      <c r="A113" s="329"/>
      <c r="B113" s="332"/>
      <c r="C113" s="15" t="s">
        <v>166</v>
      </c>
      <c r="D113" s="64"/>
      <c r="E113" s="59">
        <v>17</v>
      </c>
      <c r="F113" s="59">
        <v>17</v>
      </c>
      <c r="G113" s="59">
        <f t="shared" si="91"/>
        <v>17</v>
      </c>
      <c r="H113" s="59">
        <v>17</v>
      </c>
      <c r="I113" s="59">
        <v>17</v>
      </c>
      <c r="J113" s="71">
        <f t="shared" si="93"/>
        <v>66361.320000000007</v>
      </c>
      <c r="K113" s="75">
        <v>66361.320000000007</v>
      </c>
      <c r="L113" s="72" t="s">
        <v>104</v>
      </c>
      <c r="M113" s="72" t="s">
        <v>104</v>
      </c>
      <c r="N113" s="140">
        <f t="shared" si="94"/>
        <v>1128142.4400000002</v>
      </c>
      <c r="O113" s="146">
        <f t="shared" si="92"/>
        <v>1128142.4400000002</v>
      </c>
      <c r="P113" s="146"/>
      <c r="Q113" s="72" t="s">
        <v>104</v>
      </c>
      <c r="R113" s="72"/>
      <c r="S113" s="72"/>
      <c r="T113" s="72" t="s">
        <v>104</v>
      </c>
      <c r="U113" s="100">
        <f t="shared" si="95"/>
        <v>1128142.4400000002</v>
      </c>
      <c r="V113" s="100">
        <f t="shared" si="96"/>
        <v>1128142.4400000002</v>
      </c>
    </row>
    <row r="114" spans="1:25" x14ac:dyDescent="0.25">
      <c r="A114" s="329"/>
      <c r="B114" s="332"/>
      <c r="C114" s="15" t="s">
        <v>167</v>
      </c>
      <c r="D114" s="64"/>
      <c r="E114" s="59">
        <v>1</v>
      </c>
      <c r="F114" s="59">
        <v>1</v>
      </c>
      <c r="G114" s="59">
        <f t="shared" si="91"/>
        <v>1</v>
      </c>
      <c r="H114" s="59">
        <v>1</v>
      </c>
      <c r="I114" s="59">
        <v>1</v>
      </c>
      <c r="J114" s="71">
        <f t="shared" si="93"/>
        <v>174890.83</v>
      </c>
      <c r="K114" s="75">
        <v>174890.83</v>
      </c>
      <c r="L114" s="72" t="s">
        <v>104</v>
      </c>
      <c r="M114" s="72" t="s">
        <v>104</v>
      </c>
      <c r="N114" s="140">
        <f t="shared" si="94"/>
        <v>174890.83</v>
      </c>
      <c r="O114" s="146">
        <f t="shared" si="92"/>
        <v>174890.83</v>
      </c>
      <c r="P114" s="146"/>
      <c r="Q114" s="72" t="s">
        <v>104</v>
      </c>
      <c r="R114" s="72"/>
      <c r="S114" s="72"/>
      <c r="T114" s="72" t="s">
        <v>104</v>
      </c>
      <c r="U114" s="100">
        <f t="shared" si="95"/>
        <v>174890.83</v>
      </c>
      <c r="V114" s="100">
        <f t="shared" si="96"/>
        <v>174890.83</v>
      </c>
    </row>
    <row r="115" spans="1:25" x14ac:dyDescent="0.25">
      <c r="A115" s="329"/>
      <c r="B115" s="332"/>
      <c r="C115" s="15" t="s">
        <v>190</v>
      </c>
      <c r="D115" s="64"/>
      <c r="E115" s="59">
        <v>1</v>
      </c>
      <c r="F115" s="59">
        <v>1</v>
      </c>
      <c r="G115" s="157">
        <f t="shared" si="91"/>
        <v>1</v>
      </c>
      <c r="H115" s="59">
        <v>1</v>
      </c>
      <c r="I115" s="59">
        <v>1</v>
      </c>
      <c r="J115" s="71">
        <f t="shared" si="93"/>
        <v>178794.98</v>
      </c>
      <c r="K115" s="75">
        <v>178794.98</v>
      </c>
      <c r="L115" s="72"/>
      <c r="M115" s="72"/>
      <c r="N115" s="145">
        <f t="shared" si="94"/>
        <v>178794.98</v>
      </c>
      <c r="O115" s="146">
        <f t="shared" si="92"/>
        <v>178794.98</v>
      </c>
      <c r="P115" s="146"/>
      <c r="Q115" s="72" t="s">
        <v>104</v>
      </c>
      <c r="R115" s="72"/>
      <c r="S115" s="72"/>
      <c r="T115" s="72" t="s">
        <v>104</v>
      </c>
      <c r="U115" s="100">
        <f t="shared" si="95"/>
        <v>178794.98</v>
      </c>
      <c r="V115" s="100">
        <f t="shared" si="96"/>
        <v>178794.98</v>
      </c>
    </row>
    <row r="116" spans="1:25" x14ac:dyDescent="0.25">
      <c r="A116" s="329"/>
      <c r="B116" s="332"/>
      <c r="C116" s="15" t="s">
        <v>170</v>
      </c>
      <c r="D116" s="64"/>
      <c r="E116" s="59">
        <v>1</v>
      </c>
      <c r="F116" s="59">
        <v>1</v>
      </c>
      <c r="G116" s="59">
        <f t="shared" si="91"/>
        <v>1</v>
      </c>
      <c r="H116" s="59">
        <v>1</v>
      </c>
      <c r="I116" s="59">
        <v>1</v>
      </c>
      <c r="J116" s="71">
        <f t="shared" si="93"/>
        <v>99648.29</v>
      </c>
      <c r="K116" s="75">
        <v>99648.29</v>
      </c>
      <c r="L116" s="72" t="s">
        <v>104</v>
      </c>
      <c r="M116" s="72" t="s">
        <v>104</v>
      </c>
      <c r="N116" s="140">
        <f t="shared" si="94"/>
        <v>99648.29</v>
      </c>
      <c r="O116" s="146">
        <f t="shared" si="92"/>
        <v>99648.29</v>
      </c>
      <c r="P116" s="146"/>
      <c r="Q116" s="72" t="s">
        <v>104</v>
      </c>
      <c r="R116" s="72"/>
      <c r="S116" s="72"/>
      <c r="T116" s="72" t="s">
        <v>104</v>
      </c>
      <c r="U116" s="100">
        <f t="shared" si="95"/>
        <v>99648.29</v>
      </c>
      <c r="V116" s="100">
        <f t="shared" si="96"/>
        <v>99648.29</v>
      </c>
    </row>
    <row r="117" spans="1:25" x14ac:dyDescent="0.25">
      <c r="A117" s="329"/>
      <c r="B117" s="332"/>
      <c r="C117" s="63" t="s">
        <v>168</v>
      </c>
      <c r="D117" s="64"/>
      <c r="E117" s="59">
        <v>1</v>
      </c>
      <c r="F117" s="59">
        <v>1</v>
      </c>
      <c r="G117" s="157">
        <f t="shared" si="91"/>
        <v>1</v>
      </c>
      <c r="H117" s="59">
        <v>1</v>
      </c>
      <c r="I117" s="59">
        <v>1</v>
      </c>
      <c r="J117" s="71">
        <f t="shared" si="93"/>
        <v>23553.439999999999</v>
      </c>
      <c r="K117" s="75">
        <v>23553.439999999999</v>
      </c>
      <c r="L117" s="72" t="s">
        <v>104</v>
      </c>
      <c r="M117" s="72" t="s">
        <v>104</v>
      </c>
      <c r="N117" s="140">
        <f t="shared" si="94"/>
        <v>23553.439999999999</v>
      </c>
      <c r="O117" s="146">
        <f t="shared" si="92"/>
        <v>23553.439999999999</v>
      </c>
      <c r="P117" s="146"/>
      <c r="Q117" s="72" t="s">
        <v>104</v>
      </c>
      <c r="R117" s="72"/>
      <c r="S117" s="72"/>
      <c r="T117" s="72" t="s">
        <v>104</v>
      </c>
      <c r="U117" s="100">
        <f t="shared" si="95"/>
        <v>23553.439999999999</v>
      </c>
      <c r="V117" s="100">
        <f t="shared" si="96"/>
        <v>23553.439999999999</v>
      </c>
    </row>
    <row r="118" spans="1:25" ht="120" x14ac:dyDescent="0.25">
      <c r="A118" s="329"/>
      <c r="B118" s="332"/>
      <c r="C118" s="61" t="s">
        <v>105</v>
      </c>
      <c r="D118" s="64" t="s">
        <v>101</v>
      </c>
      <c r="E118" s="59">
        <v>4</v>
      </c>
      <c r="F118" s="59">
        <v>4</v>
      </c>
      <c r="G118" s="59">
        <f t="shared" si="91"/>
        <v>4</v>
      </c>
      <c r="H118" s="123">
        <v>4</v>
      </c>
      <c r="I118" s="123">
        <v>4</v>
      </c>
      <c r="J118" s="75">
        <f>SUM(K118:M118)</f>
        <v>138391.77000000002</v>
      </c>
      <c r="K118" s="148">
        <f>121412.92+1351.63</f>
        <v>122764.55</v>
      </c>
      <c r="L118" s="72">
        <v>4001.99</v>
      </c>
      <c r="M118" s="163">
        <v>11625.23</v>
      </c>
      <c r="N118" s="71">
        <f>SUM(O118:T118)</f>
        <v>553567.08000000007</v>
      </c>
      <c r="O118" s="146">
        <f>G118*K118</f>
        <v>491058.2</v>
      </c>
      <c r="P118" s="146"/>
      <c r="Q118" s="71">
        <f>G118*L118</f>
        <v>16007.96</v>
      </c>
      <c r="R118" s="71"/>
      <c r="S118" s="71"/>
      <c r="T118" s="156">
        <f>G118*M118</f>
        <v>46500.92</v>
      </c>
      <c r="U118" s="100">
        <f t="shared" ref="U118:U212" si="97">H118*J118</f>
        <v>553567.08000000007</v>
      </c>
      <c r="V118" s="100">
        <f t="shared" ref="V118:V212" si="98">I118*J118</f>
        <v>553567.08000000007</v>
      </c>
    </row>
    <row r="119" spans="1:25" x14ac:dyDescent="0.25">
      <c r="A119" s="329"/>
      <c r="B119" s="333"/>
      <c r="C119" s="66" t="s">
        <v>106</v>
      </c>
      <c r="D119" s="67"/>
      <c r="E119" s="59">
        <f>E108+E118</f>
        <v>272</v>
      </c>
      <c r="F119" s="59">
        <f>F108+F118</f>
        <v>272</v>
      </c>
      <c r="G119" s="59">
        <f>G108+G118</f>
        <v>272</v>
      </c>
      <c r="H119" s="123">
        <f t="shared" ref="H119:I119" si="99">H108+H118</f>
        <v>272</v>
      </c>
      <c r="I119" s="123">
        <f t="shared" si="99"/>
        <v>272</v>
      </c>
      <c r="J119" s="71" t="s">
        <v>104</v>
      </c>
      <c r="K119" s="71" t="s">
        <v>104</v>
      </c>
      <c r="L119" s="71" t="s">
        <v>104</v>
      </c>
      <c r="M119" s="71" t="s">
        <v>104</v>
      </c>
      <c r="N119" s="71">
        <f>SUM(N108:N118)</f>
        <v>13760264.639999999</v>
      </c>
      <c r="O119" s="71">
        <f t="shared" ref="O119:T119" si="100">SUM(O108:O118)</f>
        <v>9509660.7999999989</v>
      </c>
      <c r="P119" s="71"/>
      <c r="Q119" s="71">
        <f t="shared" si="100"/>
        <v>1088541.2799999998</v>
      </c>
      <c r="R119" s="71"/>
      <c r="S119" s="71"/>
      <c r="T119" s="71">
        <f t="shared" si="100"/>
        <v>3162062.5599999996</v>
      </c>
      <c r="U119" s="75">
        <f>SUM(U108:U118)</f>
        <v>13760264.639999999</v>
      </c>
      <c r="V119" s="75">
        <f>SUM(V108:V118)</f>
        <v>13760264.639999999</v>
      </c>
    </row>
    <row r="120" spans="1:25" ht="90" x14ac:dyDescent="0.25">
      <c r="A120" s="329"/>
      <c r="B120" s="330" t="s">
        <v>107</v>
      </c>
      <c r="C120" s="61" t="s">
        <v>100</v>
      </c>
      <c r="D120" s="62" t="s">
        <v>101</v>
      </c>
      <c r="E120" s="123">
        <v>226</v>
      </c>
      <c r="F120" s="59">
        <v>226</v>
      </c>
      <c r="G120" s="59">
        <f>((E120*8)+(F120*4))/12</f>
        <v>226</v>
      </c>
      <c r="H120" s="123">
        <v>226</v>
      </c>
      <c r="I120" s="123">
        <v>226</v>
      </c>
      <c r="J120" s="107">
        <f>SUM(K120:M120)</f>
        <v>51622.92</v>
      </c>
      <c r="K120" s="147">
        <f>34346.05+1649.65</f>
        <v>35995.700000000004</v>
      </c>
      <c r="L120" s="70">
        <v>4001.99</v>
      </c>
      <c r="M120" s="163">
        <v>11625.23</v>
      </c>
      <c r="N120" s="71">
        <f>SUM(O120:T120)</f>
        <v>11666779.920000002</v>
      </c>
      <c r="O120" s="146">
        <f>G120*K120</f>
        <v>8135028.2000000011</v>
      </c>
      <c r="P120" s="146"/>
      <c r="Q120" s="73">
        <f>G120*L120</f>
        <v>904449.74</v>
      </c>
      <c r="R120" s="73"/>
      <c r="S120" s="73"/>
      <c r="T120" s="156">
        <f>G120*M120</f>
        <v>2627301.98</v>
      </c>
      <c r="U120" s="75">
        <f t="shared" si="97"/>
        <v>11666779.92</v>
      </c>
      <c r="V120" s="75">
        <f t="shared" si="98"/>
        <v>11666779.92</v>
      </c>
      <c r="Y120" s="85"/>
    </row>
    <row r="121" spans="1:25" ht="111.75" customHeight="1" x14ac:dyDescent="0.25">
      <c r="A121" s="329"/>
      <c r="B121" s="330"/>
      <c r="C121" s="63" t="s">
        <v>102</v>
      </c>
      <c r="D121" s="64" t="s">
        <v>101</v>
      </c>
      <c r="E121" s="59" t="s">
        <v>104</v>
      </c>
      <c r="F121" s="59" t="s">
        <v>104</v>
      </c>
      <c r="G121" s="59" t="s">
        <v>104</v>
      </c>
      <c r="H121" s="59" t="s">
        <v>104</v>
      </c>
      <c r="I121" s="59" t="s">
        <v>104</v>
      </c>
      <c r="J121" s="59" t="s">
        <v>104</v>
      </c>
      <c r="K121" s="59" t="s">
        <v>104</v>
      </c>
      <c r="L121" s="59" t="s">
        <v>104</v>
      </c>
      <c r="M121" s="59" t="s">
        <v>104</v>
      </c>
      <c r="N121" s="71"/>
      <c r="O121" s="71"/>
      <c r="P121" s="71"/>
      <c r="Q121" s="59" t="s">
        <v>104</v>
      </c>
      <c r="R121" s="59"/>
      <c r="S121" s="59"/>
      <c r="T121" s="59" t="s">
        <v>104</v>
      </c>
      <c r="U121" s="75"/>
      <c r="V121" s="75"/>
    </row>
    <row r="122" spans="1:25" ht="20.25" customHeight="1" x14ac:dyDescent="0.25">
      <c r="A122" s="329"/>
      <c r="B122" s="330"/>
      <c r="C122" s="63" t="s">
        <v>165</v>
      </c>
      <c r="D122" s="64" t="s">
        <v>101</v>
      </c>
      <c r="E122" s="60">
        <v>2</v>
      </c>
      <c r="F122" s="60">
        <v>2</v>
      </c>
      <c r="G122" s="59">
        <f>((E122*8)+(F122*4))/12</f>
        <v>2</v>
      </c>
      <c r="H122" s="60">
        <v>2</v>
      </c>
      <c r="I122" s="60">
        <v>2</v>
      </c>
      <c r="J122" s="71">
        <f>K122</f>
        <v>92468.25</v>
      </c>
      <c r="K122" s="75">
        <v>92468.25</v>
      </c>
      <c r="L122" s="59" t="s">
        <v>104</v>
      </c>
      <c r="M122" s="59" t="s">
        <v>104</v>
      </c>
      <c r="N122" s="71">
        <f>O122</f>
        <v>184936.5</v>
      </c>
      <c r="O122" s="146">
        <f>G122*K122</f>
        <v>184936.5</v>
      </c>
      <c r="P122" s="146"/>
      <c r="Q122" s="59" t="s">
        <v>104</v>
      </c>
      <c r="R122" s="59"/>
      <c r="S122" s="59"/>
      <c r="T122" s="59" t="s">
        <v>104</v>
      </c>
      <c r="U122" s="75">
        <f>H122*K122</f>
        <v>184936.5</v>
      </c>
      <c r="V122" s="75">
        <f>I122*K122</f>
        <v>184936.5</v>
      </c>
    </row>
    <row r="123" spans="1:25" ht="21" customHeight="1" x14ac:dyDescent="0.25">
      <c r="A123" s="329"/>
      <c r="B123" s="330"/>
      <c r="C123" s="63" t="s">
        <v>167</v>
      </c>
      <c r="D123" s="64" t="s">
        <v>101</v>
      </c>
      <c r="E123" s="60">
        <v>1</v>
      </c>
      <c r="F123" s="60">
        <v>1</v>
      </c>
      <c r="G123" s="157">
        <f t="shared" ref="G123:G125" si="101">((E123*8)+(F123*4))/12</f>
        <v>1</v>
      </c>
      <c r="H123" s="60">
        <v>1</v>
      </c>
      <c r="I123" s="60">
        <v>1</v>
      </c>
      <c r="J123" s="71">
        <f t="shared" ref="J123:J124" si="102">K123</f>
        <v>266106.15000000002</v>
      </c>
      <c r="K123" s="75">
        <v>266106.15000000002</v>
      </c>
      <c r="L123" s="59" t="s">
        <v>104</v>
      </c>
      <c r="M123" s="59" t="s">
        <v>104</v>
      </c>
      <c r="N123" s="71">
        <f t="shared" ref="N123:N124" si="103">O123</f>
        <v>266106.15000000002</v>
      </c>
      <c r="O123" s="146">
        <f t="shared" ref="O123:O124" si="104">G123*K123</f>
        <v>266106.15000000002</v>
      </c>
      <c r="P123" s="146"/>
      <c r="Q123" s="59" t="s">
        <v>104</v>
      </c>
      <c r="R123" s="59"/>
      <c r="S123" s="59"/>
      <c r="T123" s="59" t="s">
        <v>104</v>
      </c>
      <c r="U123" s="75">
        <f t="shared" ref="U123:U124" si="105">H123*K123</f>
        <v>266106.15000000002</v>
      </c>
      <c r="V123" s="75">
        <f t="shared" ref="V123:V124" si="106">I123*K123</f>
        <v>266106.15000000002</v>
      </c>
    </row>
    <row r="124" spans="1:25" ht="21" customHeight="1" x14ac:dyDescent="0.25">
      <c r="A124" s="329"/>
      <c r="B124" s="330"/>
      <c r="C124" s="63" t="s">
        <v>168</v>
      </c>
      <c r="D124" s="64" t="s">
        <v>101</v>
      </c>
      <c r="E124" s="60">
        <v>3</v>
      </c>
      <c r="F124" s="60">
        <v>3</v>
      </c>
      <c r="G124" s="59">
        <f t="shared" si="101"/>
        <v>3</v>
      </c>
      <c r="H124" s="60">
        <v>3</v>
      </c>
      <c r="I124" s="60">
        <v>3</v>
      </c>
      <c r="J124" s="71">
        <f t="shared" si="102"/>
        <v>23553.439999999999</v>
      </c>
      <c r="K124" s="75">
        <v>23553.439999999999</v>
      </c>
      <c r="L124" s="59" t="s">
        <v>104</v>
      </c>
      <c r="M124" s="59" t="s">
        <v>104</v>
      </c>
      <c r="N124" s="71">
        <f t="shared" si="103"/>
        <v>70660.319999999992</v>
      </c>
      <c r="O124" s="146">
        <f t="shared" si="104"/>
        <v>70660.319999999992</v>
      </c>
      <c r="P124" s="146"/>
      <c r="Q124" s="59" t="s">
        <v>104</v>
      </c>
      <c r="R124" s="59"/>
      <c r="S124" s="59"/>
      <c r="T124" s="59" t="s">
        <v>104</v>
      </c>
      <c r="U124" s="75">
        <f t="shared" si="105"/>
        <v>70660.319999999992</v>
      </c>
      <c r="V124" s="75">
        <f t="shared" si="106"/>
        <v>70660.319999999992</v>
      </c>
    </row>
    <row r="125" spans="1:25" ht="120" x14ac:dyDescent="0.25">
      <c r="A125" s="329"/>
      <c r="B125" s="330"/>
      <c r="C125" s="61" t="s">
        <v>105</v>
      </c>
      <c r="D125" s="64" t="s">
        <v>101</v>
      </c>
      <c r="E125" s="60"/>
      <c r="F125" s="60">
        <v>0</v>
      </c>
      <c r="G125" s="59">
        <f t="shared" si="101"/>
        <v>0</v>
      </c>
      <c r="H125" s="122"/>
      <c r="I125" s="122"/>
      <c r="J125" s="71">
        <f>K125</f>
        <v>153057.28</v>
      </c>
      <c r="K125" s="149">
        <f>151407.63+1649.65</f>
        <v>153057.28</v>
      </c>
      <c r="L125" s="70">
        <v>4001.99</v>
      </c>
      <c r="M125" s="163">
        <v>11625.23</v>
      </c>
      <c r="N125" s="71">
        <f>SUM(O125:T125)</f>
        <v>0</v>
      </c>
      <c r="O125" s="146">
        <f>G125*K125</f>
        <v>0</v>
      </c>
      <c r="P125" s="146"/>
      <c r="Q125" s="73">
        <f>G125*L125</f>
        <v>0</v>
      </c>
      <c r="R125" s="73"/>
      <c r="S125" s="73"/>
      <c r="T125" s="156">
        <f>G125*M125</f>
        <v>0</v>
      </c>
      <c r="U125" s="75">
        <f>N125</f>
        <v>0</v>
      </c>
      <c r="V125" s="75">
        <f>U125</f>
        <v>0</v>
      </c>
    </row>
    <row r="126" spans="1:25" x14ac:dyDescent="0.25">
      <c r="A126" s="329"/>
      <c r="B126" s="110"/>
      <c r="C126" s="66" t="s">
        <v>106</v>
      </c>
      <c r="D126" s="64"/>
      <c r="E126" s="60">
        <f>E120+E125</f>
        <v>226</v>
      </c>
      <c r="F126" s="60">
        <f>F120+F125</f>
        <v>226</v>
      </c>
      <c r="G126" s="60">
        <f>G120+G125</f>
        <v>226</v>
      </c>
      <c r="H126" s="122">
        <f t="shared" ref="H126:I126" si="107">H120+H125</f>
        <v>226</v>
      </c>
      <c r="I126" s="122">
        <f t="shared" si="107"/>
        <v>226</v>
      </c>
      <c r="J126" s="59" t="s">
        <v>104</v>
      </c>
      <c r="K126" s="59" t="s">
        <v>104</v>
      </c>
      <c r="L126" s="59" t="s">
        <v>104</v>
      </c>
      <c r="M126" s="59" t="s">
        <v>104</v>
      </c>
      <c r="N126" s="74">
        <f>SUM(N120:N125)</f>
        <v>12188482.890000002</v>
      </c>
      <c r="O126" s="74">
        <f t="shared" ref="O126:V126" si="108">SUM(O120:O125)</f>
        <v>8656731.1700000018</v>
      </c>
      <c r="P126" s="74"/>
      <c r="Q126" s="74">
        <f t="shared" si="108"/>
        <v>904449.74</v>
      </c>
      <c r="R126" s="74"/>
      <c r="S126" s="74"/>
      <c r="T126" s="74">
        <f t="shared" si="108"/>
        <v>2627301.98</v>
      </c>
      <c r="U126" s="74">
        <f t="shared" si="108"/>
        <v>12188482.890000001</v>
      </c>
      <c r="V126" s="74">
        <f t="shared" si="108"/>
        <v>12188482.890000001</v>
      </c>
    </row>
    <row r="127" spans="1:25" ht="90" x14ac:dyDescent="0.25">
      <c r="A127" s="329"/>
      <c r="B127" s="330" t="s">
        <v>108</v>
      </c>
      <c r="C127" s="61" t="s">
        <v>100</v>
      </c>
      <c r="D127" s="62" t="s">
        <v>101</v>
      </c>
      <c r="E127" s="122">
        <v>50</v>
      </c>
      <c r="F127" s="60">
        <v>50</v>
      </c>
      <c r="G127" s="59">
        <f>((E127*8)+(F127*4))/12</f>
        <v>50</v>
      </c>
      <c r="H127" s="122">
        <v>50</v>
      </c>
      <c r="I127" s="122">
        <v>50</v>
      </c>
      <c r="J127" s="107">
        <f>SUM(K127:M127)</f>
        <v>58731.119999999995</v>
      </c>
      <c r="K127" s="147">
        <f>41105.12+1998.78</f>
        <v>43103.9</v>
      </c>
      <c r="L127" s="70">
        <v>4001.99</v>
      </c>
      <c r="M127" s="163">
        <v>11625.23</v>
      </c>
      <c r="N127" s="73">
        <f>SUM(O127:T127)</f>
        <v>2936556</v>
      </c>
      <c r="O127" s="149">
        <f>G127*K127</f>
        <v>2155195</v>
      </c>
      <c r="P127" s="149"/>
      <c r="Q127" s="73">
        <f>G127*L127</f>
        <v>200099.5</v>
      </c>
      <c r="R127" s="73"/>
      <c r="S127" s="73"/>
      <c r="T127" s="156">
        <f>G127*M127</f>
        <v>581261.5</v>
      </c>
      <c r="U127" s="75">
        <f t="shared" si="97"/>
        <v>2936556</v>
      </c>
      <c r="V127" s="75">
        <f t="shared" si="98"/>
        <v>2936556</v>
      </c>
    </row>
    <row r="128" spans="1:25" ht="120" x14ac:dyDescent="0.25">
      <c r="A128" s="329"/>
      <c r="B128" s="330"/>
      <c r="C128" s="63" t="s">
        <v>102</v>
      </c>
      <c r="D128" s="64" t="s">
        <v>101</v>
      </c>
      <c r="E128" s="59" t="s">
        <v>104</v>
      </c>
      <c r="F128" s="59" t="s">
        <v>104</v>
      </c>
      <c r="G128" s="59" t="s">
        <v>104</v>
      </c>
      <c r="H128" s="59" t="s">
        <v>104</v>
      </c>
      <c r="I128" s="59" t="s">
        <v>104</v>
      </c>
      <c r="J128" s="59" t="s">
        <v>104</v>
      </c>
      <c r="K128" s="59" t="s">
        <v>104</v>
      </c>
      <c r="L128" s="59" t="s">
        <v>104</v>
      </c>
      <c r="M128" s="59" t="s">
        <v>104</v>
      </c>
      <c r="N128" s="71"/>
      <c r="O128" s="71"/>
      <c r="P128" s="71"/>
      <c r="Q128" s="59" t="s">
        <v>104</v>
      </c>
      <c r="R128" s="59"/>
      <c r="S128" s="59"/>
      <c r="T128" s="59" t="s">
        <v>104</v>
      </c>
      <c r="U128" s="75"/>
      <c r="V128" s="75"/>
    </row>
    <row r="129" spans="1:22" x14ac:dyDescent="0.25">
      <c r="A129" s="329"/>
      <c r="B129" s="330"/>
      <c r="C129" s="63" t="s">
        <v>168</v>
      </c>
      <c r="D129" s="64" t="s">
        <v>101</v>
      </c>
      <c r="E129" s="123"/>
      <c r="F129" s="59"/>
      <c r="G129" s="59">
        <f>((E129*8)+(F129*4))/12</f>
        <v>0</v>
      </c>
      <c r="H129" s="123"/>
      <c r="I129" s="123"/>
      <c r="J129" s="71">
        <f t="shared" ref="J129" si="109">K129</f>
        <v>23553.439999999999</v>
      </c>
      <c r="K129" s="75">
        <v>23553.439999999999</v>
      </c>
      <c r="L129" s="59" t="s">
        <v>104</v>
      </c>
      <c r="M129" s="59" t="s">
        <v>104</v>
      </c>
      <c r="N129" s="71">
        <f t="shared" ref="N129" si="110">O129</f>
        <v>0</v>
      </c>
      <c r="O129" s="146">
        <f>G129*K129</f>
        <v>0</v>
      </c>
      <c r="P129" s="146"/>
      <c r="Q129" s="59" t="s">
        <v>104</v>
      </c>
      <c r="R129" s="59"/>
      <c r="S129" s="59"/>
      <c r="T129" s="59" t="s">
        <v>104</v>
      </c>
      <c r="U129" s="75">
        <f t="shared" ref="U129" si="111">H129*K129</f>
        <v>0</v>
      </c>
      <c r="V129" s="75">
        <f t="shared" ref="V129" si="112">I129*K129</f>
        <v>0</v>
      </c>
    </row>
    <row r="130" spans="1:22" ht="120" x14ac:dyDescent="0.25">
      <c r="A130" s="329"/>
      <c r="B130" s="330"/>
      <c r="C130" s="61" t="s">
        <v>105</v>
      </c>
      <c r="D130" s="64" t="s">
        <v>101</v>
      </c>
      <c r="E130" s="60"/>
      <c r="F130" s="60"/>
      <c r="G130" s="60"/>
      <c r="H130" s="60"/>
      <c r="I130" s="60"/>
      <c r="J130" s="73"/>
      <c r="K130" s="73"/>
      <c r="L130" s="74"/>
      <c r="M130" s="73"/>
      <c r="N130" s="73"/>
      <c r="O130" s="73"/>
      <c r="P130" s="73"/>
      <c r="Q130" s="73"/>
      <c r="R130" s="73"/>
      <c r="S130" s="73"/>
      <c r="T130" s="73"/>
      <c r="U130" s="75">
        <f t="shared" si="97"/>
        <v>0</v>
      </c>
      <c r="V130" s="75">
        <f t="shared" si="98"/>
        <v>0</v>
      </c>
    </row>
    <row r="131" spans="1:22" x14ac:dyDescent="0.25">
      <c r="A131" s="329"/>
      <c r="B131" s="110"/>
      <c r="C131" s="66" t="s">
        <v>106</v>
      </c>
      <c r="D131" s="64"/>
      <c r="E131" s="60">
        <f>E127</f>
        <v>50</v>
      </c>
      <c r="F131" s="60">
        <f>F127</f>
        <v>50</v>
      </c>
      <c r="G131" s="59">
        <f t="shared" ref="G131" si="113">((E131*8)+(F131*4))/12</f>
        <v>50</v>
      </c>
      <c r="H131" s="60">
        <f>H127</f>
        <v>50</v>
      </c>
      <c r="I131" s="60">
        <f>I127</f>
        <v>50</v>
      </c>
      <c r="J131" s="73" t="s">
        <v>104</v>
      </c>
      <c r="K131" s="73" t="s">
        <v>104</v>
      </c>
      <c r="L131" s="73" t="s">
        <v>104</v>
      </c>
      <c r="M131" s="73" t="s">
        <v>104</v>
      </c>
      <c r="N131" s="74">
        <f t="shared" ref="N131:V131" si="114">SUM(N127:N130)</f>
        <v>2936556</v>
      </c>
      <c r="O131" s="74">
        <f t="shared" si="114"/>
        <v>2155195</v>
      </c>
      <c r="P131" s="74"/>
      <c r="Q131" s="74">
        <f t="shared" si="114"/>
        <v>200099.5</v>
      </c>
      <c r="R131" s="74"/>
      <c r="S131" s="74"/>
      <c r="T131" s="74">
        <f t="shared" si="114"/>
        <v>581261.5</v>
      </c>
      <c r="U131" s="74">
        <f t="shared" si="114"/>
        <v>2936556</v>
      </c>
      <c r="V131" s="74">
        <f t="shared" si="114"/>
        <v>2936556</v>
      </c>
    </row>
    <row r="132" spans="1:22" ht="105" x14ac:dyDescent="0.25">
      <c r="A132" s="329"/>
      <c r="B132" s="137" t="s">
        <v>109</v>
      </c>
      <c r="C132" s="61" t="s">
        <v>187</v>
      </c>
      <c r="D132" s="64" t="s">
        <v>101</v>
      </c>
      <c r="E132" s="122">
        <v>653</v>
      </c>
      <c r="F132" s="60">
        <v>653</v>
      </c>
      <c r="G132" s="59">
        <f>((E132*8)+(F132*4))/12</f>
        <v>653</v>
      </c>
      <c r="H132" s="122">
        <v>653</v>
      </c>
      <c r="I132" s="122">
        <v>653</v>
      </c>
      <c r="J132" s="75">
        <f>K132</f>
        <v>3978.76</v>
      </c>
      <c r="K132" s="75">
        <v>3978.76</v>
      </c>
      <c r="L132" s="73" t="s">
        <v>104</v>
      </c>
      <c r="M132" s="73" t="s">
        <v>104</v>
      </c>
      <c r="N132" s="73">
        <f>SUM(O132:T132)</f>
        <v>2598130.2800000003</v>
      </c>
      <c r="O132" s="73">
        <f>J132*G132</f>
        <v>2598130.2800000003</v>
      </c>
      <c r="P132" s="73"/>
      <c r="Q132" s="73" t="s">
        <v>104</v>
      </c>
      <c r="R132" s="73"/>
      <c r="S132" s="73"/>
      <c r="T132" s="73" t="s">
        <v>104</v>
      </c>
      <c r="U132" s="75">
        <f t="shared" si="97"/>
        <v>2598130.2800000003</v>
      </c>
      <c r="V132" s="75">
        <f t="shared" si="98"/>
        <v>2598130.2800000003</v>
      </c>
    </row>
    <row r="133" spans="1:22" x14ac:dyDescent="0.25">
      <c r="A133" s="329"/>
      <c r="B133" s="69"/>
      <c r="C133" s="66" t="s">
        <v>106</v>
      </c>
      <c r="D133" s="69"/>
      <c r="E133" s="60">
        <f>SUM(E132:E132)</f>
        <v>653</v>
      </c>
      <c r="F133" s="60">
        <f>SUM(F132:F132)</f>
        <v>653</v>
      </c>
      <c r="G133" s="59">
        <f>G132</f>
        <v>653</v>
      </c>
      <c r="H133" s="60">
        <f>SUM(H132:H132)</f>
        <v>653</v>
      </c>
      <c r="I133" s="60">
        <f>SUM(I132:I132)</f>
        <v>653</v>
      </c>
      <c r="J133" s="73" t="s">
        <v>104</v>
      </c>
      <c r="K133" s="73" t="s">
        <v>104</v>
      </c>
      <c r="L133" s="73" t="s">
        <v>104</v>
      </c>
      <c r="M133" s="74">
        <f t="shared" ref="M133:V133" si="115">SUM(M132:M132)</f>
        <v>0</v>
      </c>
      <c r="N133" s="74">
        <f t="shared" si="115"/>
        <v>2598130.2800000003</v>
      </c>
      <c r="O133" s="74">
        <f t="shared" si="115"/>
        <v>2598130.2800000003</v>
      </c>
      <c r="P133" s="74"/>
      <c r="Q133" s="74">
        <f t="shared" si="115"/>
        <v>0</v>
      </c>
      <c r="R133" s="74"/>
      <c r="S133" s="74"/>
      <c r="T133" s="74">
        <f t="shared" si="115"/>
        <v>0</v>
      </c>
      <c r="U133" s="74">
        <f t="shared" si="115"/>
        <v>2598130.2800000003</v>
      </c>
      <c r="V133" s="74">
        <f t="shared" si="115"/>
        <v>2598130.2800000003</v>
      </c>
    </row>
    <row r="134" spans="1:22" x14ac:dyDescent="0.25">
      <c r="A134" s="329"/>
      <c r="B134" s="101" t="s">
        <v>112</v>
      </c>
      <c r="C134" s="101"/>
      <c r="D134" s="69"/>
      <c r="E134" s="102"/>
      <c r="F134" s="102"/>
      <c r="G134" s="102"/>
      <c r="H134" s="102"/>
      <c r="I134" s="102"/>
      <c r="J134" s="104"/>
      <c r="K134" s="104"/>
      <c r="L134" s="103"/>
      <c r="M134" s="103"/>
      <c r="N134" s="103">
        <f>SUM(O134:T134)</f>
        <v>31483433.809999999</v>
      </c>
      <c r="O134" s="103">
        <f>O119+O126+O131+O133</f>
        <v>22919717.25</v>
      </c>
      <c r="P134" s="103"/>
      <c r="Q134" s="103">
        <f>Q119+Q126+Q131+Q133</f>
        <v>2193090.5199999996</v>
      </c>
      <c r="R134" s="103"/>
      <c r="S134" s="103"/>
      <c r="T134" s="103">
        <f>T119+T126+T131+T133</f>
        <v>6370626.0399999991</v>
      </c>
      <c r="U134" s="103">
        <f>U119+U126+U131+U133</f>
        <v>31483433.810000002</v>
      </c>
      <c r="V134" s="103">
        <f>V119+V126+V131+V133</f>
        <v>31483433.810000002</v>
      </c>
    </row>
    <row r="135" spans="1:22" ht="90" x14ac:dyDescent="0.25">
      <c r="A135" s="329" t="s">
        <v>113</v>
      </c>
      <c r="B135" s="330" t="s">
        <v>99</v>
      </c>
      <c r="C135" s="61" t="s">
        <v>100</v>
      </c>
      <c r="D135" s="62" t="s">
        <v>101</v>
      </c>
      <c r="E135" s="59">
        <v>261</v>
      </c>
      <c r="F135" s="59">
        <v>261</v>
      </c>
      <c r="G135" s="59">
        <f>((E135*8)+(F135*4))/12</f>
        <v>261</v>
      </c>
      <c r="H135" s="123">
        <v>261</v>
      </c>
      <c r="I135" s="123">
        <v>261</v>
      </c>
      <c r="J135" s="107">
        <f>SUM(K135:M135)</f>
        <v>40097.97</v>
      </c>
      <c r="K135" s="147">
        <f>23119.12+1351.63</f>
        <v>24470.75</v>
      </c>
      <c r="L135" s="70">
        <v>4001.99</v>
      </c>
      <c r="M135" s="163">
        <v>11625.23</v>
      </c>
      <c r="N135" s="71">
        <f>SUM(O135:T135)</f>
        <v>10465570.17</v>
      </c>
      <c r="O135" s="146">
        <f>G135*K135</f>
        <v>6386865.75</v>
      </c>
      <c r="P135" s="146"/>
      <c r="Q135" s="71">
        <f>G135*L135</f>
        <v>1044519.3899999999</v>
      </c>
      <c r="R135" s="71"/>
      <c r="S135" s="71"/>
      <c r="T135" s="156">
        <f>G135*M135</f>
        <v>3034185.03</v>
      </c>
      <c r="U135" s="75">
        <f t="shared" si="97"/>
        <v>10465570.17</v>
      </c>
      <c r="V135" s="75">
        <f t="shared" si="98"/>
        <v>10465570.17</v>
      </c>
    </row>
    <row r="136" spans="1:22" ht="135" x14ac:dyDescent="0.25">
      <c r="A136" s="329"/>
      <c r="B136" s="330"/>
      <c r="C136" s="63" t="s">
        <v>163</v>
      </c>
      <c r="D136" s="64" t="s">
        <v>101</v>
      </c>
      <c r="E136" s="59" t="s">
        <v>104</v>
      </c>
      <c r="F136" s="59" t="s">
        <v>104</v>
      </c>
      <c r="G136" s="59" t="s">
        <v>104</v>
      </c>
      <c r="H136" s="123" t="s">
        <v>104</v>
      </c>
      <c r="I136" s="123" t="s">
        <v>104</v>
      </c>
      <c r="J136" s="59" t="s">
        <v>104</v>
      </c>
      <c r="K136" s="59" t="s">
        <v>104</v>
      </c>
      <c r="L136" s="59" t="s">
        <v>104</v>
      </c>
      <c r="M136" s="59" t="s">
        <v>104</v>
      </c>
      <c r="N136" s="71"/>
      <c r="O136" s="71"/>
      <c r="P136" s="71"/>
      <c r="Q136" s="59" t="s">
        <v>104</v>
      </c>
      <c r="R136" s="59"/>
      <c r="S136" s="59"/>
      <c r="T136" s="59" t="s">
        <v>104</v>
      </c>
      <c r="U136" s="75"/>
      <c r="V136" s="75"/>
    </row>
    <row r="137" spans="1:22" x14ac:dyDescent="0.25">
      <c r="A137" s="329"/>
      <c r="B137" s="330"/>
      <c r="C137" s="63" t="s">
        <v>169</v>
      </c>
      <c r="D137" s="64" t="s">
        <v>101</v>
      </c>
      <c r="E137" s="59">
        <v>6</v>
      </c>
      <c r="F137" s="59">
        <v>6</v>
      </c>
      <c r="G137" s="59">
        <f>((E137*8)+(F137*4))/12</f>
        <v>6</v>
      </c>
      <c r="H137" s="59">
        <v>6</v>
      </c>
      <c r="I137" s="59">
        <v>6</v>
      </c>
      <c r="J137" s="75">
        <f t="shared" ref="J137:J141" si="116">K137</f>
        <v>69362.66</v>
      </c>
      <c r="K137" s="71">
        <v>69362.66</v>
      </c>
      <c r="L137" s="59"/>
      <c r="M137" s="59"/>
      <c r="N137" s="71">
        <f t="shared" ref="N137:N141" si="117">O137</f>
        <v>416175.96</v>
      </c>
      <c r="O137" s="146">
        <f t="shared" ref="O137:O142" si="118">G137*K137</f>
        <v>416175.96</v>
      </c>
      <c r="P137" s="146"/>
      <c r="Q137" s="59" t="s">
        <v>104</v>
      </c>
      <c r="R137" s="59"/>
      <c r="S137" s="59"/>
      <c r="T137" s="59" t="s">
        <v>104</v>
      </c>
      <c r="U137" s="75">
        <f t="shared" ref="U137:U141" si="119">H137*K137</f>
        <v>416175.96</v>
      </c>
      <c r="V137" s="75">
        <f t="shared" ref="V137:V141" si="120">I137*K137</f>
        <v>416175.96</v>
      </c>
    </row>
    <row r="138" spans="1:22" x14ac:dyDescent="0.25">
      <c r="A138" s="329"/>
      <c r="B138" s="330"/>
      <c r="C138" s="63" t="s">
        <v>166</v>
      </c>
      <c r="D138" s="64" t="s">
        <v>101</v>
      </c>
      <c r="E138" s="59">
        <v>8</v>
      </c>
      <c r="F138" s="59">
        <v>8</v>
      </c>
      <c r="G138" s="59">
        <f t="shared" ref="G138:G141" si="121">((E138*8)+(F138*4))/12</f>
        <v>8</v>
      </c>
      <c r="H138" s="59">
        <v>8</v>
      </c>
      <c r="I138" s="59">
        <v>8</v>
      </c>
      <c r="J138" s="75">
        <f t="shared" si="116"/>
        <v>66361.320000000007</v>
      </c>
      <c r="K138" s="75">
        <v>66361.320000000007</v>
      </c>
      <c r="L138" s="59" t="s">
        <v>104</v>
      </c>
      <c r="M138" s="59" t="s">
        <v>104</v>
      </c>
      <c r="N138" s="71">
        <f>O138</f>
        <v>530890.56000000006</v>
      </c>
      <c r="O138" s="146">
        <f t="shared" si="118"/>
        <v>530890.56000000006</v>
      </c>
      <c r="P138" s="146"/>
      <c r="Q138" s="59" t="s">
        <v>104</v>
      </c>
      <c r="R138" s="59"/>
      <c r="S138" s="59"/>
      <c r="T138" s="59" t="s">
        <v>104</v>
      </c>
      <c r="U138" s="75">
        <f t="shared" si="119"/>
        <v>530890.56000000006</v>
      </c>
      <c r="V138" s="75">
        <f t="shared" si="120"/>
        <v>530890.56000000006</v>
      </c>
    </row>
    <row r="139" spans="1:22" x14ac:dyDescent="0.25">
      <c r="A139" s="329"/>
      <c r="B139" s="330"/>
      <c r="C139" s="63" t="s">
        <v>167</v>
      </c>
      <c r="D139" s="64" t="s">
        <v>101</v>
      </c>
      <c r="E139" s="59">
        <v>4</v>
      </c>
      <c r="F139" s="59">
        <v>4</v>
      </c>
      <c r="G139" s="59">
        <f t="shared" si="121"/>
        <v>4</v>
      </c>
      <c r="H139" s="59">
        <v>4</v>
      </c>
      <c r="I139" s="59">
        <v>4</v>
      </c>
      <c r="J139" s="75">
        <f t="shared" si="116"/>
        <v>174890.83</v>
      </c>
      <c r="K139" s="75">
        <v>174890.83</v>
      </c>
      <c r="L139" s="59" t="s">
        <v>104</v>
      </c>
      <c r="M139" s="59" t="s">
        <v>104</v>
      </c>
      <c r="N139" s="71">
        <f t="shared" si="117"/>
        <v>699563.32</v>
      </c>
      <c r="O139" s="146">
        <f t="shared" si="118"/>
        <v>699563.32</v>
      </c>
      <c r="P139" s="146"/>
      <c r="Q139" s="59" t="s">
        <v>104</v>
      </c>
      <c r="R139" s="59"/>
      <c r="S139" s="59"/>
      <c r="T139" s="59" t="s">
        <v>104</v>
      </c>
      <c r="U139" s="75">
        <f t="shared" si="119"/>
        <v>699563.32</v>
      </c>
      <c r="V139" s="75">
        <f t="shared" si="120"/>
        <v>699563.32</v>
      </c>
    </row>
    <row r="140" spans="1:22" x14ac:dyDescent="0.25">
      <c r="A140" s="329"/>
      <c r="B140" s="330"/>
      <c r="C140" s="63" t="s">
        <v>170</v>
      </c>
      <c r="D140" s="64" t="s">
        <v>101</v>
      </c>
      <c r="E140" s="59">
        <v>1</v>
      </c>
      <c r="F140" s="59">
        <v>1</v>
      </c>
      <c r="G140" s="59">
        <f t="shared" si="121"/>
        <v>1</v>
      </c>
      <c r="H140" s="59">
        <v>1</v>
      </c>
      <c r="I140" s="59">
        <v>1</v>
      </c>
      <c r="J140" s="75">
        <f t="shared" si="116"/>
        <v>99648.29</v>
      </c>
      <c r="K140" s="75">
        <v>99648.29</v>
      </c>
      <c r="L140" s="59"/>
      <c r="M140" s="59"/>
      <c r="N140" s="71">
        <f t="shared" si="117"/>
        <v>99648.29</v>
      </c>
      <c r="O140" s="146">
        <f t="shared" si="118"/>
        <v>99648.29</v>
      </c>
      <c r="P140" s="146"/>
      <c r="Q140" s="59" t="s">
        <v>104</v>
      </c>
      <c r="R140" s="59"/>
      <c r="S140" s="59"/>
      <c r="T140" s="59" t="s">
        <v>104</v>
      </c>
      <c r="U140" s="75">
        <f t="shared" si="119"/>
        <v>99648.29</v>
      </c>
      <c r="V140" s="75">
        <f t="shared" si="120"/>
        <v>99648.29</v>
      </c>
    </row>
    <row r="141" spans="1:22" x14ac:dyDescent="0.25">
      <c r="A141" s="329"/>
      <c r="B141" s="330"/>
      <c r="C141" s="63" t="s">
        <v>168</v>
      </c>
      <c r="D141" s="64" t="s">
        <v>101</v>
      </c>
      <c r="E141" s="59">
        <v>1</v>
      </c>
      <c r="F141" s="59">
        <v>1</v>
      </c>
      <c r="G141" s="59">
        <f t="shared" si="121"/>
        <v>1</v>
      </c>
      <c r="H141" s="59">
        <v>1</v>
      </c>
      <c r="I141" s="59">
        <v>1</v>
      </c>
      <c r="J141" s="75">
        <f t="shared" si="116"/>
        <v>23553.439999999999</v>
      </c>
      <c r="K141" s="75">
        <v>23553.439999999999</v>
      </c>
      <c r="L141" s="59" t="s">
        <v>104</v>
      </c>
      <c r="M141" s="59" t="s">
        <v>104</v>
      </c>
      <c r="N141" s="71">
        <f t="shared" si="117"/>
        <v>23553.439999999999</v>
      </c>
      <c r="O141" s="146">
        <f t="shared" si="118"/>
        <v>23553.439999999999</v>
      </c>
      <c r="P141" s="146"/>
      <c r="Q141" s="59" t="s">
        <v>104</v>
      </c>
      <c r="R141" s="59"/>
      <c r="S141" s="59"/>
      <c r="T141" s="59" t="s">
        <v>104</v>
      </c>
      <c r="U141" s="75">
        <f t="shared" si="119"/>
        <v>23553.439999999999</v>
      </c>
      <c r="V141" s="75">
        <f t="shared" si="120"/>
        <v>23553.439999999999</v>
      </c>
    </row>
    <row r="142" spans="1:22" ht="120" x14ac:dyDescent="0.25">
      <c r="A142" s="329"/>
      <c r="B142" s="330"/>
      <c r="C142" s="61" t="s">
        <v>105</v>
      </c>
      <c r="D142" s="64" t="s">
        <v>101</v>
      </c>
      <c r="E142" s="59"/>
      <c r="F142" s="59"/>
      <c r="G142" s="59"/>
      <c r="H142" s="123"/>
      <c r="I142" s="123"/>
      <c r="J142" s="75">
        <f>SUM(K142:M142)</f>
        <v>138391.77000000002</v>
      </c>
      <c r="K142" s="148">
        <f>121412.92+1351.63</f>
        <v>122764.55</v>
      </c>
      <c r="L142" s="72">
        <v>4001.99</v>
      </c>
      <c r="M142" s="164">
        <v>11625.23</v>
      </c>
      <c r="N142" s="71">
        <f>SUM(O142:T142)</f>
        <v>0</v>
      </c>
      <c r="O142" s="71">
        <f t="shared" si="118"/>
        <v>0</v>
      </c>
      <c r="P142" s="71"/>
      <c r="Q142" s="71">
        <f>G142*L142</f>
        <v>0</v>
      </c>
      <c r="R142" s="71"/>
      <c r="S142" s="71"/>
      <c r="T142" s="75">
        <f>G142*M142</f>
        <v>0</v>
      </c>
      <c r="U142" s="75">
        <f t="shared" si="97"/>
        <v>0</v>
      </c>
      <c r="V142" s="75">
        <f t="shared" si="98"/>
        <v>0</v>
      </c>
    </row>
    <row r="143" spans="1:22" x14ac:dyDescent="0.25">
      <c r="A143" s="329"/>
      <c r="B143" s="330"/>
      <c r="C143" s="66" t="s">
        <v>106</v>
      </c>
      <c r="D143" s="67"/>
      <c r="E143" s="59">
        <f>E135+E142</f>
        <v>261</v>
      </c>
      <c r="F143" s="59">
        <f>F135+F142</f>
        <v>261</v>
      </c>
      <c r="G143" s="59">
        <f>G135+G142</f>
        <v>261</v>
      </c>
      <c r="H143" s="123">
        <f>H135+H142</f>
        <v>261</v>
      </c>
      <c r="I143" s="123">
        <f>I135+I142</f>
        <v>261</v>
      </c>
      <c r="J143" s="71" t="s">
        <v>104</v>
      </c>
      <c r="K143" s="71" t="s">
        <v>104</v>
      </c>
      <c r="L143" s="71" t="s">
        <v>104</v>
      </c>
      <c r="M143" s="71" t="s">
        <v>104</v>
      </c>
      <c r="N143" s="71">
        <f t="shared" ref="N143:T143" si="122">SUM(N135:N142)</f>
        <v>12235401.74</v>
      </c>
      <c r="O143" s="71">
        <f t="shared" si="122"/>
        <v>8156697.3200000003</v>
      </c>
      <c r="P143" s="71"/>
      <c r="Q143" s="71">
        <f>SUM(Q135:Q142)</f>
        <v>1044519.3899999999</v>
      </c>
      <c r="R143" s="71"/>
      <c r="S143" s="71"/>
      <c r="T143" s="71">
        <f t="shared" si="122"/>
        <v>3034185.03</v>
      </c>
      <c r="U143" s="75">
        <f>SUM(U135:U142)</f>
        <v>12235401.74</v>
      </c>
      <c r="V143" s="75">
        <f>SUM(V135:V142)</f>
        <v>12235401.74</v>
      </c>
    </row>
    <row r="144" spans="1:22" ht="90" x14ac:dyDescent="0.25">
      <c r="A144" s="329"/>
      <c r="B144" s="330" t="s">
        <v>107</v>
      </c>
      <c r="C144" s="61" t="s">
        <v>100</v>
      </c>
      <c r="D144" s="62" t="s">
        <v>101</v>
      </c>
      <c r="E144" s="59">
        <v>224</v>
      </c>
      <c r="F144" s="59">
        <v>224</v>
      </c>
      <c r="G144" s="59">
        <f t="shared" ref="G144" si="123">((E144*8)+(F144*4))/12</f>
        <v>224</v>
      </c>
      <c r="H144" s="123">
        <v>224</v>
      </c>
      <c r="I144" s="123">
        <v>224</v>
      </c>
      <c r="J144" s="107">
        <f>SUM(K144:M144)</f>
        <v>51622.92</v>
      </c>
      <c r="K144" s="147">
        <f>34346.05+1649.65</f>
        <v>35995.700000000004</v>
      </c>
      <c r="L144" s="70">
        <v>4001.99</v>
      </c>
      <c r="M144" s="164">
        <v>11625.23</v>
      </c>
      <c r="N144" s="71">
        <f>SUM(O144:T144)</f>
        <v>11563534.08</v>
      </c>
      <c r="O144" s="146">
        <f>G144*K144</f>
        <v>8063036.8000000007</v>
      </c>
      <c r="P144" s="146"/>
      <c r="Q144" s="71">
        <f>G144*L144</f>
        <v>896445.76</v>
      </c>
      <c r="R144" s="71"/>
      <c r="S144" s="71"/>
      <c r="T144" s="156">
        <f>G144*M144</f>
        <v>2604051.52</v>
      </c>
      <c r="U144" s="75">
        <f t="shared" si="97"/>
        <v>11563534.08</v>
      </c>
      <c r="V144" s="75">
        <f t="shared" si="98"/>
        <v>11563534.08</v>
      </c>
    </row>
    <row r="145" spans="1:24" ht="120" x14ac:dyDescent="0.25">
      <c r="A145" s="329"/>
      <c r="B145" s="330"/>
      <c r="C145" s="63" t="s">
        <v>102</v>
      </c>
      <c r="D145" s="64" t="s">
        <v>101</v>
      </c>
      <c r="E145" s="59" t="s">
        <v>104</v>
      </c>
      <c r="F145" s="59" t="s">
        <v>104</v>
      </c>
      <c r="G145" s="59" t="s">
        <v>104</v>
      </c>
      <c r="H145" s="123" t="s">
        <v>104</v>
      </c>
      <c r="I145" s="123" t="s">
        <v>104</v>
      </c>
      <c r="J145" s="59" t="s">
        <v>104</v>
      </c>
      <c r="K145" s="59" t="s">
        <v>191</v>
      </c>
      <c r="L145" s="59" t="s">
        <v>104</v>
      </c>
      <c r="M145" s="59" t="s">
        <v>104</v>
      </c>
      <c r="N145" s="71"/>
      <c r="O145" s="71"/>
      <c r="P145" s="71"/>
      <c r="Q145" s="59" t="s">
        <v>104</v>
      </c>
      <c r="R145" s="59"/>
      <c r="S145" s="59"/>
      <c r="T145" s="59" t="s">
        <v>104</v>
      </c>
      <c r="U145" s="75"/>
      <c r="V145" s="75"/>
    </row>
    <row r="146" spans="1:24" x14ac:dyDescent="0.25">
      <c r="A146" s="329"/>
      <c r="B146" s="330"/>
      <c r="C146" s="63" t="s">
        <v>167</v>
      </c>
      <c r="D146" s="64" t="s">
        <v>101</v>
      </c>
      <c r="E146" s="60">
        <v>1</v>
      </c>
      <c r="F146" s="60">
        <v>1</v>
      </c>
      <c r="G146" s="59">
        <f t="shared" ref="G146:G153" si="124">((E146*8)+(F146*4))/12</f>
        <v>1</v>
      </c>
      <c r="H146" s="60">
        <v>1</v>
      </c>
      <c r="I146" s="60">
        <v>1</v>
      </c>
      <c r="J146" s="75">
        <f t="shared" ref="J146:J148" si="125">K146</f>
        <v>266106.15000000002</v>
      </c>
      <c r="K146" s="75">
        <v>266106.15000000002</v>
      </c>
      <c r="L146" s="59" t="s">
        <v>104</v>
      </c>
      <c r="M146" s="59" t="s">
        <v>104</v>
      </c>
      <c r="N146" s="71">
        <f t="shared" ref="N146:N148" si="126">O146</f>
        <v>266106.15000000002</v>
      </c>
      <c r="O146" s="146">
        <f>G146*K146</f>
        <v>266106.15000000002</v>
      </c>
      <c r="P146" s="146"/>
      <c r="Q146" s="59" t="s">
        <v>104</v>
      </c>
      <c r="R146" s="59"/>
      <c r="S146" s="59"/>
      <c r="T146" s="59" t="s">
        <v>104</v>
      </c>
      <c r="U146" s="75">
        <f t="shared" ref="U146:U148" si="127">H146*K146</f>
        <v>266106.15000000002</v>
      </c>
      <c r="V146" s="75">
        <f t="shared" ref="V146:V148" si="128">I146*K146</f>
        <v>266106.15000000002</v>
      </c>
    </row>
    <row r="147" spans="1:24" x14ac:dyDescent="0.25">
      <c r="A147" s="329"/>
      <c r="B147" s="330"/>
      <c r="C147" s="63" t="s">
        <v>170</v>
      </c>
      <c r="D147" s="64" t="s">
        <v>101</v>
      </c>
      <c r="E147" s="60">
        <v>2</v>
      </c>
      <c r="F147" s="60">
        <v>2</v>
      </c>
      <c r="G147" s="59">
        <f t="shared" si="124"/>
        <v>2</v>
      </c>
      <c r="H147" s="60">
        <v>2</v>
      </c>
      <c r="I147" s="60">
        <v>2</v>
      </c>
      <c r="J147" s="75">
        <f t="shared" si="125"/>
        <v>32769.75</v>
      </c>
      <c r="K147" s="75">
        <v>32769.75</v>
      </c>
      <c r="L147" s="59" t="s">
        <v>104</v>
      </c>
      <c r="M147" s="59" t="s">
        <v>104</v>
      </c>
      <c r="N147" s="71">
        <f t="shared" si="126"/>
        <v>65539.5</v>
      </c>
      <c r="O147" s="146">
        <f t="shared" ref="O147:O148" si="129">G147*K147</f>
        <v>65539.5</v>
      </c>
      <c r="P147" s="146"/>
      <c r="Q147" s="59" t="s">
        <v>104</v>
      </c>
      <c r="R147" s="59"/>
      <c r="S147" s="59"/>
      <c r="T147" s="59" t="s">
        <v>104</v>
      </c>
      <c r="U147" s="75">
        <f t="shared" si="127"/>
        <v>65539.5</v>
      </c>
      <c r="V147" s="75">
        <f t="shared" si="128"/>
        <v>65539.5</v>
      </c>
    </row>
    <row r="148" spans="1:24" x14ac:dyDescent="0.25">
      <c r="A148" s="329"/>
      <c r="B148" s="330"/>
      <c r="C148" s="63" t="s">
        <v>168</v>
      </c>
      <c r="D148" s="64" t="s">
        <v>101</v>
      </c>
      <c r="E148" s="60">
        <v>5</v>
      </c>
      <c r="F148" s="60">
        <v>5</v>
      </c>
      <c r="G148" s="59">
        <f t="shared" si="124"/>
        <v>5</v>
      </c>
      <c r="H148" s="60">
        <v>5</v>
      </c>
      <c r="I148" s="60">
        <v>5</v>
      </c>
      <c r="J148" s="75">
        <f t="shared" si="125"/>
        <v>23553.439999999999</v>
      </c>
      <c r="K148" s="75">
        <v>23553.439999999999</v>
      </c>
      <c r="L148" s="59" t="s">
        <v>104</v>
      </c>
      <c r="M148" s="59" t="s">
        <v>104</v>
      </c>
      <c r="N148" s="71">
        <f t="shared" si="126"/>
        <v>117767.2</v>
      </c>
      <c r="O148" s="146">
        <f t="shared" si="129"/>
        <v>117767.2</v>
      </c>
      <c r="P148" s="146"/>
      <c r="Q148" s="59" t="s">
        <v>104</v>
      </c>
      <c r="R148" s="59"/>
      <c r="S148" s="59"/>
      <c r="T148" s="59" t="s">
        <v>104</v>
      </c>
      <c r="U148" s="75">
        <f t="shared" si="127"/>
        <v>117767.2</v>
      </c>
      <c r="V148" s="75">
        <f t="shared" si="128"/>
        <v>117767.2</v>
      </c>
    </row>
    <row r="149" spans="1:24" ht="120" x14ac:dyDescent="0.25">
      <c r="A149" s="329"/>
      <c r="B149" s="330"/>
      <c r="C149" s="61" t="s">
        <v>105</v>
      </c>
      <c r="D149" s="64" t="s">
        <v>101</v>
      </c>
      <c r="E149" s="60">
        <v>2</v>
      </c>
      <c r="F149" s="60">
        <v>2</v>
      </c>
      <c r="G149" s="59">
        <f t="shared" si="124"/>
        <v>2</v>
      </c>
      <c r="H149" s="122">
        <v>2</v>
      </c>
      <c r="I149" s="122">
        <v>2</v>
      </c>
      <c r="J149" s="75">
        <f>SUM(K149:M149)</f>
        <v>168684.5</v>
      </c>
      <c r="K149" s="148">
        <f>151407.63+1649.65</f>
        <v>153057.28</v>
      </c>
      <c r="L149" s="72">
        <v>4001.99</v>
      </c>
      <c r="M149" s="163">
        <v>11625.23</v>
      </c>
      <c r="N149" s="71">
        <f>SUM(O149:T149)</f>
        <v>337369</v>
      </c>
      <c r="O149" s="146">
        <f>G149*K149</f>
        <v>306114.56</v>
      </c>
      <c r="P149" s="146"/>
      <c r="Q149" s="73">
        <f>G149*L149</f>
        <v>8003.98</v>
      </c>
      <c r="R149" s="73"/>
      <c r="S149" s="73"/>
      <c r="T149" s="156">
        <f>G149*M149</f>
        <v>23250.46</v>
      </c>
      <c r="U149" s="75">
        <f t="shared" si="97"/>
        <v>337369</v>
      </c>
      <c r="V149" s="75">
        <f t="shared" si="98"/>
        <v>337369</v>
      </c>
    </row>
    <row r="150" spans="1:24" x14ac:dyDescent="0.25">
      <c r="A150" s="329"/>
      <c r="B150" s="110"/>
      <c r="C150" s="66" t="s">
        <v>106</v>
      </c>
      <c r="D150" s="64"/>
      <c r="E150" s="60">
        <f>E144+E149</f>
        <v>226</v>
      </c>
      <c r="F150" s="60">
        <f>F144+F149</f>
        <v>226</v>
      </c>
      <c r="G150" s="60">
        <f>G144+G149</f>
        <v>226</v>
      </c>
      <c r="H150" s="122">
        <f>H144+H149</f>
        <v>226</v>
      </c>
      <c r="I150" s="122">
        <f>I144+I149</f>
        <v>226</v>
      </c>
      <c r="J150" s="73" t="s">
        <v>104</v>
      </c>
      <c r="K150" s="73" t="s">
        <v>104</v>
      </c>
      <c r="L150" s="74" t="s">
        <v>104</v>
      </c>
      <c r="M150" s="74" t="s">
        <v>104</v>
      </c>
      <c r="N150" s="74">
        <f t="shared" ref="N150:V150" si="130">SUM(N144:N149)</f>
        <v>12350315.93</v>
      </c>
      <c r="O150" s="74">
        <f t="shared" si="130"/>
        <v>8818564.2100000009</v>
      </c>
      <c r="P150" s="74"/>
      <c r="Q150" s="74">
        <f t="shared" si="130"/>
        <v>904449.74</v>
      </c>
      <c r="R150" s="74"/>
      <c r="S150" s="74"/>
      <c r="T150" s="74">
        <f t="shared" si="130"/>
        <v>2627301.98</v>
      </c>
      <c r="U150" s="75">
        <f t="shared" si="130"/>
        <v>12350315.93</v>
      </c>
      <c r="V150" s="75">
        <f t="shared" si="130"/>
        <v>12350315.93</v>
      </c>
    </row>
    <row r="151" spans="1:24" ht="90" x14ac:dyDescent="0.25">
      <c r="A151" s="329"/>
      <c r="B151" s="330" t="s">
        <v>108</v>
      </c>
      <c r="C151" s="61" t="s">
        <v>100</v>
      </c>
      <c r="D151" s="62" t="s">
        <v>101</v>
      </c>
      <c r="E151" s="60">
        <v>39</v>
      </c>
      <c r="F151" s="60">
        <v>39</v>
      </c>
      <c r="G151" s="59">
        <f t="shared" si="124"/>
        <v>39</v>
      </c>
      <c r="H151" s="122">
        <v>39</v>
      </c>
      <c r="I151" s="122">
        <v>39</v>
      </c>
      <c r="J151" s="107">
        <f>SUM(K151:M151)</f>
        <v>58731.119999999995</v>
      </c>
      <c r="K151" s="147">
        <f>41105.12+1998.78</f>
        <v>43103.9</v>
      </c>
      <c r="L151" s="70">
        <v>4001.99</v>
      </c>
      <c r="M151" s="163">
        <v>11625.23</v>
      </c>
      <c r="N151" s="73">
        <f>SUM(O151:T151)</f>
        <v>2290513.6799999997</v>
      </c>
      <c r="O151" s="149">
        <f>G151*K151</f>
        <v>1681052.1</v>
      </c>
      <c r="P151" s="149"/>
      <c r="Q151" s="73">
        <f>G151*L151</f>
        <v>156077.60999999999</v>
      </c>
      <c r="R151" s="73"/>
      <c r="S151" s="73"/>
      <c r="T151" s="156">
        <f>G151*M151</f>
        <v>453383.97</v>
      </c>
      <c r="U151" s="75">
        <f t="shared" si="97"/>
        <v>2290513.6799999997</v>
      </c>
      <c r="V151" s="75">
        <f t="shared" si="98"/>
        <v>2290513.6799999997</v>
      </c>
    </row>
    <row r="152" spans="1:24" ht="120" x14ac:dyDescent="0.25">
      <c r="A152" s="329"/>
      <c r="B152" s="330"/>
      <c r="C152" s="63" t="s">
        <v>102</v>
      </c>
      <c r="D152" s="64" t="s">
        <v>101</v>
      </c>
      <c r="E152" s="59" t="s">
        <v>104</v>
      </c>
      <c r="F152" s="59" t="s">
        <v>104</v>
      </c>
      <c r="G152" s="59" t="s">
        <v>104</v>
      </c>
      <c r="H152" s="59" t="s">
        <v>104</v>
      </c>
      <c r="I152" s="59" t="s">
        <v>104</v>
      </c>
      <c r="J152" s="59" t="s">
        <v>104</v>
      </c>
      <c r="K152" s="59" t="s">
        <v>104</v>
      </c>
      <c r="L152" s="59" t="s">
        <v>104</v>
      </c>
      <c r="M152" s="59" t="s">
        <v>104</v>
      </c>
      <c r="N152" s="71"/>
      <c r="O152" s="71"/>
      <c r="P152" s="71"/>
      <c r="Q152" s="59" t="s">
        <v>104</v>
      </c>
      <c r="R152" s="59"/>
      <c r="S152" s="59"/>
      <c r="T152" s="59" t="s">
        <v>104</v>
      </c>
      <c r="U152" s="75"/>
      <c r="V152" s="75"/>
    </row>
    <row r="153" spans="1:24" x14ac:dyDescent="0.25">
      <c r="A153" s="329"/>
      <c r="B153" s="330"/>
      <c r="C153" s="63" t="s">
        <v>168</v>
      </c>
      <c r="D153" s="64" t="s">
        <v>101</v>
      </c>
      <c r="E153" s="60">
        <v>1</v>
      </c>
      <c r="F153" s="60">
        <v>1</v>
      </c>
      <c r="G153" s="59">
        <f t="shared" si="124"/>
        <v>1</v>
      </c>
      <c r="H153" s="60">
        <v>1</v>
      </c>
      <c r="I153" s="60">
        <v>1</v>
      </c>
      <c r="J153" s="75">
        <f>K153</f>
        <v>23553.439999999999</v>
      </c>
      <c r="K153" s="75">
        <v>23553.439999999999</v>
      </c>
      <c r="L153" s="59" t="s">
        <v>104</v>
      </c>
      <c r="M153" s="59" t="s">
        <v>104</v>
      </c>
      <c r="N153" s="71">
        <f>O153</f>
        <v>23553.439999999999</v>
      </c>
      <c r="O153" s="146">
        <f>G153*K153</f>
        <v>23553.439999999999</v>
      </c>
      <c r="P153" s="146"/>
      <c r="Q153" s="59" t="s">
        <v>104</v>
      </c>
      <c r="R153" s="59"/>
      <c r="S153" s="59"/>
      <c r="T153" s="59" t="s">
        <v>104</v>
      </c>
      <c r="U153" s="75">
        <f>H153*K153</f>
        <v>23553.439999999999</v>
      </c>
      <c r="V153" s="75">
        <f>I153*K153</f>
        <v>23553.439999999999</v>
      </c>
    </row>
    <row r="154" spans="1:24" ht="120" x14ac:dyDescent="0.25">
      <c r="A154" s="329"/>
      <c r="B154" s="330"/>
      <c r="C154" s="61" t="s">
        <v>105</v>
      </c>
      <c r="D154" s="64" t="s">
        <v>101</v>
      </c>
      <c r="E154" s="60">
        <v>0</v>
      </c>
      <c r="F154" s="60"/>
      <c r="G154" s="60"/>
      <c r="H154" s="122">
        <v>0</v>
      </c>
      <c r="I154" s="122">
        <v>0</v>
      </c>
      <c r="J154" s="73">
        <f>K154</f>
        <v>183401.13</v>
      </c>
      <c r="K154" s="149">
        <f>181402.35+1998.78</f>
        <v>183401.13</v>
      </c>
      <c r="L154" s="70">
        <v>4001.99</v>
      </c>
      <c r="M154" s="163">
        <v>11625.23</v>
      </c>
      <c r="N154" s="71">
        <f>SUM(O154:T154)</f>
        <v>0</v>
      </c>
      <c r="O154" s="149">
        <f>G154*K154</f>
        <v>0</v>
      </c>
      <c r="P154" s="149"/>
      <c r="Q154" s="73">
        <f>E154*L154</f>
        <v>0</v>
      </c>
      <c r="R154" s="73"/>
      <c r="S154" s="73"/>
      <c r="T154" s="75">
        <f>G154*M154</f>
        <v>0</v>
      </c>
      <c r="U154" s="75">
        <f>H154*K154</f>
        <v>0</v>
      </c>
      <c r="V154" s="75">
        <f>I154*K154</f>
        <v>0</v>
      </c>
    </row>
    <row r="155" spans="1:24" x14ac:dyDescent="0.25">
      <c r="A155" s="329"/>
      <c r="B155" s="110"/>
      <c r="C155" s="66" t="s">
        <v>106</v>
      </c>
      <c r="D155" s="64"/>
      <c r="E155" s="60">
        <f>E151+E154</f>
        <v>39</v>
      </c>
      <c r="F155" s="60">
        <f>F151+F154</f>
        <v>39</v>
      </c>
      <c r="G155" s="60">
        <f>G151+G154</f>
        <v>39</v>
      </c>
      <c r="H155" s="60">
        <f>H151+H154</f>
        <v>39</v>
      </c>
      <c r="I155" s="60">
        <f>I151+I154</f>
        <v>39</v>
      </c>
      <c r="J155" s="73" t="s">
        <v>104</v>
      </c>
      <c r="K155" s="73" t="s">
        <v>104</v>
      </c>
      <c r="L155" s="74" t="s">
        <v>104</v>
      </c>
      <c r="M155" s="74" t="s">
        <v>104</v>
      </c>
      <c r="N155" s="74">
        <f t="shared" ref="N155:T155" si="131">SUM(N151:N154)</f>
        <v>2314067.1199999996</v>
      </c>
      <c r="O155" s="74">
        <f t="shared" si="131"/>
        <v>1704605.54</v>
      </c>
      <c r="P155" s="74"/>
      <c r="Q155" s="74">
        <f t="shared" si="131"/>
        <v>156077.60999999999</v>
      </c>
      <c r="R155" s="74"/>
      <c r="S155" s="74"/>
      <c r="T155" s="74">
        <f t="shared" si="131"/>
        <v>453383.97</v>
      </c>
      <c r="U155" s="75">
        <f>SUM(U151:U154)</f>
        <v>2314067.1199999996</v>
      </c>
      <c r="V155" s="75">
        <f>SUM(V151:V154)</f>
        <v>2314067.1199999996</v>
      </c>
    </row>
    <row r="156" spans="1:24" ht="105" x14ac:dyDescent="0.25">
      <c r="A156" s="329"/>
      <c r="B156" s="137" t="s">
        <v>109</v>
      </c>
      <c r="C156" s="61" t="s">
        <v>187</v>
      </c>
      <c r="D156" s="64" t="s">
        <v>101</v>
      </c>
      <c r="E156" s="60">
        <v>776</v>
      </c>
      <c r="F156" s="60">
        <v>776</v>
      </c>
      <c r="G156" s="59">
        <f t="shared" ref="G156" si="132">((E156*8)+(F156*4))/12</f>
        <v>776</v>
      </c>
      <c r="H156" s="122">
        <v>776</v>
      </c>
      <c r="I156" s="122">
        <v>776</v>
      </c>
      <c r="J156" s="75">
        <f>K156</f>
        <v>3978.76</v>
      </c>
      <c r="K156" s="75">
        <v>3978.76</v>
      </c>
      <c r="L156" s="72" t="s">
        <v>104</v>
      </c>
      <c r="M156" s="72" t="s">
        <v>104</v>
      </c>
      <c r="N156" s="73">
        <f>SUM(O156:T156)</f>
        <v>3087517.7600000002</v>
      </c>
      <c r="O156" s="149">
        <f>K156*G156</f>
        <v>3087517.7600000002</v>
      </c>
      <c r="P156" s="149"/>
      <c r="Q156" s="73" t="s">
        <v>104</v>
      </c>
      <c r="R156" s="73"/>
      <c r="S156" s="73"/>
      <c r="T156" s="73" t="s">
        <v>104</v>
      </c>
      <c r="U156" s="75">
        <f t="shared" si="97"/>
        <v>3087517.7600000002</v>
      </c>
      <c r="V156" s="75">
        <f t="shared" si="98"/>
        <v>3087517.7600000002</v>
      </c>
    </row>
    <row r="157" spans="1:24" x14ac:dyDescent="0.25">
      <c r="A157" s="329"/>
      <c r="B157" s="69"/>
      <c r="C157" s="66" t="s">
        <v>106</v>
      </c>
      <c r="D157" s="69"/>
      <c r="E157" s="60">
        <f>SUM(E156:E156)</f>
        <v>776</v>
      </c>
      <c r="F157" s="60">
        <f>SUM(F156:F156)</f>
        <v>776</v>
      </c>
      <c r="G157" s="60">
        <f>SUM(G156:G156)</f>
        <v>776</v>
      </c>
      <c r="H157" s="60">
        <f>SUM(H156:H156)</f>
        <v>776</v>
      </c>
      <c r="I157" s="60">
        <f>SUM(I156:I156)</f>
        <v>776</v>
      </c>
      <c r="J157" s="73" t="s">
        <v>104</v>
      </c>
      <c r="K157" s="73" t="s">
        <v>104</v>
      </c>
      <c r="L157" s="74" t="s">
        <v>104</v>
      </c>
      <c r="M157" s="74">
        <f t="shared" ref="M157:V157" si="133">SUM(M156:M156)</f>
        <v>0</v>
      </c>
      <c r="N157" s="74">
        <f t="shared" si="133"/>
        <v>3087517.7600000002</v>
      </c>
      <c r="O157" s="74">
        <f t="shared" si="133"/>
        <v>3087517.7600000002</v>
      </c>
      <c r="P157" s="74"/>
      <c r="Q157" s="74">
        <f t="shared" si="133"/>
        <v>0</v>
      </c>
      <c r="R157" s="74"/>
      <c r="S157" s="74"/>
      <c r="T157" s="74">
        <f t="shared" si="133"/>
        <v>0</v>
      </c>
      <c r="U157" s="75">
        <f t="shared" si="133"/>
        <v>3087517.7600000002</v>
      </c>
      <c r="V157" s="75">
        <f t="shared" si="133"/>
        <v>3087517.7600000002</v>
      </c>
    </row>
    <row r="158" spans="1:24" x14ac:dyDescent="0.25">
      <c r="A158" s="329"/>
      <c r="B158" s="101" t="s">
        <v>112</v>
      </c>
      <c r="C158" s="101"/>
      <c r="D158" s="69"/>
      <c r="E158" s="102"/>
      <c r="F158" s="102"/>
      <c r="G158" s="102"/>
      <c r="H158" s="102"/>
      <c r="I158" s="102"/>
      <c r="J158" s="104"/>
      <c r="K158" s="104"/>
      <c r="L158" s="103"/>
      <c r="M158" s="103"/>
      <c r="N158" s="103">
        <f>SUM(O158:T158)</f>
        <v>29987302.550000001</v>
      </c>
      <c r="O158" s="138">
        <f>O143+O150+O155+O157</f>
        <v>21767384.830000002</v>
      </c>
      <c r="P158" s="138"/>
      <c r="Q158" s="103">
        <f>Q143+Q150+Q155+Q157</f>
        <v>2105046.7399999998</v>
      </c>
      <c r="R158" s="103"/>
      <c r="S158" s="103"/>
      <c r="T158" s="103">
        <f>T143+T150+T155+T157</f>
        <v>6114870.9799999995</v>
      </c>
      <c r="U158" s="103">
        <f>U143+U150+U155+U157</f>
        <v>29987302.550000004</v>
      </c>
      <c r="V158" s="103">
        <f>V143+V150+V155+V157</f>
        <v>29987302.550000004</v>
      </c>
      <c r="X158" s="85"/>
    </row>
    <row r="159" spans="1:24" ht="90" x14ac:dyDescent="0.25">
      <c r="A159" s="329" t="s">
        <v>114</v>
      </c>
      <c r="B159" s="330" t="s">
        <v>99</v>
      </c>
      <c r="C159" s="61" t="s">
        <v>100</v>
      </c>
      <c r="D159" s="62" t="s">
        <v>101</v>
      </c>
      <c r="E159" s="59">
        <v>211</v>
      </c>
      <c r="F159" s="59">
        <v>211</v>
      </c>
      <c r="G159" s="59">
        <f t="shared" ref="G159:G181" si="134">((E159*8)+(F159*4))/12</f>
        <v>211</v>
      </c>
      <c r="H159" s="59">
        <v>211</v>
      </c>
      <c r="I159" s="59">
        <v>211</v>
      </c>
      <c r="J159" s="107">
        <f>SUM(K159:M159)</f>
        <v>40097.97</v>
      </c>
      <c r="K159" s="147">
        <f>23119.12+1351.63</f>
        <v>24470.75</v>
      </c>
      <c r="L159" s="70">
        <v>4001.99</v>
      </c>
      <c r="M159" s="163">
        <v>11625.23</v>
      </c>
      <c r="N159" s="71">
        <f>SUM(O159:T159)</f>
        <v>8460671.6699999999</v>
      </c>
      <c r="O159" s="146">
        <f>G159*K159</f>
        <v>5163328.25</v>
      </c>
      <c r="P159" s="146"/>
      <c r="Q159" s="71">
        <f>G159*L159</f>
        <v>844419.8899999999</v>
      </c>
      <c r="R159" s="71"/>
      <c r="S159" s="71"/>
      <c r="T159" s="156">
        <f>G159*M159</f>
        <v>2452923.5299999998</v>
      </c>
      <c r="U159" s="75">
        <f t="shared" si="97"/>
        <v>8460671.6699999999</v>
      </c>
      <c r="V159" s="75">
        <f t="shared" si="98"/>
        <v>8460671.6699999999</v>
      </c>
    </row>
    <row r="160" spans="1:24" ht="135" x14ac:dyDescent="0.25">
      <c r="A160" s="329"/>
      <c r="B160" s="330"/>
      <c r="C160" s="63" t="s">
        <v>163</v>
      </c>
      <c r="D160" s="64" t="s">
        <v>101</v>
      </c>
      <c r="E160" s="59" t="s">
        <v>104</v>
      </c>
      <c r="F160" s="59" t="s">
        <v>104</v>
      </c>
      <c r="G160" s="59" t="s">
        <v>104</v>
      </c>
      <c r="H160" s="59" t="s">
        <v>104</v>
      </c>
      <c r="I160" s="59" t="s">
        <v>104</v>
      </c>
      <c r="J160" s="59" t="s">
        <v>104</v>
      </c>
      <c r="K160" s="59" t="s">
        <v>104</v>
      </c>
      <c r="L160" s="59" t="s">
        <v>104</v>
      </c>
      <c r="M160" s="59" t="s">
        <v>104</v>
      </c>
      <c r="N160" s="59"/>
      <c r="O160" s="59"/>
      <c r="P160" s="59"/>
      <c r="Q160" s="59" t="s">
        <v>104</v>
      </c>
      <c r="R160" s="59"/>
      <c r="S160" s="59"/>
      <c r="T160" s="59" t="s">
        <v>104</v>
      </c>
      <c r="U160" s="75"/>
      <c r="V160" s="75"/>
    </row>
    <row r="161" spans="1:22" x14ac:dyDescent="0.25">
      <c r="A161" s="329"/>
      <c r="B161" s="330"/>
      <c r="C161" s="63" t="s">
        <v>171</v>
      </c>
      <c r="D161" s="64" t="s">
        <v>101</v>
      </c>
      <c r="E161" s="59">
        <v>1</v>
      </c>
      <c r="F161" s="59">
        <v>1</v>
      </c>
      <c r="G161" s="59">
        <f t="shared" si="134"/>
        <v>1</v>
      </c>
      <c r="H161" s="59">
        <v>1</v>
      </c>
      <c r="I161" s="59">
        <v>1</v>
      </c>
      <c r="J161" s="75">
        <f t="shared" ref="J161:J165" si="135">K161</f>
        <v>69362.66</v>
      </c>
      <c r="K161" s="75">
        <v>69362.66</v>
      </c>
      <c r="L161" s="59" t="s">
        <v>104</v>
      </c>
      <c r="M161" s="59" t="s">
        <v>104</v>
      </c>
      <c r="N161" s="71">
        <f>O161</f>
        <v>69362.66</v>
      </c>
      <c r="O161" s="146">
        <f>G161*K161</f>
        <v>69362.66</v>
      </c>
      <c r="P161" s="146"/>
      <c r="Q161" s="59" t="s">
        <v>104</v>
      </c>
      <c r="R161" s="59"/>
      <c r="S161" s="59"/>
      <c r="T161" s="59" t="s">
        <v>104</v>
      </c>
      <c r="U161" s="75">
        <f>H161*K161</f>
        <v>69362.66</v>
      </c>
      <c r="V161" s="75">
        <f>I161*K161</f>
        <v>69362.66</v>
      </c>
    </row>
    <row r="162" spans="1:22" x14ac:dyDescent="0.25">
      <c r="A162" s="329"/>
      <c r="B162" s="330"/>
      <c r="C162" s="63" t="s">
        <v>164</v>
      </c>
      <c r="D162" s="64" t="s">
        <v>101</v>
      </c>
      <c r="E162" s="59">
        <v>4</v>
      </c>
      <c r="F162" s="59">
        <v>4</v>
      </c>
      <c r="G162" s="59">
        <f t="shared" si="134"/>
        <v>4</v>
      </c>
      <c r="H162" s="59">
        <v>4</v>
      </c>
      <c r="I162" s="59">
        <v>4</v>
      </c>
      <c r="J162" s="75">
        <f t="shared" si="135"/>
        <v>25589.72</v>
      </c>
      <c r="K162" s="75">
        <v>25589.72</v>
      </c>
      <c r="L162" s="59" t="s">
        <v>104</v>
      </c>
      <c r="M162" s="59" t="s">
        <v>104</v>
      </c>
      <c r="N162" s="71">
        <f>O162</f>
        <v>102358.88</v>
      </c>
      <c r="O162" s="146">
        <f t="shared" ref="O162:O166" si="136">G162*K162</f>
        <v>102358.88</v>
      </c>
      <c r="P162" s="146"/>
      <c r="Q162" s="59" t="s">
        <v>104</v>
      </c>
      <c r="R162" s="59"/>
      <c r="S162" s="59"/>
      <c r="T162" s="59" t="s">
        <v>104</v>
      </c>
      <c r="U162" s="75">
        <f>H162*K162</f>
        <v>102358.88</v>
      </c>
      <c r="V162" s="75">
        <f>I162*K162</f>
        <v>102358.88</v>
      </c>
    </row>
    <row r="163" spans="1:22" x14ac:dyDescent="0.25">
      <c r="A163" s="329"/>
      <c r="B163" s="330"/>
      <c r="C163" s="63" t="s">
        <v>169</v>
      </c>
      <c r="D163" s="64" t="s">
        <v>101</v>
      </c>
      <c r="E163" s="59">
        <v>7</v>
      </c>
      <c r="F163" s="59">
        <v>7</v>
      </c>
      <c r="G163" s="59">
        <f t="shared" si="134"/>
        <v>7</v>
      </c>
      <c r="H163" s="59">
        <v>7</v>
      </c>
      <c r="I163" s="59">
        <v>7</v>
      </c>
      <c r="J163" s="75">
        <f t="shared" si="135"/>
        <v>69362.66</v>
      </c>
      <c r="K163" s="75">
        <v>69362.66</v>
      </c>
      <c r="L163" s="59" t="s">
        <v>104</v>
      </c>
      <c r="M163" s="59" t="s">
        <v>104</v>
      </c>
      <c r="N163" s="71">
        <f t="shared" ref="N163:N165" si="137">O163</f>
        <v>485538.62</v>
      </c>
      <c r="O163" s="146">
        <f t="shared" si="136"/>
        <v>485538.62</v>
      </c>
      <c r="P163" s="146"/>
      <c r="Q163" s="59" t="s">
        <v>104</v>
      </c>
      <c r="R163" s="59"/>
      <c r="S163" s="59"/>
      <c r="T163" s="59" t="s">
        <v>104</v>
      </c>
      <c r="U163" s="75">
        <f t="shared" ref="U163:U165" si="138">H163*K163</f>
        <v>485538.62</v>
      </c>
      <c r="V163" s="75">
        <f t="shared" ref="V163:V165" si="139">I163*K163</f>
        <v>485538.62</v>
      </c>
    </row>
    <row r="164" spans="1:22" x14ac:dyDescent="0.25">
      <c r="A164" s="329"/>
      <c r="B164" s="330"/>
      <c r="C164" s="63" t="s">
        <v>166</v>
      </c>
      <c r="D164" s="64" t="s">
        <v>101</v>
      </c>
      <c r="E164" s="59">
        <v>4</v>
      </c>
      <c r="F164" s="59">
        <v>4</v>
      </c>
      <c r="G164" s="59">
        <f t="shared" si="134"/>
        <v>4</v>
      </c>
      <c r="H164" s="59">
        <v>4</v>
      </c>
      <c r="I164" s="59">
        <v>4</v>
      </c>
      <c r="J164" s="75">
        <f t="shared" si="135"/>
        <v>66361.320000000007</v>
      </c>
      <c r="K164" s="75">
        <v>66361.320000000007</v>
      </c>
      <c r="L164" s="59" t="s">
        <v>104</v>
      </c>
      <c r="M164" s="59" t="s">
        <v>104</v>
      </c>
      <c r="N164" s="71">
        <f t="shared" si="137"/>
        <v>265445.28000000003</v>
      </c>
      <c r="O164" s="146">
        <f t="shared" si="136"/>
        <v>265445.28000000003</v>
      </c>
      <c r="P164" s="146"/>
      <c r="Q164" s="59" t="s">
        <v>104</v>
      </c>
      <c r="R164" s="59"/>
      <c r="S164" s="59"/>
      <c r="T164" s="59" t="s">
        <v>104</v>
      </c>
      <c r="U164" s="75">
        <f t="shared" si="138"/>
        <v>265445.28000000003</v>
      </c>
      <c r="V164" s="75">
        <f t="shared" si="139"/>
        <v>265445.28000000003</v>
      </c>
    </row>
    <row r="165" spans="1:22" x14ac:dyDescent="0.25">
      <c r="A165" s="329"/>
      <c r="B165" s="330"/>
      <c r="C165" s="63" t="s">
        <v>168</v>
      </c>
      <c r="D165" s="64" t="s">
        <v>101</v>
      </c>
      <c r="E165" s="59">
        <v>1</v>
      </c>
      <c r="F165" s="59">
        <v>1</v>
      </c>
      <c r="G165" s="59">
        <f t="shared" si="134"/>
        <v>1</v>
      </c>
      <c r="H165" s="59">
        <v>1</v>
      </c>
      <c r="I165" s="59">
        <v>1</v>
      </c>
      <c r="J165" s="75">
        <f t="shared" si="135"/>
        <v>23553.439999999999</v>
      </c>
      <c r="K165" s="75">
        <v>23553.439999999999</v>
      </c>
      <c r="L165" s="59" t="s">
        <v>104</v>
      </c>
      <c r="M165" s="59" t="s">
        <v>104</v>
      </c>
      <c r="N165" s="71">
        <f t="shared" si="137"/>
        <v>23553.439999999999</v>
      </c>
      <c r="O165" s="146">
        <f t="shared" si="136"/>
        <v>23553.439999999999</v>
      </c>
      <c r="P165" s="146"/>
      <c r="Q165" s="59" t="s">
        <v>104</v>
      </c>
      <c r="R165" s="59"/>
      <c r="S165" s="59"/>
      <c r="T165" s="59" t="s">
        <v>104</v>
      </c>
      <c r="U165" s="75">
        <f t="shared" si="138"/>
        <v>23553.439999999999</v>
      </c>
      <c r="V165" s="75">
        <f t="shared" si="139"/>
        <v>23553.439999999999</v>
      </c>
    </row>
    <row r="166" spans="1:22" ht="120" x14ac:dyDescent="0.25">
      <c r="A166" s="329"/>
      <c r="B166" s="330"/>
      <c r="C166" s="61" t="s">
        <v>105</v>
      </c>
      <c r="D166" s="64" t="s">
        <v>101</v>
      </c>
      <c r="E166" s="59">
        <v>1</v>
      </c>
      <c r="F166" s="59">
        <v>1</v>
      </c>
      <c r="G166" s="59">
        <f t="shared" si="134"/>
        <v>1</v>
      </c>
      <c r="H166" s="59">
        <v>1</v>
      </c>
      <c r="I166" s="59">
        <v>1</v>
      </c>
      <c r="J166" s="75">
        <f>SUM(K166:M166)</f>
        <v>138391.77000000002</v>
      </c>
      <c r="K166" s="148">
        <f>121412.92+1351.63</f>
        <v>122764.55</v>
      </c>
      <c r="L166" s="72">
        <v>4001.99</v>
      </c>
      <c r="M166" s="163">
        <v>11625.23</v>
      </c>
      <c r="N166" s="71">
        <f>SUM(O166:T166)</f>
        <v>138391.77000000002</v>
      </c>
      <c r="O166" s="146">
        <f t="shared" si="136"/>
        <v>122764.55</v>
      </c>
      <c r="P166" s="146"/>
      <c r="Q166" s="71">
        <f>G166*L166</f>
        <v>4001.99</v>
      </c>
      <c r="R166" s="71"/>
      <c r="S166" s="71"/>
      <c r="T166" s="75">
        <f>G166*M166</f>
        <v>11625.23</v>
      </c>
      <c r="U166" s="75">
        <f t="shared" si="97"/>
        <v>138391.77000000002</v>
      </c>
      <c r="V166" s="75">
        <f t="shared" si="98"/>
        <v>138391.77000000002</v>
      </c>
    </row>
    <row r="167" spans="1:22" x14ac:dyDescent="0.25">
      <c r="A167" s="329"/>
      <c r="B167" s="330"/>
      <c r="C167" s="66" t="s">
        <v>106</v>
      </c>
      <c r="D167" s="67"/>
      <c r="E167" s="59">
        <f>E159+E166</f>
        <v>212</v>
      </c>
      <c r="F167" s="59">
        <f t="shared" ref="F167:I167" si="140">F159+F166</f>
        <v>212</v>
      </c>
      <c r="G167" s="59">
        <f>G159+G166</f>
        <v>212</v>
      </c>
      <c r="H167" s="59">
        <f t="shared" si="140"/>
        <v>212</v>
      </c>
      <c r="I167" s="59">
        <f t="shared" si="140"/>
        <v>212</v>
      </c>
      <c r="J167" s="71" t="s">
        <v>104</v>
      </c>
      <c r="K167" s="71" t="s">
        <v>104</v>
      </c>
      <c r="L167" s="71" t="s">
        <v>104</v>
      </c>
      <c r="M167" s="71" t="s">
        <v>104</v>
      </c>
      <c r="N167" s="71">
        <f t="shared" ref="N167:V167" si="141">SUM(N159:N166)</f>
        <v>9545322.3199999984</v>
      </c>
      <c r="O167" s="71">
        <f t="shared" si="141"/>
        <v>6232351.6800000006</v>
      </c>
      <c r="P167" s="71"/>
      <c r="Q167" s="71">
        <f t="shared" si="141"/>
        <v>848421.87999999989</v>
      </c>
      <c r="R167" s="71"/>
      <c r="S167" s="71"/>
      <c r="T167" s="71">
        <f t="shared" si="141"/>
        <v>2464548.7599999998</v>
      </c>
      <c r="U167" s="71">
        <f t="shared" si="141"/>
        <v>9545322.3199999984</v>
      </c>
      <c r="V167" s="71">
        <f t="shared" si="141"/>
        <v>9545322.3199999984</v>
      </c>
    </row>
    <row r="168" spans="1:22" ht="90" x14ac:dyDescent="0.25">
      <c r="A168" s="329"/>
      <c r="B168" s="330" t="s">
        <v>107</v>
      </c>
      <c r="C168" s="61" t="s">
        <v>100</v>
      </c>
      <c r="D168" s="62" t="s">
        <v>101</v>
      </c>
      <c r="E168" s="59">
        <v>223</v>
      </c>
      <c r="F168" s="59">
        <v>223</v>
      </c>
      <c r="G168" s="59">
        <f t="shared" si="134"/>
        <v>223</v>
      </c>
      <c r="H168" s="59">
        <v>223</v>
      </c>
      <c r="I168" s="59">
        <v>223</v>
      </c>
      <c r="J168" s="107">
        <f>SUM(K168:M168)</f>
        <v>51622.92</v>
      </c>
      <c r="K168" s="147">
        <f>34346.05+1649.65</f>
        <v>35995.700000000004</v>
      </c>
      <c r="L168" s="70">
        <v>4001.99</v>
      </c>
      <c r="M168" s="163">
        <v>11625.23</v>
      </c>
      <c r="N168" s="71">
        <f>SUM(O168:T168)</f>
        <v>11511911.16</v>
      </c>
      <c r="O168" s="146">
        <f>G168*K168</f>
        <v>8027041.1000000006</v>
      </c>
      <c r="P168" s="146"/>
      <c r="Q168" s="71">
        <f>G168*L168</f>
        <v>892443.7699999999</v>
      </c>
      <c r="R168" s="71"/>
      <c r="S168" s="71"/>
      <c r="T168" s="156">
        <f>G168*M168</f>
        <v>2592426.29</v>
      </c>
      <c r="U168" s="75">
        <f t="shared" si="97"/>
        <v>11511911.16</v>
      </c>
      <c r="V168" s="75">
        <f t="shared" si="98"/>
        <v>11511911.16</v>
      </c>
    </row>
    <row r="169" spans="1:22" ht="135" x14ac:dyDescent="0.25">
      <c r="A169" s="329"/>
      <c r="B169" s="330"/>
      <c r="C169" s="63" t="s">
        <v>163</v>
      </c>
      <c r="D169" s="64" t="s">
        <v>101</v>
      </c>
      <c r="E169" s="59" t="s">
        <v>104</v>
      </c>
      <c r="F169" s="59" t="s">
        <v>104</v>
      </c>
      <c r="G169" s="59" t="s">
        <v>104</v>
      </c>
      <c r="H169" s="59" t="s">
        <v>104</v>
      </c>
      <c r="I169" s="59" t="s">
        <v>104</v>
      </c>
      <c r="J169" s="59" t="s">
        <v>104</v>
      </c>
      <c r="K169" s="59" t="s">
        <v>104</v>
      </c>
      <c r="L169" s="59" t="s">
        <v>104</v>
      </c>
      <c r="M169" s="59" t="s">
        <v>104</v>
      </c>
      <c r="N169" s="71"/>
      <c r="O169" s="71"/>
      <c r="P169" s="71"/>
      <c r="Q169" s="59" t="s">
        <v>104</v>
      </c>
      <c r="R169" s="59"/>
      <c r="S169" s="59"/>
      <c r="T169" s="59" t="s">
        <v>104</v>
      </c>
      <c r="U169" s="75"/>
      <c r="V169" s="75"/>
    </row>
    <row r="170" spans="1:22" x14ac:dyDescent="0.25">
      <c r="A170" s="329"/>
      <c r="B170" s="330"/>
      <c r="C170" s="63" t="s">
        <v>171</v>
      </c>
      <c r="D170" s="64" t="s">
        <v>101</v>
      </c>
      <c r="E170" s="60">
        <v>1</v>
      </c>
      <c r="F170" s="60">
        <v>1</v>
      </c>
      <c r="G170" s="59">
        <f t="shared" si="134"/>
        <v>1</v>
      </c>
      <c r="H170" s="60">
        <v>1</v>
      </c>
      <c r="I170" s="60">
        <v>1</v>
      </c>
      <c r="J170" s="75">
        <f t="shared" ref="J170:J171" si="142">K170</f>
        <v>69362.66</v>
      </c>
      <c r="K170" s="75">
        <v>69362.66</v>
      </c>
      <c r="L170" s="59" t="s">
        <v>104</v>
      </c>
      <c r="M170" s="59" t="s">
        <v>104</v>
      </c>
      <c r="N170" s="71">
        <f t="shared" ref="N170:N171" si="143">O170</f>
        <v>69362.66</v>
      </c>
      <c r="O170" s="146">
        <f>G170*K170</f>
        <v>69362.66</v>
      </c>
      <c r="P170" s="146"/>
      <c r="Q170" s="59" t="s">
        <v>104</v>
      </c>
      <c r="R170" s="59"/>
      <c r="S170" s="59"/>
      <c r="T170" s="59" t="s">
        <v>104</v>
      </c>
      <c r="U170" s="75">
        <f>H170*K170</f>
        <v>69362.66</v>
      </c>
      <c r="V170" s="75">
        <f>I170*K170</f>
        <v>69362.66</v>
      </c>
    </row>
    <row r="171" spans="1:22" x14ac:dyDescent="0.25">
      <c r="A171" s="329"/>
      <c r="B171" s="330"/>
      <c r="C171" s="63" t="s">
        <v>165</v>
      </c>
      <c r="D171" s="64" t="s">
        <v>101</v>
      </c>
      <c r="E171" s="60">
        <v>1</v>
      </c>
      <c r="F171" s="60">
        <v>1</v>
      </c>
      <c r="G171" s="59">
        <f t="shared" si="134"/>
        <v>1</v>
      </c>
      <c r="H171" s="60">
        <v>1</v>
      </c>
      <c r="I171" s="60">
        <v>1</v>
      </c>
      <c r="J171" s="75">
        <f t="shared" si="142"/>
        <v>92468.25</v>
      </c>
      <c r="K171" s="75">
        <v>92468.25</v>
      </c>
      <c r="L171" s="59" t="s">
        <v>104</v>
      </c>
      <c r="M171" s="59" t="s">
        <v>104</v>
      </c>
      <c r="N171" s="71">
        <f t="shared" si="143"/>
        <v>92468.25</v>
      </c>
      <c r="O171" s="146">
        <f t="shared" ref="O171:O173" si="144">G171*K171</f>
        <v>92468.25</v>
      </c>
      <c r="P171" s="146"/>
      <c r="Q171" s="59" t="s">
        <v>104</v>
      </c>
      <c r="R171" s="59"/>
      <c r="S171" s="59"/>
      <c r="T171" s="59" t="s">
        <v>104</v>
      </c>
      <c r="U171" s="75">
        <f t="shared" ref="U171:U172" si="145">H171*K171</f>
        <v>92468.25</v>
      </c>
      <c r="V171" s="75">
        <f t="shared" ref="V171:V172" si="146">I171*K171</f>
        <v>92468.25</v>
      </c>
    </row>
    <row r="172" spans="1:22" x14ac:dyDescent="0.25">
      <c r="A172" s="329"/>
      <c r="B172" s="330"/>
      <c r="C172" s="63" t="s">
        <v>168</v>
      </c>
      <c r="D172" s="64" t="s">
        <v>101</v>
      </c>
      <c r="E172" s="60">
        <v>6</v>
      </c>
      <c r="F172" s="60">
        <v>6</v>
      </c>
      <c r="G172" s="59">
        <f t="shared" si="134"/>
        <v>6</v>
      </c>
      <c r="H172" s="60">
        <v>6</v>
      </c>
      <c r="I172" s="60">
        <v>6</v>
      </c>
      <c r="J172" s="75">
        <f>K172</f>
        <v>23553.439999999999</v>
      </c>
      <c r="K172" s="75">
        <v>23553.439999999999</v>
      </c>
      <c r="L172" s="59" t="s">
        <v>104</v>
      </c>
      <c r="M172" s="59" t="s">
        <v>104</v>
      </c>
      <c r="N172" s="71">
        <f>O172</f>
        <v>141320.63999999998</v>
      </c>
      <c r="O172" s="146">
        <f t="shared" si="144"/>
        <v>141320.63999999998</v>
      </c>
      <c r="P172" s="146"/>
      <c r="Q172" s="59" t="s">
        <v>104</v>
      </c>
      <c r="R172" s="59"/>
      <c r="S172" s="59"/>
      <c r="T172" s="59" t="s">
        <v>104</v>
      </c>
      <c r="U172" s="75">
        <f t="shared" si="145"/>
        <v>141320.63999999998</v>
      </c>
      <c r="V172" s="75">
        <f t="shared" si="146"/>
        <v>141320.63999999998</v>
      </c>
    </row>
    <row r="173" spans="1:22" ht="120" x14ac:dyDescent="0.25">
      <c r="A173" s="329"/>
      <c r="B173" s="330"/>
      <c r="C173" s="61" t="s">
        <v>105</v>
      </c>
      <c r="D173" s="64" t="s">
        <v>101</v>
      </c>
      <c r="E173" s="60">
        <v>3</v>
      </c>
      <c r="F173" s="60">
        <v>3</v>
      </c>
      <c r="G173" s="59">
        <f t="shared" si="134"/>
        <v>3</v>
      </c>
      <c r="H173" s="60">
        <v>3</v>
      </c>
      <c r="I173" s="60">
        <v>3</v>
      </c>
      <c r="J173" s="75">
        <f>SUM(K173:M173)</f>
        <v>168684.5</v>
      </c>
      <c r="K173" s="148">
        <f>151407.63+1649.65</f>
        <v>153057.28</v>
      </c>
      <c r="L173" s="72">
        <v>4001.99</v>
      </c>
      <c r="M173" s="163">
        <v>11625.23</v>
      </c>
      <c r="N173" s="73">
        <f>SUM(O173:T173)</f>
        <v>506053.49999999994</v>
      </c>
      <c r="O173" s="146">
        <f t="shared" si="144"/>
        <v>459171.83999999997</v>
      </c>
      <c r="P173" s="146"/>
      <c r="Q173" s="73">
        <f>G173*L173</f>
        <v>12005.97</v>
      </c>
      <c r="R173" s="73"/>
      <c r="S173" s="73"/>
      <c r="T173" s="156">
        <f>G173*M173</f>
        <v>34875.69</v>
      </c>
      <c r="U173" s="75">
        <f t="shared" si="97"/>
        <v>506053.5</v>
      </c>
      <c r="V173" s="75">
        <f t="shared" si="98"/>
        <v>506053.5</v>
      </c>
    </row>
    <row r="174" spans="1:22" x14ac:dyDescent="0.25">
      <c r="A174" s="329"/>
      <c r="B174" s="110"/>
      <c r="C174" s="66" t="s">
        <v>106</v>
      </c>
      <c r="D174" s="64"/>
      <c r="E174" s="60">
        <f>E168+E173</f>
        <v>226</v>
      </c>
      <c r="F174" s="60">
        <f t="shared" ref="F174:I174" si="147">F168+F173</f>
        <v>226</v>
      </c>
      <c r="G174" s="60">
        <f t="shared" si="147"/>
        <v>226</v>
      </c>
      <c r="H174" s="60">
        <f t="shared" si="147"/>
        <v>226</v>
      </c>
      <c r="I174" s="60">
        <f t="shared" si="147"/>
        <v>226</v>
      </c>
      <c r="J174" s="73" t="s">
        <v>104</v>
      </c>
      <c r="K174" s="73" t="s">
        <v>104</v>
      </c>
      <c r="L174" s="74" t="s">
        <v>104</v>
      </c>
      <c r="M174" s="74" t="s">
        <v>104</v>
      </c>
      <c r="N174" s="74">
        <f t="shared" ref="N174:V174" si="148">SUM(N168:N173)</f>
        <v>12321116.210000001</v>
      </c>
      <c r="O174" s="74">
        <f t="shared" si="148"/>
        <v>8789364.4900000002</v>
      </c>
      <c r="P174" s="74"/>
      <c r="Q174" s="74">
        <f t="shared" si="148"/>
        <v>904449.73999999987</v>
      </c>
      <c r="R174" s="74"/>
      <c r="S174" s="74"/>
      <c r="T174" s="74">
        <f t="shared" si="148"/>
        <v>2627301.98</v>
      </c>
      <c r="U174" s="74">
        <f t="shared" si="148"/>
        <v>12321116.210000001</v>
      </c>
      <c r="V174" s="74">
        <f t="shared" si="148"/>
        <v>12321116.210000001</v>
      </c>
    </row>
    <row r="175" spans="1:22" ht="90" x14ac:dyDescent="0.25">
      <c r="A175" s="329"/>
      <c r="B175" s="330" t="s">
        <v>108</v>
      </c>
      <c r="C175" s="61" t="s">
        <v>100</v>
      </c>
      <c r="D175" s="62" t="s">
        <v>101</v>
      </c>
      <c r="E175" s="60">
        <v>68</v>
      </c>
      <c r="F175" s="60">
        <v>68</v>
      </c>
      <c r="G175" s="59">
        <f t="shared" si="134"/>
        <v>68</v>
      </c>
      <c r="H175" s="60">
        <v>68</v>
      </c>
      <c r="I175" s="60">
        <v>68</v>
      </c>
      <c r="J175" s="107">
        <f>SUM(K175:M175)</f>
        <v>58731.119999999995</v>
      </c>
      <c r="K175" s="147">
        <f>41105.12+1998.78</f>
        <v>43103.9</v>
      </c>
      <c r="L175" s="70">
        <v>4001.99</v>
      </c>
      <c r="M175" s="163">
        <v>11625.23</v>
      </c>
      <c r="N175" s="73">
        <f>SUM(O175:T175)</f>
        <v>3993716.16</v>
      </c>
      <c r="O175" s="149">
        <f>G175*K175</f>
        <v>2931065.2</v>
      </c>
      <c r="P175" s="149"/>
      <c r="Q175" s="73">
        <f>G175*L175</f>
        <v>272135.32</v>
      </c>
      <c r="R175" s="73"/>
      <c r="S175" s="73"/>
      <c r="T175" s="156">
        <f>G175*M175</f>
        <v>790515.64</v>
      </c>
      <c r="U175" s="75">
        <f t="shared" si="97"/>
        <v>3993716.1599999997</v>
      </c>
      <c r="V175" s="75">
        <f t="shared" si="98"/>
        <v>3993716.1599999997</v>
      </c>
    </row>
    <row r="176" spans="1:22" ht="135" x14ac:dyDescent="0.25">
      <c r="A176" s="329"/>
      <c r="B176" s="330"/>
      <c r="C176" s="63" t="s">
        <v>163</v>
      </c>
      <c r="D176" s="64" t="s">
        <v>101</v>
      </c>
      <c r="E176" s="59" t="s">
        <v>104</v>
      </c>
      <c r="F176" s="59" t="s">
        <v>104</v>
      </c>
      <c r="G176" s="59" t="s">
        <v>104</v>
      </c>
      <c r="H176" s="59" t="s">
        <v>104</v>
      </c>
      <c r="I176" s="59" t="s">
        <v>104</v>
      </c>
      <c r="J176" s="59" t="s">
        <v>104</v>
      </c>
      <c r="K176" s="59" t="s">
        <v>104</v>
      </c>
      <c r="L176" s="59" t="s">
        <v>104</v>
      </c>
      <c r="M176" s="59" t="s">
        <v>104</v>
      </c>
      <c r="N176" s="71"/>
      <c r="O176" s="71"/>
      <c r="P176" s="71"/>
      <c r="Q176" s="59" t="s">
        <v>104</v>
      </c>
      <c r="R176" s="59"/>
      <c r="S176" s="59"/>
      <c r="T176" s="59" t="s">
        <v>104</v>
      </c>
      <c r="U176" s="75"/>
      <c r="V176" s="75"/>
    </row>
    <row r="177" spans="1:22" x14ac:dyDescent="0.25">
      <c r="A177" s="329"/>
      <c r="B177" s="330"/>
      <c r="C177" s="63" t="s">
        <v>165</v>
      </c>
      <c r="D177" s="64" t="s">
        <v>101</v>
      </c>
      <c r="E177" s="60"/>
      <c r="F177" s="60"/>
      <c r="G177" s="59">
        <f t="shared" si="134"/>
        <v>0</v>
      </c>
      <c r="H177" s="60"/>
      <c r="I177" s="60"/>
      <c r="J177" s="75">
        <f>K177</f>
        <v>92468.25</v>
      </c>
      <c r="K177" s="75">
        <v>92468.25</v>
      </c>
      <c r="L177" s="59" t="s">
        <v>104</v>
      </c>
      <c r="M177" s="59" t="s">
        <v>104</v>
      </c>
      <c r="N177" s="71">
        <f>O177</f>
        <v>0</v>
      </c>
      <c r="O177" s="146">
        <f>G177*K177</f>
        <v>0</v>
      </c>
      <c r="P177" s="146"/>
      <c r="Q177" s="59" t="s">
        <v>104</v>
      </c>
      <c r="R177" s="59"/>
      <c r="S177" s="59"/>
      <c r="T177" s="59" t="s">
        <v>104</v>
      </c>
      <c r="U177" s="75">
        <f>H177*K177</f>
        <v>0</v>
      </c>
      <c r="V177" s="75">
        <f>I177*K177</f>
        <v>0</v>
      </c>
    </row>
    <row r="178" spans="1:22" x14ac:dyDescent="0.25">
      <c r="A178" s="329"/>
      <c r="B178" s="330"/>
      <c r="C178" s="63" t="s">
        <v>168</v>
      </c>
      <c r="D178" s="64" t="s">
        <v>101</v>
      </c>
      <c r="E178" s="60"/>
      <c r="F178" s="60"/>
      <c r="G178" s="59">
        <f t="shared" si="134"/>
        <v>0</v>
      </c>
      <c r="H178" s="60"/>
      <c r="I178" s="60"/>
      <c r="J178" s="75">
        <f>K178</f>
        <v>23553.439999999999</v>
      </c>
      <c r="K178" s="75">
        <v>23553.439999999999</v>
      </c>
      <c r="L178" s="59" t="s">
        <v>104</v>
      </c>
      <c r="M178" s="59" t="s">
        <v>104</v>
      </c>
      <c r="N178" s="71">
        <f>O178</f>
        <v>0</v>
      </c>
      <c r="O178" s="146">
        <f>G178*K178</f>
        <v>0</v>
      </c>
      <c r="P178" s="146"/>
      <c r="Q178" s="59" t="s">
        <v>104</v>
      </c>
      <c r="R178" s="59"/>
      <c r="S178" s="59"/>
      <c r="T178" s="59" t="s">
        <v>104</v>
      </c>
      <c r="U178" s="75">
        <f>H178*K178</f>
        <v>0</v>
      </c>
      <c r="V178" s="75">
        <f>I178*K178</f>
        <v>0</v>
      </c>
    </row>
    <row r="179" spans="1:22" ht="120" x14ac:dyDescent="0.25">
      <c r="A179" s="329"/>
      <c r="B179" s="330"/>
      <c r="C179" s="61" t="s">
        <v>105</v>
      </c>
      <c r="D179" s="64" t="s">
        <v>101</v>
      </c>
      <c r="E179" s="60"/>
      <c r="F179" s="60"/>
      <c r="G179" s="59">
        <f t="shared" si="134"/>
        <v>0</v>
      </c>
      <c r="H179" s="60"/>
      <c r="I179" s="60"/>
      <c r="J179" s="75">
        <f>SUM(K179:M179)</f>
        <v>199028.35</v>
      </c>
      <c r="K179" s="148">
        <f>181402.35+1998.78</f>
        <v>183401.13</v>
      </c>
      <c r="L179" s="72">
        <v>4001.99</v>
      </c>
      <c r="M179" s="163">
        <v>11625.23</v>
      </c>
      <c r="N179" s="73"/>
      <c r="O179" s="146">
        <f>G179*K179</f>
        <v>0</v>
      </c>
      <c r="P179" s="146"/>
      <c r="Q179" s="73"/>
      <c r="R179" s="73"/>
      <c r="S179" s="73"/>
      <c r="T179" s="73"/>
      <c r="U179" s="75">
        <f t="shared" si="97"/>
        <v>0</v>
      </c>
      <c r="V179" s="75">
        <f t="shared" si="98"/>
        <v>0</v>
      </c>
    </row>
    <row r="180" spans="1:22" x14ac:dyDescent="0.25">
      <c r="A180" s="329"/>
      <c r="B180" s="110"/>
      <c r="C180" s="66" t="s">
        <v>106</v>
      </c>
      <c r="D180" s="64"/>
      <c r="E180" s="60">
        <f>E175+E179</f>
        <v>68</v>
      </c>
      <c r="F180" s="60">
        <f t="shared" ref="F180:I180" si="149">F175+F179</f>
        <v>68</v>
      </c>
      <c r="G180" s="60">
        <f t="shared" si="149"/>
        <v>68</v>
      </c>
      <c r="H180" s="60">
        <f t="shared" si="149"/>
        <v>68</v>
      </c>
      <c r="I180" s="60">
        <f t="shared" si="149"/>
        <v>68</v>
      </c>
      <c r="J180" s="73" t="s">
        <v>104</v>
      </c>
      <c r="K180" s="73" t="s">
        <v>104</v>
      </c>
      <c r="L180" s="74" t="s">
        <v>104</v>
      </c>
      <c r="M180" s="74" t="s">
        <v>104</v>
      </c>
      <c r="N180" s="74">
        <f t="shared" ref="N180:V180" si="150">SUM(N175:N179)</f>
        <v>3993716.16</v>
      </c>
      <c r="O180" s="74">
        <f t="shared" si="150"/>
        <v>2931065.2</v>
      </c>
      <c r="P180" s="74"/>
      <c r="Q180" s="74">
        <f t="shared" si="150"/>
        <v>272135.32</v>
      </c>
      <c r="R180" s="74"/>
      <c r="S180" s="74"/>
      <c r="T180" s="74">
        <f t="shared" si="150"/>
        <v>790515.64</v>
      </c>
      <c r="U180" s="74">
        <f t="shared" si="150"/>
        <v>3993716.1599999997</v>
      </c>
      <c r="V180" s="74">
        <f t="shared" si="150"/>
        <v>3993716.1599999997</v>
      </c>
    </row>
    <row r="181" spans="1:22" ht="105" x14ac:dyDescent="0.25">
      <c r="A181" s="329"/>
      <c r="B181" s="165" t="s">
        <v>109</v>
      </c>
      <c r="C181" s="166" t="s">
        <v>187</v>
      </c>
      <c r="D181" s="167" t="s">
        <v>101</v>
      </c>
      <c r="E181" s="168">
        <v>426</v>
      </c>
      <c r="F181" s="168">
        <v>426</v>
      </c>
      <c r="G181" s="169">
        <f t="shared" si="134"/>
        <v>426</v>
      </c>
      <c r="H181" s="168">
        <v>426</v>
      </c>
      <c r="I181" s="168">
        <v>426</v>
      </c>
      <c r="J181" s="75">
        <f>K181</f>
        <v>3978.76</v>
      </c>
      <c r="K181" s="75">
        <v>3978.76</v>
      </c>
      <c r="L181" s="72" t="s">
        <v>104</v>
      </c>
      <c r="M181" s="72" t="s">
        <v>104</v>
      </c>
      <c r="N181" s="73">
        <f>SUM(O181:T181)</f>
        <v>1694951.76</v>
      </c>
      <c r="O181" s="149">
        <f>K181*G181</f>
        <v>1694951.76</v>
      </c>
      <c r="P181" s="149"/>
      <c r="Q181" s="73" t="s">
        <v>104</v>
      </c>
      <c r="R181" s="73"/>
      <c r="S181" s="73"/>
      <c r="T181" s="73" t="s">
        <v>104</v>
      </c>
      <c r="U181" s="75">
        <f t="shared" si="97"/>
        <v>1694951.76</v>
      </c>
      <c r="V181" s="75">
        <f t="shared" si="98"/>
        <v>1694951.76</v>
      </c>
    </row>
    <row r="182" spans="1:22" x14ac:dyDescent="0.25">
      <c r="A182" s="329"/>
      <c r="B182" s="69"/>
      <c r="C182" s="66" t="s">
        <v>106</v>
      </c>
      <c r="D182" s="69"/>
      <c r="E182" s="60">
        <f>SUM(E181:E181)</f>
        <v>426</v>
      </c>
      <c r="F182" s="60">
        <f>SUM(F181:F181)</f>
        <v>426</v>
      </c>
      <c r="G182" s="60">
        <f>SUM(G181:G181)</f>
        <v>426</v>
      </c>
      <c r="H182" s="60">
        <f>SUM(H181:H181)</f>
        <v>426</v>
      </c>
      <c r="I182" s="60">
        <f>SUM(I181:I181)</f>
        <v>426</v>
      </c>
      <c r="J182" s="73" t="s">
        <v>104</v>
      </c>
      <c r="K182" s="73" t="s">
        <v>104</v>
      </c>
      <c r="L182" s="74" t="s">
        <v>104</v>
      </c>
      <c r="M182" s="74">
        <f t="shared" ref="M182:V182" si="151">SUM(M181:M181)</f>
        <v>0</v>
      </c>
      <c r="N182" s="74">
        <f t="shared" si="151"/>
        <v>1694951.76</v>
      </c>
      <c r="O182" s="74">
        <f t="shared" si="151"/>
        <v>1694951.76</v>
      </c>
      <c r="P182" s="74"/>
      <c r="Q182" s="74">
        <f t="shared" si="151"/>
        <v>0</v>
      </c>
      <c r="R182" s="74"/>
      <c r="S182" s="74"/>
      <c r="T182" s="74">
        <f t="shared" si="151"/>
        <v>0</v>
      </c>
      <c r="U182" s="75">
        <f t="shared" si="151"/>
        <v>1694951.76</v>
      </c>
      <c r="V182" s="75">
        <f t="shared" si="151"/>
        <v>1694951.76</v>
      </c>
    </row>
    <row r="183" spans="1:22" x14ac:dyDescent="0.25">
      <c r="A183" s="329"/>
      <c r="B183" s="101" t="s">
        <v>112</v>
      </c>
      <c r="C183" s="101"/>
      <c r="D183" s="69"/>
      <c r="E183" s="102"/>
      <c r="F183" s="102"/>
      <c r="G183" s="102"/>
      <c r="H183" s="102"/>
      <c r="I183" s="102"/>
      <c r="J183" s="104"/>
      <c r="K183" s="104"/>
      <c r="L183" s="103"/>
      <c r="M183" s="103"/>
      <c r="N183" s="103">
        <f>SUM(O183:T183)</f>
        <v>27555106.450000003</v>
      </c>
      <c r="O183" s="103">
        <f>O167+O174+O180+O182</f>
        <v>19647733.130000003</v>
      </c>
      <c r="P183" s="103"/>
      <c r="Q183" s="103">
        <f>Q167+Q174+Q180+Q182</f>
        <v>2025006.9399999997</v>
      </c>
      <c r="R183" s="103"/>
      <c r="S183" s="103"/>
      <c r="T183" s="103">
        <f>T167+T174+T180+T182</f>
        <v>5882366.3799999999</v>
      </c>
      <c r="U183" s="103">
        <f>U167+U174+U180+U182</f>
        <v>27555106.450000003</v>
      </c>
      <c r="V183" s="103">
        <f>V167+V174+V180+V182</f>
        <v>27555106.450000003</v>
      </c>
    </row>
    <row r="184" spans="1:22" ht="90" x14ac:dyDescent="0.25">
      <c r="A184" s="329" t="s">
        <v>115</v>
      </c>
      <c r="B184" s="330" t="s">
        <v>99</v>
      </c>
      <c r="C184" s="61" t="s">
        <v>100</v>
      </c>
      <c r="D184" s="62" t="s">
        <v>101</v>
      </c>
      <c r="E184" s="59">
        <v>207</v>
      </c>
      <c r="F184" s="59">
        <v>207</v>
      </c>
      <c r="G184" s="59">
        <f t="shared" ref="G184:G206" si="152">((E184*8)+(F184*4))/12</f>
        <v>207</v>
      </c>
      <c r="H184" s="59">
        <v>207</v>
      </c>
      <c r="I184" s="59">
        <v>207</v>
      </c>
      <c r="J184" s="107">
        <f>SUM(K184:M184)</f>
        <v>40097.97</v>
      </c>
      <c r="K184" s="147">
        <f>23119.12+1351.63</f>
        <v>24470.75</v>
      </c>
      <c r="L184" s="70">
        <v>4001.99</v>
      </c>
      <c r="M184" s="163">
        <v>11625.23</v>
      </c>
      <c r="N184" s="71">
        <f>SUM(O184:T184)</f>
        <v>8300279.7899999991</v>
      </c>
      <c r="O184" s="146">
        <f>G184*K184</f>
        <v>5065445.25</v>
      </c>
      <c r="P184" s="146"/>
      <c r="Q184" s="71">
        <f>G184*L184</f>
        <v>828411.92999999993</v>
      </c>
      <c r="R184" s="71"/>
      <c r="S184" s="71"/>
      <c r="T184" s="156">
        <f>G184*M184</f>
        <v>2406422.61</v>
      </c>
      <c r="U184" s="75">
        <f t="shared" si="97"/>
        <v>8300279.79</v>
      </c>
      <c r="V184" s="75">
        <f t="shared" si="98"/>
        <v>8300279.79</v>
      </c>
    </row>
    <row r="185" spans="1:22" ht="135" x14ac:dyDescent="0.25">
      <c r="A185" s="329"/>
      <c r="B185" s="330"/>
      <c r="C185" s="63" t="s">
        <v>163</v>
      </c>
      <c r="D185" s="64" t="s">
        <v>101</v>
      </c>
      <c r="E185" s="59" t="s">
        <v>104</v>
      </c>
      <c r="F185" s="59" t="s">
        <v>104</v>
      </c>
      <c r="G185" s="59" t="s">
        <v>104</v>
      </c>
      <c r="H185" s="59" t="s">
        <v>104</v>
      </c>
      <c r="I185" s="59" t="s">
        <v>104</v>
      </c>
      <c r="J185" s="59" t="s">
        <v>104</v>
      </c>
      <c r="K185" s="59" t="s">
        <v>104</v>
      </c>
      <c r="L185" s="59" t="s">
        <v>104</v>
      </c>
      <c r="M185" s="59" t="s">
        <v>104</v>
      </c>
      <c r="N185" s="71"/>
      <c r="O185" s="71"/>
      <c r="P185" s="71"/>
      <c r="Q185" s="59" t="s">
        <v>104</v>
      </c>
      <c r="R185" s="59"/>
      <c r="S185" s="59"/>
      <c r="T185" s="59" t="s">
        <v>104</v>
      </c>
      <c r="U185" s="75"/>
      <c r="V185" s="75"/>
    </row>
    <row r="186" spans="1:22" x14ac:dyDescent="0.25">
      <c r="A186" s="329"/>
      <c r="B186" s="330"/>
      <c r="C186" s="63" t="s">
        <v>164</v>
      </c>
      <c r="D186" s="64" t="s">
        <v>101</v>
      </c>
      <c r="E186" s="59">
        <v>1</v>
      </c>
      <c r="F186" s="59">
        <v>1</v>
      </c>
      <c r="G186" s="59">
        <f t="shared" si="152"/>
        <v>1</v>
      </c>
      <c r="H186" s="59">
        <v>1</v>
      </c>
      <c r="I186" s="59">
        <v>1</v>
      </c>
      <c r="J186" s="75">
        <f>K186</f>
        <v>25589.72</v>
      </c>
      <c r="K186" s="71">
        <v>25589.72</v>
      </c>
      <c r="L186" s="59" t="s">
        <v>104</v>
      </c>
      <c r="M186" s="59" t="s">
        <v>104</v>
      </c>
      <c r="N186" s="71">
        <f t="shared" ref="N186:N188" si="153">O186</f>
        <v>25589.72</v>
      </c>
      <c r="O186" s="146">
        <f>G186*K186</f>
        <v>25589.72</v>
      </c>
      <c r="P186" s="146"/>
      <c r="Q186" s="59" t="s">
        <v>104</v>
      </c>
      <c r="R186" s="59"/>
      <c r="S186" s="59"/>
      <c r="T186" s="59" t="s">
        <v>104</v>
      </c>
      <c r="U186" s="75">
        <f t="shared" ref="U186:U188" si="154">H186*K186</f>
        <v>25589.72</v>
      </c>
      <c r="V186" s="75">
        <f t="shared" ref="V186:V188" si="155">I186*K186</f>
        <v>25589.72</v>
      </c>
    </row>
    <row r="187" spans="1:22" x14ac:dyDescent="0.25">
      <c r="A187" s="329"/>
      <c r="B187" s="330"/>
      <c r="C187" s="63" t="s">
        <v>169</v>
      </c>
      <c r="D187" s="64" t="s">
        <v>101</v>
      </c>
      <c r="E187" s="59">
        <v>10</v>
      </c>
      <c r="F187" s="59">
        <v>10</v>
      </c>
      <c r="G187" s="59">
        <f t="shared" si="152"/>
        <v>10</v>
      </c>
      <c r="H187" s="59">
        <v>10</v>
      </c>
      <c r="I187" s="59">
        <v>10</v>
      </c>
      <c r="J187" s="75">
        <f>K187</f>
        <v>69362.66</v>
      </c>
      <c r="K187" s="71">
        <v>69362.66</v>
      </c>
      <c r="L187" s="59" t="s">
        <v>104</v>
      </c>
      <c r="M187" s="59" t="s">
        <v>104</v>
      </c>
      <c r="N187" s="71">
        <f t="shared" si="153"/>
        <v>693626.60000000009</v>
      </c>
      <c r="O187" s="146">
        <f t="shared" ref="O187:O192" si="156">G187*K187</f>
        <v>693626.60000000009</v>
      </c>
      <c r="P187" s="146"/>
      <c r="Q187" s="59" t="s">
        <v>104</v>
      </c>
      <c r="R187" s="59"/>
      <c r="S187" s="59"/>
      <c r="T187" s="59" t="s">
        <v>104</v>
      </c>
      <c r="U187" s="75">
        <f t="shared" si="154"/>
        <v>693626.60000000009</v>
      </c>
      <c r="V187" s="75">
        <f t="shared" si="155"/>
        <v>693626.60000000009</v>
      </c>
    </row>
    <row r="188" spans="1:22" x14ac:dyDescent="0.25">
      <c r="A188" s="329"/>
      <c r="B188" s="330"/>
      <c r="C188" s="63" t="s">
        <v>165</v>
      </c>
      <c r="D188" s="64" t="s">
        <v>101</v>
      </c>
      <c r="E188" s="59">
        <v>1</v>
      </c>
      <c r="F188" s="59">
        <v>1</v>
      </c>
      <c r="G188" s="59">
        <f t="shared" si="152"/>
        <v>1</v>
      </c>
      <c r="H188" s="59">
        <v>1</v>
      </c>
      <c r="I188" s="59">
        <v>1</v>
      </c>
      <c r="J188" s="75">
        <f>K188</f>
        <v>92468.25</v>
      </c>
      <c r="K188" s="71">
        <v>92468.25</v>
      </c>
      <c r="L188" s="59" t="s">
        <v>104</v>
      </c>
      <c r="M188" s="59" t="s">
        <v>104</v>
      </c>
      <c r="N188" s="71">
        <f t="shared" si="153"/>
        <v>92468.25</v>
      </c>
      <c r="O188" s="146">
        <f t="shared" si="156"/>
        <v>92468.25</v>
      </c>
      <c r="P188" s="146"/>
      <c r="Q188" s="59" t="s">
        <v>104</v>
      </c>
      <c r="R188" s="59"/>
      <c r="S188" s="59"/>
      <c r="T188" s="59" t="s">
        <v>104</v>
      </c>
      <c r="U188" s="75">
        <f t="shared" si="154"/>
        <v>92468.25</v>
      </c>
      <c r="V188" s="75">
        <f t="shared" si="155"/>
        <v>92468.25</v>
      </c>
    </row>
    <row r="189" spans="1:22" x14ac:dyDescent="0.25">
      <c r="A189" s="329"/>
      <c r="B189" s="330"/>
      <c r="C189" s="63" t="s">
        <v>166</v>
      </c>
      <c r="D189" s="64" t="s">
        <v>101</v>
      </c>
      <c r="E189" s="59">
        <v>14</v>
      </c>
      <c r="F189" s="59">
        <v>14</v>
      </c>
      <c r="G189" s="59">
        <f t="shared" si="152"/>
        <v>14</v>
      </c>
      <c r="H189" s="59">
        <v>14</v>
      </c>
      <c r="I189" s="59">
        <v>14</v>
      </c>
      <c r="J189" s="75">
        <f>K189</f>
        <v>66361.320000000007</v>
      </c>
      <c r="K189" s="75">
        <v>66361.320000000007</v>
      </c>
      <c r="L189" s="59" t="s">
        <v>104</v>
      </c>
      <c r="M189" s="59" t="s">
        <v>104</v>
      </c>
      <c r="N189" s="71">
        <f>O189</f>
        <v>929058.4800000001</v>
      </c>
      <c r="O189" s="146">
        <f t="shared" si="156"/>
        <v>929058.4800000001</v>
      </c>
      <c r="P189" s="146"/>
      <c r="Q189" s="59" t="s">
        <v>104</v>
      </c>
      <c r="R189" s="59"/>
      <c r="S189" s="59"/>
      <c r="T189" s="59" t="s">
        <v>104</v>
      </c>
      <c r="U189" s="75">
        <f>H189*K189</f>
        <v>929058.4800000001</v>
      </c>
      <c r="V189" s="75">
        <f>I189*K189</f>
        <v>929058.4800000001</v>
      </c>
    </row>
    <row r="190" spans="1:22" x14ac:dyDescent="0.25">
      <c r="A190" s="329"/>
      <c r="B190" s="330"/>
      <c r="C190" s="63" t="s">
        <v>167</v>
      </c>
      <c r="D190" s="64" t="s">
        <v>101</v>
      </c>
      <c r="E190" s="59">
        <v>3</v>
      </c>
      <c r="F190" s="59">
        <v>3</v>
      </c>
      <c r="G190" s="59">
        <f t="shared" si="152"/>
        <v>3</v>
      </c>
      <c r="H190" s="59">
        <v>3</v>
      </c>
      <c r="I190" s="59">
        <v>3</v>
      </c>
      <c r="J190" s="75">
        <f>K190</f>
        <v>174890.83</v>
      </c>
      <c r="K190" s="75">
        <v>174890.83</v>
      </c>
      <c r="L190" s="59" t="s">
        <v>104</v>
      </c>
      <c r="M190" s="59" t="s">
        <v>104</v>
      </c>
      <c r="N190" s="71">
        <f>O190</f>
        <v>524672.49</v>
      </c>
      <c r="O190" s="146">
        <f t="shared" si="156"/>
        <v>524672.49</v>
      </c>
      <c r="P190" s="146"/>
      <c r="Q190" s="59" t="s">
        <v>104</v>
      </c>
      <c r="R190" s="59"/>
      <c r="S190" s="59"/>
      <c r="T190" s="59" t="s">
        <v>104</v>
      </c>
      <c r="U190" s="75">
        <f>H190*K190</f>
        <v>524672.49</v>
      </c>
      <c r="V190" s="75">
        <f>I190*K190</f>
        <v>524672.49</v>
      </c>
    </row>
    <row r="191" spans="1:22" x14ac:dyDescent="0.25">
      <c r="A191" s="329"/>
      <c r="B191" s="330"/>
      <c r="C191" s="63" t="s">
        <v>170</v>
      </c>
      <c r="D191" s="64" t="s">
        <v>101</v>
      </c>
      <c r="E191" s="59">
        <v>1</v>
      </c>
      <c r="F191" s="59">
        <v>1</v>
      </c>
      <c r="G191" s="59">
        <f t="shared" si="152"/>
        <v>1</v>
      </c>
      <c r="H191" s="59">
        <v>1</v>
      </c>
      <c r="I191" s="59">
        <v>1</v>
      </c>
      <c r="J191" s="75">
        <f t="shared" ref="J191:J192" si="157">K191</f>
        <v>99648.29</v>
      </c>
      <c r="K191" s="75">
        <v>99648.29</v>
      </c>
      <c r="L191" s="59" t="s">
        <v>104</v>
      </c>
      <c r="M191" s="59" t="s">
        <v>104</v>
      </c>
      <c r="N191" s="71">
        <f t="shared" ref="N191:N192" si="158">O191</f>
        <v>99648.29</v>
      </c>
      <c r="O191" s="146">
        <f t="shared" si="156"/>
        <v>99648.29</v>
      </c>
      <c r="P191" s="146"/>
      <c r="Q191" s="59" t="s">
        <v>104</v>
      </c>
      <c r="R191" s="59"/>
      <c r="S191" s="59"/>
      <c r="T191" s="59" t="s">
        <v>104</v>
      </c>
      <c r="U191" s="75">
        <f t="shared" ref="U191:U192" si="159">H191*K191</f>
        <v>99648.29</v>
      </c>
      <c r="V191" s="75">
        <f t="shared" ref="V191:V192" si="160">I191*K191</f>
        <v>99648.29</v>
      </c>
    </row>
    <row r="192" spans="1:22" x14ac:dyDescent="0.25">
      <c r="A192" s="329"/>
      <c r="B192" s="330"/>
      <c r="C192" s="63" t="s">
        <v>168</v>
      </c>
      <c r="D192" s="64" t="s">
        <v>101</v>
      </c>
      <c r="E192" s="59">
        <v>2</v>
      </c>
      <c r="F192" s="59">
        <v>2</v>
      </c>
      <c r="G192" s="59">
        <f t="shared" si="152"/>
        <v>2</v>
      </c>
      <c r="H192" s="59">
        <v>2</v>
      </c>
      <c r="I192" s="59">
        <v>2</v>
      </c>
      <c r="J192" s="75">
        <f t="shared" si="157"/>
        <v>23553.439999999999</v>
      </c>
      <c r="K192" s="75">
        <v>23553.439999999999</v>
      </c>
      <c r="L192" s="59" t="s">
        <v>104</v>
      </c>
      <c r="M192" s="59" t="s">
        <v>104</v>
      </c>
      <c r="N192" s="71">
        <f t="shared" si="158"/>
        <v>47106.879999999997</v>
      </c>
      <c r="O192" s="146">
        <f t="shared" si="156"/>
        <v>47106.879999999997</v>
      </c>
      <c r="P192" s="146"/>
      <c r="Q192" s="59" t="s">
        <v>104</v>
      </c>
      <c r="R192" s="59"/>
      <c r="S192" s="59"/>
      <c r="T192" s="59" t="s">
        <v>104</v>
      </c>
      <c r="U192" s="75">
        <f t="shared" si="159"/>
        <v>47106.879999999997</v>
      </c>
      <c r="V192" s="75">
        <f t="shared" si="160"/>
        <v>47106.879999999997</v>
      </c>
    </row>
    <row r="193" spans="1:22" ht="120" x14ac:dyDescent="0.25">
      <c r="A193" s="329"/>
      <c r="B193" s="330"/>
      <c r="C193" s="61" t="s">
        <v>105</v>
      </c>
      <c r="D193" s="64" t="s">
        <v>101</v>
      </c>
      <c r="E193" s="59">
        <v>2</v>
      </c>
      <c r="F193" s="59">
        <v>2</v>
      </c>
      <c r="G193" s="59">
        <f t="shared" si="152"/>
        <v>2</v>
      </c>
      <c r="H193" s="59">
        <v>2</v>
      </c>
      <c r="I193" s="59">
        <v>2</v>
      </c>
      <c r="J193" s="75">
        <f>SUM(K193:M193)</f>
        <v>138391.77000000002</v>
      </c>
      <c r="K193" s="148">
        <f>121412.92+1351.63</f>
        <v>122764.55</v>
      </c>
      <c r="L193" s="72">
        <v>4001.99</v>
      </c>
      <c r="M193" s="163">
        <v>11625.23</v>
      </c>
      <c r="N193" s="71">
        <f>SUM(O193:T193)</f>
        <v>276783.54000000004</v>
      </c>
      <c r="O193" s="146">
        <f>G193*K193</f>
        <v>245529.1</v>
      </c>
      <c r="P193" s="146"/>
      <c r="Q193" s="71">
        <f>G193*L193</f>
        <v>8003.98</v>
      </c>
      <c r="R193" s="71"/>
      <c r="S193" s="71"/>
      <c r="T193" s="156">
        <f>G193*M193</f>
        <v>23250.46</v>
      </c>
      <c r="U193" s="75">
        <f t="shared" si="97"/>
        <v>276783.54000000004</v>
      </c>
      <c r="V193" s="75">
        <f t="shared" si="98"/>
        <v>276783.54000000004</v>
      </c>
    </row>
    <row r="194" spans="1:22" x14ac:dyDescent="0.25">
      <c r="A194" s="329"/>
      <c r="B194" s="330"/>
      <c r="C194" s="66" t="s">
        <v>106</v>
      </c>
      <c r="D194" s="67"/>
      <c r="E194" s="59">
        <f>E184+E193</f>
        <v>209</v>
      </c>
      <c r="F194" s="59">
        <f t="shared" ref="F194:I194" si="161">F184+F193</f>
        <v>209</v>
      </c>
      <c r="G194" s="59">
        <f t="shared" si="161"/>
        <v>209</v>
      </c>
      <c r="H194" s="59">
        <f t="shared" si="161"/>
        <v>209</v>
      </c>
      <c r="I194" s="59">
        <f t="shared" si="161"/>
        <v>209</v>
      </c>
      <c r="J194" s="71" t="s">
        <v>104</v>
      </c>
      <c r="K194" s="71" t="s">
        <v>104</v>
      </c>
      <c r="L194" s="71" t="s">
        <v>104</v>
      </c>
      <c r="M194" s="71" t="s">
        <v>104</v>
      </c>
      <c r="N194" s="71">
        <f>SUM(N184:N193)</f>
        <v>10989234.039999999</v>
      </c>
      <c r="O194" s="71">
        <f>SUM(O184:O193)</f>
        <v>7723145.0600000005</v>
      </c>
      <c r="P194" s="71"/>
      <c r="Q194" s="71">
        <f>SUM(Q184:Q193)</f>
        <v>836415.90999999992</v>
      </c>
      <c r="R194" s="71"/>
      <c r="S194" s="71"/>
      <c r="T194" s="71">
        <f t="shared" ref="T194:V194" si="162">SUM(T184:T193)</f>
        <v>2429673.0699999998</v>
      </c>
      <c r="U194" s="71">
        <f t="shared" si="162"/>
        <v>10989234.039999999</v>
      </c>
      <c r="V194" s="71">
        <f t="shared" si="162"/>
        <v>10989234.039999999</v>
      </c>
    </row>
    <row r="195" spans="1:22" ht="90" x14ac:dyDescent="0.25">
      <c r="A195" s="329"/>
      <c r="B195" s="330" t="s">
        <v>107</v>
      </c>
      <c r="C195" s="61" t="s">
        <v>100</v>
      </c>
      <c r="D195" s="62" t="s">
        <v>101</v>
      </c>
      <c r="E195" s="59">
        <v>229</v>
      </c>
      <c r="F195" s="59">
        <v>229</v>
      </c>
      <c r="G195" s="59">
        <f t="shared" si="152"/>
        <v>229</v>
      </c>
      <c r="H195" s="59">
        <v>229</v>
      </c>
      <c r="I195" s="59">
        <v>229</v>
      </c>
      <c r="J195" s="107">
        <f>SUM(K195:M195)</f>
        <v>51622.92</v>
      </c>
      <c r="K195" s="147">
        <f>34346.05+1649.65</f>
        <v>35995.700000000004</v>
      </c>
      <c r="L195" s="70">
        <v>4001.99</v>
      </c>
      <c r="M195" s="163">
        <v>11625.23</v>
      </c>
      <c r="N195" s="71">
        <f>SUM(O195:T195)</f>
        <v>11821648.680000002</v>
      </c>
      <c r="O195" s="146">
        <f>G195*K195</f>
        <v>8243015.3000000007</v>
      </c>
      <c r="P195" s="146"/>
      <c r="Q195" s="71">
        <f>G195*L195</f>
        <v>916455.71</v>
      </c>
      <c r="R195" s="71"/>
      <c r="S195" s="71"/>
      <c r="T195" s="156">
        <f>G195*M195</f>
        <v>2662177.67</v>
      </c>
      <c r="U195" s="75">
        <f t="shared" si="97"/>
        <v>11821648.68</v>
      </c>
      <c r="V195" s="75">
        <f t="shared" si="98"/>
        <v>11821648.68</v>
      </c>
    </row>
    <row r="196" spans="1:22" ht="135" x14ac:dyDescent="0.25">
      <c r="A196" s="329"/>
      <c r="B196" s="330"/>
      <c r="C196" s="63" t="s">
        <v>163</v>
      </c>
      <c r="D196" s="64" t="s">
        <v>101</v>
      </c>
      <c r="E196" s="59" t="s">
        <v>104</v>
      </c>
      <c r="F196" s="59" t="s">
        <v>104</v>
      </c>
      <c r="G196" s="59" t="s">
        <v>104</v>
      </c>
      <c r="H196" s="59" t="s">
        <v>104</v>
      </c>
      <c r="I196" s="59" t="s">
        <v>104</v>
      </c>
      <c r="J196" s="59" t="s">
        <v>104</v>
      </c>
      <c r="K196" s="59" t="s">
        <v>104</v>
      </c>
      <c r="L196" s="59" t="s">
        <v>104</v>
      </c>
      <c r="M196" s="59" t="s">
        <v>104</v>
      </c>
      <c r="N196" s="71"/>
      <c r="O196" s="71"/>
      <c r="P196" s="71"/>
      <c r="Q196" s="59" t="s">
        <v>104</v>
      </c>
      <c r="R196" s="59"/>
      <c r="S196" s="59"/>
      <c r="T196" s="59" t="s">
        <v>104</v>
      </c>
      <c r="U196" s="75"/>
      <c r="V196" s="75"/>
    </row>
    <row r="197" spans="1:22" x14ac:dyDescent="0.25">
      <c r="A197" s="329"/>
      <c r="B197" s="330"/>
      <c r="C197" s="63" t="s">
        <v>164</v>
      </c>
      <c r="D197" s="64" t="s">
        <v>101</v>
      </c>
      <c r="E197" s="60">
        <v>2</v>
      </c>
      <c r="F197" s="60">
        <v>2</v>
      </c>
      <c r="G197" s="59">
        <f t="shared" si="152"/>
        <v>2</v>
      </c>
      <c r="H197" s="60">
        <v>2</v>
      </c>
      <c r="I197" s="60">
        <v>2</v>
      </c>
      <c r="J197" s="75">
        <f>K197</f>
        <v>25589.72</v>
      </c>
      <c r="K197" s="75">
        <v>25589.72</v>
      </c>
      <c r="L197" s="59" t="s">
        <v>104</v>
      </c>
      <c r="M197" s="59" t="s">
        <v>104</v>
      </c>
      <c r="N197" s="71">
        <f>O197</f>
        <v>51179.44</v>
      </c>
      <c r="O197" s="146">
        <f>G197*K197</f>
        <v>51179.44</v>
      </c>
      <c r="P197" s="146"/>
      <c r="Q197" s="59" t="s">
        <v>104</v>
      </c>
      <c r="R197" s="59"/>
      <c r="S197" s="59"/>
      <c r="T197" s="59" t="s">
        <v>104</v>
      </c>
      <c r="U197" s="75">
        <f>H197*K197</f>
        <v>51179.44</v>
      </c>
      <c r="V197" s="75">
        <f t="shared" ref="V197:V201" si="163">I197*K197</f>
        <v>51179.44</v>
      </c>
    </row>
    <row r="198" spans="1:22" x14ac:dyDescent="0.25">
      <c r="A198" s="329"/>
      <c r="B198" s="330"/>
      <c r="C198" s="63" t="s">
        <v>165</v>
      </c>
      <c r="D198" s="64" t="s">
        <v>101</v>
      </c>
      <c r="E198" s="60">
        <v>2</v>
      </c>
      <c r="F198" s="60">
        <v>2</v>
      </c>
      <c r="G198" s="59">
        <f t="shared" si="152"/>
        <v>2</v>
      </c>
      <c r="H198" s="60">
        <v>2</v>
      </c>
      <c r="I198" s="60">
        <v>2</v>
      </c>
      <c r="J198" s="75">
        <f t="shared" ref="J198:J201" si="164">K198</f>
        <v>92468.25</v>
      </c>
      <c r="K198" s="75">
        <v>92468.25</v>
      </c>
      <c r="L198" s="59" t="s">
        <v>104</v>
      </c>
      <c r="M198" s="59" t="s">
        <v>104</v>
      </c>
      <c r="N198" s="71">
        <f t="shared" ref="N198:N201" si="165">O198</f>
        <v>184936.5</v>
      </c>
      <c r="O198" s="146">
        <f t="shared" ref="O198:O201" si="166">G198*K198</f>
        <v>184936.5</v>
      </c>
      <c r="P198" s="146"/>
      <c r="Q198" s="59" t="s">
        <v>104</v>
      </c>
      <c r="R198" s="59"/>
      <c r="S198" s="59"/>
      <c r="T198" s="59" t="s">
        <v>104</v>
      </c>
      <c r="U198" s="75">
        <f t="shared" ref="U198:U201" si="167">H198*K198</f>
        <v>184936.5</v>
      </c>
      <c r="V198" s="75">
        <f t="shared" si="163"/>
        <v>184936.5</v>
      </c>
    </row>
    <row r="199" spans="1:22" x14ac:dyDescent="0.25">
      <c r="A199" s="329"/>
      <c r="B199" s="330"/>
      <c r="C199" s="63" t="s">
        <v>167</v>
      </c>
      <c r="D199" s="64" t="s">
        <v>101</v>
      </c>
      <c r="E199" s="60">
        <v>2</v>
      </c>
      <c r="F199" s="60">
        <v>2</v>
      </c>
      <c r="G199" s="59">
        <f t="shared" si="152"/>
        <v>2</v>
      </c>
      <c r="H199" s="60">
        <v>2</v>
      </c>
      <c r="I199" s="60">
        <v>2</v>
      </c>
      <c r="J199" s="75">
        <f t="shared" si="164"/>
        <v>266106.15000000002</v>
      </c>
      <c r="K199" s="75">
        <v>266106.15000000002</v>
      </c>
      <c r="L199" s="59"/>
      <c r="M199" s="59"/>
      <c r="N199" s="71">
        <f t="shared" si="165"/>
        <v>532212.30000000005</v>
      </c>
      <c r="O199" s="146">
        <f t="shared" si="166"/>
        <v>532212.30000000005</v>
      </c>
      <c r="P199" s="146"/>
      <c r="Q199" s="59" t="s">
        <v>104</v>
      </c>
      <c r="R199" s="59"/>
      <c r="S199" s="59"/>
      <c r="T199" s="59"/>
      <c r="U199" s="75">
        <f t="shared" si="167"/>
        <v>532212.30000000005</v>
      </c>
      <c r="V199" s="75">
        <f t="shared" si="163"/>
        <v>532212.30000000005</v>
      </c>
    </row>
    <row r="200" spans="1:22" x14ac:dyDescent="0.25">
      <c r="A200" s="329"/>
      <c r="B200" s="330"/>
      <c r="C200" s="63" t="s">
        <v>170</v>
      </c>
      <c r="D200" s="64" t="s">
        <v>101</v>
      </c>
      <c r="E200" s="60">
        <v>1</v>
      </c>
      <c r="F200" s="60">
        <v>1</v>
      </c>
      <c r="G200" s="59">
        <f t="shared" si="152"/>
        <v>1</v>
      </c>
      <c r="H200" s="60">
        <v>1</v>
      </c>
      <c r="I200" s="60">
        <v>1</v>
      </c>
      <c r="J200" s="75">
        <f t="shared" si="164"/>
        <v>32769.75</v>
      </c>
      <c r="K200" s="75">
        <v>32769.75</v>
      </c>
      <c r="L200" s="59"/>
      <c r="M200" s="59"/>
      <c r="N200" s="71">
        <f t="shared" si="165"/>
        <v>32769.75</v>
      </c>
      <c r="O200" s="146">
        <f t="shared" si="166"/>
        <v>32769.75</v>
      </c>
      <c r="P200" s="146"/>
      <c r="Q200" s="59" t="s">
        <v>104</v>
      </c>
      <c r="R200" s="59"/>
      <c r="S200" s="59"/>
      <c r="T200" s="59"/>
      <c r="U200" s="75">
        <f t="shared" si="167"/>
        <v>32769.75</v>
      </c>
      <c r="V200" s="75">
        <f t="shared" si="163"/>
        <v>32769.75</v>
      </c>
    </row>
    <row r="201" spans="1:22" x14ac:dyDescent="0.25">
      <c r="A201" s="329"/>
      <c r="B201" s="330"/>
      <c r="C201" s="63" t="s">
        <v>168</v>
      </c>
      <c r="D201" s="64" t="s">
        <v>101</v>
      </c>
      <c r="E201" s="60">
        <v>1</v>
      </c>
      <c r="F201" s="60">
        <v>1</v>
      </c>
      <c r="G201" s="59">
        <f t="shared" si="152"/>
        <v>1</v>
      </c>
      <c r="H201" s="60">
        <v>1</v>
      </c>
      <c r="I201" s="60">
        <v>1</v>
      </c>
      <c r="J201" s="75">
        <f t="shared" si="164"/>
        <v>23553.439999999999</v>
      </c>
      <c r="K201" s="75">
        <v>23553.439999999999</v>
      </c>
      <c r="L201" s="59" t="s">
        <v>104</v>
      </c>
      <c r="M201" s="59" t="s">
        <v>104</v>
      </c>
      <c r="N201" s="71">
        <f t="shared" si="165"/>
        <v>23553.439999999999</v>
      </c>
      <c r="O201" s="146">
        <f t="shared" si="166"/>
        <v>23553.439999999999</v>
      </c>
      <c r="P201" s="146"/>
      <c r="Q201" s="59" t="s">
        <v>104</v>
      </c>
      <c r="R201" s="59"/>
      <c r="S201" s="59"/>
      <c r="T201" s="59" t="s">
        <v>104</v>
      </c>
      <c r="U201" s="75">
        <f t="shared" si="167"/>
        <v>23553.439999999999</v>
      </c>
      <c r="V201" s="75">
        <f t="shared" si="163"/>
        <v>23553.439999999999</v>
      </c>
    </row>
    <row r="202" spans="1:22" ht="120" x14ac:dyDescent="0.25">
      <c r="A202" s="329"/>
      <c r="B202" s="330"/>
      <c r="C202" s="61" t="s">
        <v>105</v>
      </c>
      <c r="D202" s="64" t="s">
        <v>101</v>
      </c>
      <c r="E202" s="60"/>
      <c r="F202" s="60"/>
      <c r="G202" s="59">
        <f t="shared" si="152"/>
        <v>0</v>
      </c>
      <c r="H202" s="60"/>
      <c r="I202" s="60"/>
      <c r="J202" s="75">
        <f>SUM(K202:M202)</f>
        <v>168684.5</v>
      </c>
      <c r="K202" s="148">
        <f>151407.63+1649.65</f>
        <v>153057.28</v>
      </c>
      <c r="L202" s="72">
        <v>4001.99</v>
      </c>
      <c r="M202" s="163">
        <v>11625.23</v>
      </c>
      <c r="N202" s="73">
        <f>SUM(O202:T202)</f>
        <v>0</v>
      </c>
      <c r="O202" s="149">
        <f>G202*K202</f>
        <v>0</v>
      </c>
      <c r="P202" s="149"/>
      <c r="Q202" s="73">
        <f>G202*L202</f>
        <v>0</v>
      </c>
      <c r="R202" s="73"/>
      <c r="S202" s="73"/>
      <c r="T202" s="75">
        <f>G202*M202</f>
        <v>0</v>
      </c>
      <c r="U202" s="75">
        <f t="shared" si="97"/>
        <v>0</v>
      </c>
      <c r="V202" s="75">
        <f t="shared" si="98"/>
        <v>0</v>
      </c>
    </row>
    <row r="203" spans="1:22" x14ac:dyDescent="0.25">
      <c r="A203" s="329"/>
      <c r="B203" s="110"/>
      <c r="C203" s="66" t="s">
        <v>106</v>
      </c>
      <c r="D203" s="64"/>
      <c r="E203" s="60">
        <f>E195+E202</f>
        <v>229</v>
      </c>
      <c r="F203" s="60">
        <f t="shared" ref="F203:I203" si="168">F195+F202</f>
        <v>229</v>
      </c>
      <c r="G203" s="60">
        <f t="shared" si="168"/>
        <v>229</v>
      </c>
      <c r="H203" s="60">
        <f t="shared" si="168"/>
        <v>229</v>
      </c>
      <c r="I203" s="60">
        <f t="shared" si="168"/>
        <v>229</v>
      </c>
      <c r="J203" s="73" t="s">
        <v>104</v>
      </c>
      <c r="K203" s="73" t="s">
        <v>104</v>
      </c>
      <c r="L203" s="73" t="s">
        <v>104</v>
      </c>
      <c r="M203" s="73" t="s">
        <v>104</v>
      </c>
      <c r="N203" s="74">
        <f>SUM(N195:N202)</f>
        <v>12646300.110000001</v>
      </c>
      <c r="O203" s="74">
        <f>SUM(O195:O202)</f>
        <v>9067666.7300000023</v>
      </c>
      <c r="P203" s="74"/>
      <c r="Q203" s="74">
        <f>SUM(Q195:Q202)</f>
        <v>916455.71</v>
      </c>
      <c r="R203" s="74"/>
      <c r="S203" s="74"/>
      <c r="T203" s="74">
        <f t="shared" ref="T203:V203" si="169">SUM(T195:T202)</f>
        <v>2662177.67</v>
      </c>
      <c r="U203" s="74">
        <f t="shared" si="169"/>
        <v>12646300.109999999</v>
      </c>
      <c r="V203" s="74">
        <f t="shared" si="169"/>
        <v>12646300.109999999</v>
      </c>
    </row>
    <row r="204" spans="1:22" ht="90" x14ac:dyDescent="0.25">
      <c r="A204" s="329"/>
      <c r="B204" s="330" t="s">
        <v>108</v>
      </c>
      <c r="C204" s="61" t="s">
        <v>100</v>
      </c>
      <c r="D204" s="62" t="s">
        <v>101</v>
      </c>
      <c r="E204" s="60">
        <v>35</v>
      </c>
      <c r="F204" s="60">
        <v>35</v>
      </c>
      <c r="G204" s="59">
        <f t="shared" si="152"/>
        <v>35</v>
      </c>
      <c r="H204" s="60">
        <v>35</v>
      </c>
      <c r="I204" s="60">
        <v>35</v>
      </c>
      <c r="J204" s="107">
        <f>SUM(K204:M204)</f>
        <v>58731.119999999995</v>
      </c>
      <c r="K204" s="147">
        <f>41105.12+1998.78</f>
        <v>43103.9</v>
      </c>
      <c r="L204" s="70">
        <v>4001.99</v>
      </c>
      <c r="M204" s="163">
        <v>11625.23</v>
      </c>
      <c r="N204" s="73">
        <f>SUM(O204:T204)</f>
        <v>2055589.2</v>
      </c>
      <c r="O204" s="149">
        <f>G204*K204</f>
        <v>1508636.5</v>
      </c>
      <c r="P204" s="149"/>
      <c r="Q204" s="73">
        <f>G204*L204</f>
        <v>140069.65</v>
      </c>
      <c r="R204" s="73"/>
      <c r="S204" s="73"/>
      <c r="T204" s="156">
        <f>G204*M204</f>
        <v>406883.05</v>
      </c>
      <c r="U204" s="75">
        <f t="shared" si="97"/>
        <v>2055589.1999999997</v>
      </c>
      <c r="V204" s="75">
        <f t="shared" si="98"/>
        <v>2055589.1999999997</v>
      </c>
    </row>
    <row r="205" spans="1:22" ht="135" x14ac:dyDescent="0.25">
      <c r="A205" s="329"/>
      <c r="B205" s="330"/>
      <c r="C205" s="63" t="s">
        <v>163</v>
      </c>
      <c r="D205" s="64" t="s">
        <v>101</v>
      </c>
      <c r="E205" s="59" t="s">
        <v>104</v>
      </c>
      <c r="F205" s="59" t="s">
        <v>104</v>
      </c>
      <c r="G205" s="59" t="s">
        <v>104</v>
      </c>
      <c r="H205" s="59" t="s">
        <v>104</v>
      </c>
      <c r="I205" s="59" t="s">
        <v>104</v>
      </c>
      <c r="J205" s="59" t="s">
        <v>104</v>
      </c>
      <c r="K205" s="59" t="s">
        <v>104</v>
      </c>
      <c r="L205" s="59" t="s">
        <v>104</v>
      </c>
      <c r="M205" s="59" t="s">
        <v>104</v>
      </c>
      <c r="N205" s="71"/>
      <c r="O205" s="71"/>
      <c r="P205" s="71"/>
      <c r="Q205" s="59" t="s">
        <v>104</v>
      </c>
      <c r="R205" s="59"/>
      <c r="S205" s="59"/>
      <c r="T205" s="59" t="s">
        <v>104</v>
      </c>
      <c r="U205" s="75"/>
      <c r="V205" s="75"/>
    </row>
    <row r="206" spans="1:22" x14ac:dyDescent="0.25">
      <c r="A206" s="329"/>
      <c r="B206" s="330"/>
      <c r="C206" s="63" t="s">
        <v>165</v>
      </c>
      <c r="D206" s="64" t="s">
        <v>101</v>
      </c>
      <c r="E206" s="60">
        <v>0</v>
      </c>
      <c r="F206" s="60"/>
      <c r="G206" s="59">
        <f t="shared" si="152"/>
        <v>0</v>
      </c>
      <c r="H206" s="60">
        <v>0</v>
      </c>
      <c r="I206" s="60">
        <v>0</v>
      </c>
      <c r="J206" s="75">
        <f>K206</f>
        <v>92468.25</v>
      </c>
      <c r="K206" s="75">
        <v>92468.25</v>
      </c>
      <c r="L206" s="59" t="s">
        <v>104</v>
      </c>
      <c r="M206" s="59" t="s">
        <v>104</v>
      </c>
      <c r="N206" s="71">
        <f>O206</f>
        <v>0</v>
      </c>
      <c r="O206" s="146">
        <f>G206*K206</f>
        <v>0</v>
      </c>
      <c r="P206" s="146"/>
      <c r="Q206" s="59" t="s">
        <v>104</v>
      </c>
      <c r="R206" s="59"/>
      <c r="S206" s="59"/>
      <c r="T206" s="59" t="s">
        <v>104</v>
      </c>
      <c r="U206" s="75">
        <f>H206*K206</f>
        <v>0</v>
      </c>
      <c r="V206" s="75">
        <f>I206*K206</f>
        <v>0</v>
      </c>
    </row>
    <row r="207" spans="1:22" ht="120" x14ac:dyDescent="0.25">
      <c r="A207" s="329"/>
      <c r="B207" s="330"/>
      <c r="C207" s="61" t="s">
        <v>105</v>
      </c>
      <c r="D207" s="64" t="s">
        <v>101</v>
      </c>
      <c r="E207" s="60"/>
      <c r="F207" s="60">
        <v>0</v>
      </c>
      <c r="G207" s="157">
        <f t="shared" ref="G207:G209" si="170">((E207*8)+(F207*4))/12</f>
        <v>0</v>
      </c>
      <c r="H207" s="60">
        <v>0</v>
      </c>
      <c r="I207" s="60">
        <v>0</v>
      </c>
      <c r="J207" s="75">
        <f>SUM(K207:M207)</f>
        <v>199028.35</v>
      </c>
      <c r="K207" s="148">
        <f>181402.35+1998.78</f>
        <v>183401.13</v>
      </c>
      <c r="L207" s="72">
        <v>4001.99</v>
      </c>
      <c r="M207" s="163">
        <v>11625.23</v>
      </c>
      <c r="N207" s="73"/>
      <c r="O207" s="149">
        <f>K207*G207</f>
        <v>0</v>
      </c>
      <c r="P207" s="149"/>
      <c r="Q207" s="73">
        <f>L207*G207</f>
        <v>0</v>
      </c>
      <c r="R207" s="73"/>
      <c r="S207" s="73"/>
      <c r="T207" s="73"/>
      <c r="U207" s="75">
        <f t="shared" si="97"/>
        <v>0</v>
      </c>
      <c r="V207" s="75">
        <f t="shared" si="98"/>
        <v>0</v>
      </c>
    </row>
    <row r="208" spans="1:22" x14ac:dyDescent="0.25">
      <c r="A208" s="329"/>
      <c r="B208" s="110"/>
      <c r="C208" s="66" t="s">
        <v>106</v>
      </c>
      <c r="D208" s="64"/>
      <c r="E208" s="60">
        <f>E204+E207</f>
        <v>35</v>
      </c>
      <c r="F208" s="60">
        <f t="shared" ref="F208:I208" si="171">F204+F207</f>
        <v>35</v>
      </c>
      <c r="G208" s="60">
        <f t="shared" si="171"/>
        <v>35</v>
      </c>
      <c r="H208" s="60">
        <f t="shared" si="171"/>
        <v>35</v>
      </c>
      <c r="I208" s="60">
        <f t="shared" si="171"/>
        <v>35</v>
      </c>
      <c r="J208" s="73" t="s">
        <v>104</v>
      </c>
      <c r="K208" s="73" t="s">
        <v>104</v>
      </c>
      <c r="L208" s="73" t="s">
        <v>104</v>
      </c>
      <c r="M208" s="73" t="s">
        <v>104</v>
      </c>
      <c r="N208" s="74">
        <f>SUM(N204:N207)</f>
        <v>2055589.2</v>
      </c>
      <c r="O208" s="74">
        <f>SUM(O204:O207)</f>
        <v>1508636.5</v>
      </c>
      <c r="P208" s="74"/>
      <c r="Q208" s="74">
        <f>SUM(Q204:Q207)</f>
        <v>140069.65</v>
      </c>
      <c r="R208" s="74"/>
      <c r="S208" s="74"/>
      <c r="T208" s="74">
        <f t="shared" ref="T208:V208" si="172">SUM(T204:T207)</f>
        <v>406883.05</v>
      </c>
      <c r="U208" s="74">
        <f t="shared" si="172"/>
        <v>2055589.1999999997</v>
      </c>
      <c r="V208" s="74">
        <f t="shared" si="172"/>
        <v>2055589.1999999997</v>
      </c>
    </row>
    <row r="209" spans="1:22" ht="105" x14ac:dyDescent="0.25">
      <c r="A209" s="329"/>
      <c r="B209" s="137" t="s">
        <v>109</v>
      </c>
      <c r="C209" s="61" t="s">
        <v>187</v>
      </c>
      <c r="D209" s="64" t="s">
        <v>101</v>
      </c>
      <c r="E209" s="60">
        <v>416</v>
      </c>
      <c r="F209" s="60">
        <v>416</v>
      </c>
      <c r="G209" s="157">
        <f t="shared" si="170"/>
        <v>416</v>
      </c>
      <c r="H209" s="60">
        <v>416</v>
      </c>
      <c r="I209" s="60">
        <v>416</v>
      </c>
      <c r="J209" s="75">
        <f>K209</f>
        <v>3978.76</v>
      </c>
      <c r="K209" s="75">
        <v>3978.76</v>
      </c>
      <c r="L209" s="73" t="s">
        <v>104</v>
      </c>
      <c r="M209" s="73" t="s">
        <v>104</v>
      </c>
      <c r="N209" s="73">
        <f>SUM(O209:T209)</f>
        <v>1655164.1600000001</v>
      </c>
      <c r="O209" s="149">
        <f>G209*K209</f>
        <v>1655164.1600000001</v>
      </c>
      <c r="P209" s="149"/>
      <c r="Q209" s="73" t="s">
        <v>104</v>
      </c>
      <c r="R209" s="73"/>
      <c r="S209" s="73"/>
      <c r="T209" s="73" t="s">
        <v>104</v>
      </c>
      <c r="U209" s="75">
        <f t="shared" si="97"/>
        <v>1655164.1600000001</v>
      </c>
      <c r="V209" s="75">
        <f t="shared" si="98"/>
        <v>1655164.1600000001</v>
      </c>
    </row>
    <row r="210" spans="1:22" x14ac:dyDescent="0.25">
      <c r="A210" s="329"/>
      <c r="B210" s="69"/>
      <c r="C210" s="66" t="s">
        <v>106</v>
      </c>
      <c r="D210" s="69"/>
      <c r="E210" s="60">
        <f>SUM(E209:E209)</f>
        <v>416</v>
      </c>
      <c r="F210" s="60">
        <f>SUM(F209:F209)</f>
        <v>416</v>
      </c>
      <c r="G210" s="60">
        <f>SUM(G209:G209)</f>
        <v>416</v>
      </c>
      <c r="H210" s="60">
        <f>SUM(H209:H209)</f>
        <v>416</v>
      </c>
      <c r="I210" s="60">
        <f>SUM(I209:I209)</f>
        <v>416</v>
      </c>
      <c r="J210" s="73" t="s">
        <v>104</v>
      </c>
      <c r="K210" s="73" t="s">
        <v>104</v>
      </c>
      <c r="L210" s="73" t="s">
        <v>104</v>
      </c>
      <c r="M210" s="74">
        <f t="shared" ref="M210:V210" si="173">SUM(M209:M209)</f>
        <v>0</v>
      </c>
      <c r="N210" s="74">
        <f t="shared" si="173"/>
        <v>1655164.1600000001</v>
      </c>
      <c r="O210" s="74">
        <f t="shared" si="173"/>
        <v>1655164.1600000001</v>
      </c>
      <c r="P210" s="74"/>
      <c r="Q210" s="74">
        <f t="shared" si="173"/>
        <v>0</v>
      </c>
      <c r="R210" s="74"/>
      <c r="S210" s="74"/>
      <c r="T210" s="74">
        <f t="shared" si="173"/>
        <v>0</v>
      </c>
      <c r="U210" s="75">
        <f t="shared" si="173"/>
        <v>1655164.1600000001</v>
      </c>
      <c r="V210" s="75">
        <f t="shared" si="173"/>
        <v>1655164.1600000001</v>
      </c>
    </row>
    <row r="211" spans="1:22" x14ac:dyDescent="0.25">
      <c r="A211" s="329"/>
      <c r="B211" s="101" t="s">
        <v>112</v>
      </c>
      <c r="C211" s="101"/>
      <c r="D211" s="69"/>
      <c r="E211" s="102"/>
      <c r="F211" s="102"/>
      <c r="G211" s="102"/>
      <c r="H211" s="102"/>
      <c r="I211" s="102"/>
      <c r="J211" s="104"/>
      <c r="K211" s="104"/>
      <c r="L211" s="103"/>
      <c r="M211" s="103"/>
      <c r="N211" s="103">
        <f>SUM(O211:T211)</f>
        <v>27346287.510000002</v>
      </c>
      <c r="O211" s="136">
        <f>O194+O203+O208+O210</f>
        <v>19954612.450000003</v>
      </c>
      <c r="P211" s="136"/>
      <c r="Q211" s="103">
        <f>Q194+Q203+Q208+Q210</f>
        <v>1892941.2699999998</v>
      </c>
      <c r="R211" s="103"/>
      <c r="S211" s="103"/>
      <c r="T211" s="103">
        <f>T194+T203+T208+T210</f>
        <v>5498733.79</v>
      </c>
      <c r="U211" s="103">
        <f>U194+U203+U208+U210</f>
        <v>27346287.509999998</v>
      </c>
      <c r="V211" s="103">
        <f>V194+V203+V208+V210</f>
        <v>27346287.509999998</v>
      </c>
    </row>
    <row r="212" spans="1:22" ht="90" x14ac:dyDescent="0.25">
      <c r="A212" s="329" t="s">
        <v>116</v>
      </c>
      <c r="B212" s="331" t="s">
        <v>99</v>
      </c>
      <c r="C212" s="61" t="s">
        <v>100</v>
      </c>
      <c r="D212" s="62" t="s">
        <v>101</v>
      </c>
      <c r="E212" s="59">
        <v>326</v>
      </c>
      <c r="F212" s="59">
        <v>326</v>
      </c>
      <c r="G212" s="157">
        <f t="shared" ref="G212:G238" si="174">((E212*8)+(F212*4))/12</f>
        <v>326</v>
      </c>
      <c r="H212" s="59">
        <v>326</v>
      </c>
      <c r="I212" s="59">
        <v>326</v>
      </c>
      <c r="J212" s="107">
        <f>SUM(K212:M212)</f>
        <v>40097.97</v>
      </c>
      <c r="K212" s="147">
        <f>23119.12+1351.63</f>
        <v>24470.75</v>
      </c>
      <c r="L212" s="70">
        <v>4001.99</v>
      </c>
      <c r="M212" s="163">
        <v>11625.23</v>
      </c>
      <c r="N212" s="71">
        <f>SUM(O212:T212)</f>
        <v>13071938.220000001</v>
      </c>
      <c r="O212" s="146">
        <f>G212*K212</f>
        <v>7977464.5</v>
      </c>
      <c r="P212" s="146"/>
      <c r="Q212" s="71">
        <f>G212*L212</f>
        <v>1304648.74</v>
      </c>
      <c r="R212" s="71"/>
      <c r="S212" s="71"/>
      <c r="T212" s="156">
        <f>G212*M212</f>
        <v>3789824.98</v>
      </c>
      <c r="U212" s="75">
        <f t="shared" si="97"/>
        <v>13071938.220000001</v>
      </c>
      <c r="V212" s="75">
        <f t="shared" si="98"/>
        <v>13071938.220000001</v>
      </c>
    </row>
    <row r="213" spans="1:22" ht="135" x14ac:dyDescent="0.25">
      <c r="A213" s="329"/>
      <c r="B213" s="332"/>
      <c r="C213" s="63" t="s">
        <v>163</v>
      </c>
      <c r="D213" s="64" t="s">
        <v>101</v>
      </c>
      <c r="E213" s="59" t="s">
        <v>104</v>
      </c>
      <c r="F213" s="59" t="s">
        <v>104</v>
      </c>
      <c r="G213" s="59" t="s">
        <v>104</v>
      </c>
      <c r="H213" s="59" t="s">
        <v>104</v>
      </c>
      <c r="I213" s="59" t="s">
        <v>104</v>
      </c>
      <c r="J213" s="59" t="s">
        <v>104</v>
      </c>
      <c r="K213" s="59" t="s">
        <v>104</v>
      </c>
      <c r="L213" s="59" t="s">
        <v>104</v>
      </c>
      <c r="M213" s="59" t="s">
        <v>104</v>
      </c>
      <c r="N213" s="71"/>
      <c r="O213" s="71"/>
      <c r="P213" s="71"/>
      <c r="Q213" s="59" t="s">
        <v>104</v>
      </c>
      <c r="R213" s="59"/>
      <c r="S213" s="59"/>
      <c r="T213" s="59" t="s">
        <v>104</v>
      </c>
      <c r="U213" s="75"/>
      <c r="V213" s="75"/>
    </row>
    <row r="214" spans="1:22" x14ac:dyDescent="0.25">
      <c r="A214" s="329"/>
      <c r="B214" s="332"/>
      <c r="C214" s="63" t="s">
        <v>164</v>
      </c>
      <c r="D214" s="64" t="s">
        <v>101</v>
      </c>
      <c r="E214" s="59">
        <v>1</v>
      </c>
      <c r="F214" s="59">
        <v>1</v>
      </c>
      <c r="G214" s="59">
        <f t="shared" si="174"/>
        <v>1</v>
      </c>
      <c r="H214" s="59">
        <v>1</v>
      </c>
      <c r="I214" s="59">
        <v>1</v>
      </c>
      <c r="J214" s="75">
        <f t="shared" ref="J214:J219" si="175">K214</f>
        <v>25589.72</v>
      </c>
      <c r="K214" s="71">
        <v>25589.72</v>
      </c>
      <c r="L214" s="59"/>
      <c r="M214" s="59"/>
      <c r="N214" s="71">
        <f t="shared" ref="N214:N215" si="176">O214</f>
        <v>25589.72</v>
      </c>
      <c r="O214" s="146">
        <f>G214*K214</f>
        <v>25589.72</v>
      </c>
      <c r="P214" s="146"/>
      <c r="Q214" s="59" t="s">
        <v>104</v>
      </c>
      <c r="R214" s="59"/>
      <c r="S214" s="59"/>
      <c r="T214" s="59"/>
      <c r="U214" s="75">
        <f t="shared" ref="U214:U219" si="177">H214*K214</f>
        <v>25589.72</v>
      </c>
      <c r="V214" s="75">
        <f t="shared" ref="V214:V215" si="178">I214*K214</f>
        <v>25589.72</v>
      </c>
    </row>
    <row r="215" spans="1:22" x14ac:dyDescent="0.25">
      <c r="A215" s="329"/>
      <c r="B215" s="332"/>
      <c r="C215" s="63" t="s">
        <v>169</v>
      </c>
      <c r="D215" s="64" t="s">
        <v>101</v>
      </c>
      <c r="E215" s="59">
        <v>3</v>
      </c>
      <c r="F215" s="59">
        <v>3</v>
      </c>
      <c r="G215" s="59">
        <f t="shared" si="174"/>
        <v>3</v>
      </c>
      <c r="H215" s="59">
        <v>3</v>
      </c>
      <c r="I215" s="59">
        <v>3</v>
      </c>
      <c r="J215" s="75">
        <f t="shared" si="175"/>
        <v>69362.66</v>
      </c>
      <c r="K215" s="71">
        <v>69362.66</v>
      </c>
      <c r="L215" s="59" t="s">
        <v>104</v>
      </c>
      <c r="M215" s="59" t="s">
        <v>104</v>
      </c>
      <c r="N215" s="71">
        <f t="shared" si="176"/>
        <v>208087.98</v>
      </c>
      <c r="O215" s="146">
        <f t="shared" ref="O215:O219" si="179">G215*K215</f>
        <v>208087.98</v>
      </c>
      <c r="P215" s="146"/>
      <c r="Q215" s="59" t="s">
        <v>104</v>
      </c>
      <c r="R215" s="59"/>
      <c r="S215" s="59"/>
      <c r="T215" s="59" t="s">
        <v>104</v>
      </c>
      <c r="U215" s="75">
        <f t="shared" si="177"/>
        <v>208087.98</v>
      </c>
      <c r="V215" s="75">
        <f t="shared" si="178"/>
        <v>208087.98</v>
      </c>
    </row>
    <row r="216" spans="1:22" x14ac:dyDescent="0.25">
      <c r="A216" s="329"/>
      <c r="B216" s="332"/>
      <c r="C216" s="63" t="s">
        <v>166</v>
      </c>
      <c r="D216" s="64" t="s">
        <v>101</v>
      </c>
      <c r="E216" s="59">
        <v>1</v>
      </c>
      <c r="F216" s="59">
        <v>1</v>
      </c>
      <c r="G216" s="59">
        <f t="shared" si="174"/>
        <v>1</v>
      </c>
      <c r="H216" s="59">
        <v>1</v>
      </c>
      <c r="I216" s="59">
        <v>1</v>
      </c>
      <c r="J216" s="75">
        <f t="shared" si="175"/>
        <v>66361.320000000007</v>
      </c>
      <c r="K216" s="75">
        <v>66361.320000000007</v>
      </c>
      <c r="L216" s="59" t="s">
        <v>104</v>
      </c>
      <c r="M216" s="59" t="s">
        <v>104</v>
      </c>
      <c r="N216" s="71">
        <f>O216</f>
        <v>66361.320000000007</v>
      </c>
      <c r="O216" s="146">
        <f t="shared" si="179"/>
        <v>66361.320000000007</v>
      </c>
      <c r="P216" s="146"/>
      <c r="Q216" s="59" t="s">
        <v>104</v>
      </c>
      <c r="R216" s="59"/>
      <c r="S216" s="59"/>
      <c r="T216" s="59" t="s">
        <v>104</v>
      </c>
      <c r="U216" s="75">
        <f t="shared" si="177"/>
        <v>66361.320000000007</v>
      </c>
      <c r="V216" s="75">
        <f>I216*K216</f>
        <v>66361.320000000007</v>
      </c>
    </row>
    <row r="217" spans="1:22" x14ac:dyDescent="0.25">
      <c r="A217" s="329"/>
      <c r="B217" s="332"/>
      <c r="C217" s="63" t="s">
        <v>167</v>
      </c>
      <c r="D217" s="64" t="s">
        <v>101</v>
      </c>
      <c r="E217" s="59"/>
      <c r="F217" s="59"/>
      <c r="G217" s="59">
        <f t="shared" si="174"/>
        <v>0</v>
      </c>
      <c r="H217" s="59"/>
      <c r="I217" s="59"/>
      <c r="J217" s="75">
        <f t="shared" si="175"/>
        <v>174890.83</v>
      </c>
      <c r="K217" s="75">
        <v>174890.83</v>
      </c>
      <c r="L217" s="59" t="s">
        <v>104</v>
      </c>
      <c r="M217" s="59" t="s">
        <v>104</v>
      </c>
      <c r="N217" s="71">
        <f>O217</f>
        <v>0</v>
      </c>
      <c r="O217" s="146">
        <f t="shared" si="179"/>
        <v>0</v>
      </c>
      <c r="P217" s="146"/>
      <c r="Q217" s="59" t="s">
        <v>104</v>
      </c>
      <c r="R217" s="59"/>
      <c r="S217" s="59"/>
      <c r="T217" s="59" t="s">
        <v>104</v>
      </c>
      <c r="U217" s="75">
        <f t="shared" si="177"/>
        <v>0</v>
      </c>
      <c r="V217" s="75">
        <f>I217*K217</f>
        <v>0</v>
      </c>
    </row>
    <row r="218" spans="1:22" x14ac:dyDescent="0.25">
      <c r="A218" s="329"/>
      <c r="B218" s="332"/>
      <c r="C218" s="63" t="s">
        <v>170</v>
      </c>
      <c r="D218" s="64" t="s">
        <v>101</v>
      </c>
      <c r="E218" s="59">
        <v>1</v>
      </c>
      <c r="F218" s="59">
        <v>1</v>
      </c>
      <c r="G218" s="59">
        <f t="shared" si="174"/>
        <v>1</v>
      </c>
      <c r="H218" s="59">
        <v>1</v>
      </c>
      <c r="I218" s="59">
        <v>1</v>
      </c>
      <c r="J218" s="75">
        <f t="shared" si="175"/>
        <v>99648.29</v>
      </c>
      <c r="K218" s="75">
        <v>99648.29</v>
      </c>
      <c r="L218" s="59" t="s">
        <v>104</v>
      </c>
      <c r="M218" s="59" t="s">
        <v>104</v>
      </c>
      <c r="N218" s="71">
        <f>O218</f>
        <v>99648.29</v>
      </c>
      <c r="O218" s="146">
        <f t="shared" si="179"/>
        <v>99648.29</v>
      </c>
      <c r="P218" s="146"/>
      <c r="Q218" s="59" t="s">
        <v>104</v>
      </c>
      <c r="R218" s="59"/>
      <c r="S218" s="59"/>
      <c r="T218" s="59" t="s">
        <v>104</v>
      </c>
      <c r="U218" s="75">
        <f t="shared" si="177"/>
        <v>99648.29</v>
      </c>
      <c r="V218" s="75">
        <f>I218*K218</f>
        <v>99648.29</v>
      </c>
    </row>
    <row r="219" spans="1:22" x14ac:dyDescent="0.25">
      <c r="A219" s="329"/>
      <c r="B219" s="332"/>
      <c r="C219" s="63" t="s">
        <v>168</v>
      </c>
      <c r="D219" s="64" t="s">
        <v>101</v>
      </c>
      <c r="E219" s="59">
        <v>1</v>
      </c>
      <c r="F219" s="59">
        <v>1</v>
      </c>
      <c r="G219" s="59">
        <f t="shared" si="174"/>
        <v>1</v>
      </c>
      <c r="H219" s="59">
        <v>1</v>
      </c>
      <c r="I219" s="59">
        <v>1</v>
      </c>
      <c r="J219" s="75">
        <f t="shared" si="175"/>
        <v>23553.439999999999</v>
      </c>
      <c r="K219" s="75">
        <v>23553.439999999999</v>
      </c>
      <c r="L219" s="59" t="s">
        <v>104</v>
      </c>
      <c r="M219" s="59" t="s">
        <v>104</v>
      </c>
      <c r="N219" s="71">
        <f>O219</f>
        <v>23553.439999999999</v>
      </c>
      <c r="O219" s="146">
        <f t="shared" si="179"/>
        <v>23553.439999999999</v>
      </c>
      <c r="P219" s="146"/>
      <c r="Q219" s="59" t="s">
        <v>104</v>
      </c>
      <c r="R219" s="59"/>
      <c r="S219" s="59"/>
      <c r="T219" s="59" t="s">
        <v>104</v>
      </c>
      <c r="U219" s="75">
        <f t="shared" si="177"/>
        <v>23553.439999999999</v>
      </c>
      <c r="V219" s="75">
        <f>I219*K219</f>
        <v>23553.439999999999</v>
      </c>
    </row>
    <row r="220" spans="1:22" ht="120" x14ac:dyDescent="0.25">
      <c r="A220" s="329"/>
      <c r="B220" s="332"/>
      <c r="C220" s="61" t="s">
        <v>105</v>
      </c>
      <c r="D220" s="64" t="s">
        <v>101</v>
      </c>
      <c r="E220" s="59">
        <v>2</v>
      </c>
      <c r="F220" s="59">
        <v>2</v>
      </c>
      <c r="G220" s="157">
        <f t="shared" si="174"/>
        <v>2</v>
      </c>
      <c r="H220" s="59">
        <v>2</v>
      </c>
      <c r="I220" s="59">
        <v>2</v>
      </c>
      <c r="J220" s="75">
        <f>SUM(K220:M220)</f>
        <v>138391.77000000002</v>
      </c>
      <c r="K220" s="148">
        <f>121412.92+1351.63</f>
        <v>122764.55</v>
      </c>
      <c r="L220" s="72">
        <v>4001.99</v>
      </c>
      <c r="M220" s="163">
        <v>11625.23</v>
      </c>
      <c r="N220" s="71">
        <f>SUM(O220:T220)</f>
        <v>276783.54000000004</v>
      </c>
      <c r="O220" s="146">
        <f>G220*K220</f>
        <v>245529.1</v>
      </c>
      <c r="P220" s="146"/>
      <c r="Q220" s="71">
        <f>G220*L220</f>
        <v>8003.98</v>
      </c>
      <c r="R220" s="71"/>
      <c r="S220" s="71"/>
      <c r="T220" s="156">
        <f>G220*M220</f>
        <v>23250.46</v>
      </c>
      <c r="U220" s="75">
        <f t="shared" ref="U220:U238" si="180">H220*J220</f>
        <v>276783.54000000004</v>
      </c>
      <c r="V220" s="75">
        <f t="shared" ref="V220:V238" si="181">I220*J220</f>
        <v>276783.54000000004</v>
      </c>
    </row>
    <row r="221" spans="1:22" ht="105" x14ac:dyDescent="0.25">
      <c r="A221" s="329"/>
      <c r="B221" s="332"/>
      <c r="C221" s="61" t="s">
        <v>117</v>
      </c>
      <c r="D221" s="64" t="s">
        <v>101</v>
      </c>
      <c r="E221" s="59">
        <v>0</v>
      </c>
      <c r="F221" s="59">
        <v>0</v>
      </c>
      <c r="G221" s="157">
        <f t="shared" si="174"/>
        <v>0</v>
      </c>
      <c r="H221" s="59">
        <v>0</v>
      </c>
      <c r="I221" s="59">
        <v>0</v>
      </c>
      <c r="J221" s="75">
        <f>K221</f>
        <v>21480.1</v>
      </c>
      <c r="K221" s="75">
        <v>21480.1</v>
      </c>
      <c r="L221" s="72" t="s">
        <v>104</v>
      </c>
      <c r="M221" s="72" t="s">
        <v>104</v>
      </c>
      <c r="N221" s="71">
        <f>SUM(O221:T221)</f>
        <v>0</v>
      </c>
      <c r="O221" s="146">
        <f>G221*K221</f>
        <v>0</v>
      </c>
      <c r="P221" s="146"/>
      <c r="Q221" s="71"/>
      <c r="R221" s="71"/>
      <c r="S221" s="71"/>
      <c r="T221" s="71"/>
      <c r="U221" s="75">
        <f t="shared" si="180"/>
        <v>0</v>
      </c>
      <c r="V221" s="75">
        <f t="shared" si="181"/>
        <v>0</v>
      </c>
    </row>
    <row r="222" spans="1:22" x14ac:dyDescent="0.25">
      <c r="A222" s="329"/>
      <c r="B222" s="333"/>
      <c r="C222" s="66" t="s">
        <v>106</v>
      </c>
      <c r="D222" s="67"/>
      <c r="E222" s="59">
        <f>E212+E220</f>
        <v>328</v>
      </c>
      <c r="F222" s="59">
        <f>F212+F220</f>
        <v>328</v>
      </c>
      <c r="G222" s="59">
        <f>G212+G220</f>
        <v>328</v>
      </c>
      <c r="H222" s="59">
        <f>H212+H220</f>
        <v>328</v>
      </c>
      <c r="I222" s="59">
        <f>I212+I220</f>
        <v>328</v>
      </c>
      <c r="J222" s="71" t="s">
        <v>104</v>
      </c>
      <c r="K222" s="71" t="s">
        <v>104</v>
      </c>
      <c r="L222" s="71" t="s">
        <v>104</v>
      </c>
      <c r="M222" s="71" t="s">
        <v>104</v>
      </c>
      <c r="N222" s="71">
        <f>SUM(N212:N221)</f>
        <v>13771962.510000002</v>
      </c>
      <c r="O222" s="71">
        <f t="shared" ref="O222:V222" si="182">SUM(O212:O221)</f>
        <v>8646234.3499999996</v>
      </c>
      <c r="P222" s="71"/>
      <c r="Q222" s="71">
        <f t="shared" si="182"/>
        <v>1312652.72</v>
      </c>
      <c r="R222" s="71"/>
      <c r="S222" s="71"/>
      <c r="T222" s="71">
        <f t="shared" si="182"/>
        <v>3813075.44</v>
      </c>
      <c r="U222" s="71">
        <f t="shared" si="182"/>
        <v>13771962.510000002</v>
      </c>
      <c r="V222" s="71">
        <f t="shared" si="182"/>
        <v>13771962.510000002</v>
      </c>
    </row>
    <row r="223" spans="1:22" ht="90" x14ac:dyDescent="0.25">
      <c r="A223" s="329"/>
      <c r="B223" s="331" t="s">
        <v>107</v>
      </c>
      <c r="C223" s="61" t="s">
        <v>100</v>
      </c>
      <c r="D223" s="62" t="s">
        <v>101</v>
      </c>
      <c r="E223" s="59">
        <v>174</v>
      </c>
      <c r="F223" s="59">
        <v>174</v>
      </c>
      <c r="G223" s="59">
        <f t="shared" si="174"/>
        <v>174</v>
      </c>
      <c r="H223" s="59">
        <v>174</v>
      </c>
      <c r="I223" s="59">
        <v>174</v>
      </c>
      <c r="J223" s="107">
        <f>SUM(K223:M223)</f>
        <v>51622.92</v>
      </c>
      <c r="K223" s="147">
        <f>34346.05+1649.65</f>
        <v>35995.700000000004</v>
      </c>
      <c r="L223" s="70">
        <v>4001.99</v>
      </c>
      <c r="M223" s="163">
        <v>11625.23</v>
      </c>
      <c r="N223" s="71">
        <f>SUM(O223:T223)</f>
        <v>8982388.0800000001</v>
      </c>
      <c r="O223" s="146">
        <f>G223*K223</f>
        <v>6263251.8000000007</v>
      </c>
      <c r="P223" s="146"/>
      <c r="Q223" s="71">
        <f>G223*L223</f>
        <v>696346.26</v>
      </c>
      <c r="R223" s="71"/>
      <c r="S223" s="71"/>
      <c r="T223" s="156">
        <f>G223*M223</f>
        <v>2022790.02</v>
      </c>
      <c r="U223" s="75">
        <f t="shared" si="180"/>
        <v>8982388.0800000001</v>
      </c>
      <c r="V223" s="75">
        <f t="shared" si="181"/>
        <v>8982388.0800000001</v>
      </c>
    </row>
    <row r="224" spans="1:22" ht="120" x14ac:dyDescent="0.25">
      <c r="A224" s="329"/>
      <c r="B224" s="332"/>
      <c r="C224" s="61" t="s">
        <v>118</v>
      </c>
      <c r="D224" s="62" t="s">
        <v>101</v>
      </c>
      <c r="E224" s="59">
        <v>218</v>
      </c>
      <c r="F224" s="59">
        <v>218</v>
      </c>
      <c r="G224" s="59">
        <f t="shared" si="174"/>
        <v>218</v>
      </c>
      <c r="H224" s="59">
        <v>218</v>
      </c>
      <c r="I224" s="59">
        <v>218</v>
      </c>
      <c r="J224" s="107">
        <f>SUM(K224:M224)</f>
        <v>55059.729999999996</v>
      </c>
      <c r="K224" s="147">
        <f>37782.86+1649.65</f>
        <v>39432.51</v>
      </c>
      <c r="L224" s="70">
        <v>4001.99</v>
      </c>
      <c r="M224" s="163">
        <v>11625.23</v>
      </c>
      <c r="N224" s="71">
        <f>SUM(O224:T224)</f>
        <v>12003021.140000001</v>
      </c>
      <c r="O224" s="146">
        <f>G224*K224</f>
        <v>8596287.1799999997</v>
      </c>
      <c r="P224" s="146"/>
      <c r="Q224" s="71">
        <f>G224*L224</f>
        <v>872433.82</v>
      </c>
      <c r="R224" s="71"/>
      <c r="S224" s="71"/>
      <c r="T224" s="156">
        <f>G224*M224</f>
        <v>2534300.14</v>
      </c>
      <c r="U224" s="75">
        <f t="shared" si="180"/>
        <v>12003021.139999999</v>
      </c>
      <c r="V224" s="75">
        <f t="shared" si="181"/>
        <v>12003021.139999999</v>
      </c>
    </row>
    <row r="225" spans="1:22" ht="120" x14ac:dyDescent="0.25">
      <c r="A225" s="329"/>
      <c r="B225" s="332"/>
      <c r="C225" s="63" t="s">
        <v>102</v>
      </c>
      <c r="D225" s="64" t="s">
        <v>101</v>
      </c>
      <c r="E225" s="59" t="s">
        <v>104</v>
      </c>
      <c r="F225" s="59" t="s">
        <v>104</v>
      </c>
      <c r="G225" s="59" t="s">
        <v>104</v>
      </c>
      <c r="H225" s="59" t="s">
        <v>104</v>
      </c>
      <c r="I225" s="59" t="s">
        <v>104</v>
      </c>
      <c r="J225" s="59" t="s">
        <v>104</v>
      </c>
      <c r="K225" s="59" t="s">
        <v>104</v>
      </c>
      <c r="L225" s="59" t="s">
        <v>104</v>
      </c>
      <c r="M225" s="59" t="s">
        <v>104</v>
      </c>
      <c r="N225" s="71"/>
      <c r="O225" s="71"/>
      <c r="P225" s="71"/>
      <c r="Q225" s="59" t="s">
        <v>104</v>
      </c>
      <c r="R225" s="59"/>
      <c r="S225" s="59"/>
      <c r="T225" s="59" t="s">
        <v>104</v>
      </c>
      <c r="U225" s="75"/>
      <c r="V225" s="75"/>
    </row>
    <row r="226" spans="1:22" x14ac:dyDescent="0.25">
      <c r="A226" s="329"/>
      <c r="B226" s="332"/>
      <c r="C226" s="63" t="s">
        <v>171</v>
      </c>
      <c r="D226" s="64" t="s">
        <v>101</v>
      </c>
      <c r="E226" s="60">
        <v>1</v>
      </c>
      <c r="F226" s="60">
        <v>1</v>
      </c>
      <c r="G226" s="59">
        <f t="shared" si="174"/>
        <v>1</v>
      </c>
      <c r="H226" s="60">
        <v>1</v>
      </c>
      <c r="I226" s="60">
        <v>1</v>
      </c>
      <c r="J226" s="75">
        <f>K226</f>
        <v>69362.66</v>
      </c>
      <c r="K226" s="75">
        <v>69362.66</v>
      </c>
      <c r="L226" s="59" t="s">
        <v>104</v>
      </c>
      <c r="M226" s="59" t="s">
        <v>104</v>
      </c>
      <c r="N226" s="71">
        <f>O226</f>
        <v>69362.66</v>
      </c>
      <c r="O226" s="146">
        <f>G226*K226</f>
        <v>69362.66</v>
      </c>
      <c r="P226" s="146"/>
      <c r="Q226" s="59" t="s">
        <v>104</v>
      </c>
      <c r="R226" s="59"/>
      <c r="S226" s="59"/>
      <c r="T226" s="59" t="s">
        <v>104</v>
      </c>
      <c r="U226" s="75">
        <f>H226*K226</f>
        <v>69362.66</v>
      </c>
      <c r="V226" s="75">
        <f>I226*K226</f>
        <v>69362.66</v>
      </c>
    </row>
    <row r="227" spans="1:22" x14ac:dyDescent="0.25">
      <c r="A227" s="329"/>
      <c r="B227" s="332"/>
      <c r="C227" s="63" t="s">
        <v>164</v>
      </c>
      <c r="D227" s="64" t="s">
        <v>101</v>
      </c>
      <c r="E227" s="60">
        <v>1</v>
      </c>
      <c r="F227" s="60">
        <v>1</v>
      </c>
      <c r="G227" s="59">
        <f t="shared" si="174"/>
        <v>1</v>
      </c>
      <c r="H227" s="60">
        <v>1</v>
      </c>
      <c r="I227" s="60">
        <v>1</v>
      </c>
      <c r="J227" s="75">
        <f>K227</f>
        <v>25589.72</v>
      </c>
      <c r="K227" s="75">
        <v>25589.72</v>
      </c>
      <c r="L227" s="59" t="s">
        <v>104</v>
      </c>
      <c r="M227" s="59" t="s">
        <v>104</v>
      </c>
      <c r="N227" s="71">
        <f>O227</f>
        <v>25589.72</v>
      </c>
      <c r="O227" s="146">
        <f t="shared" ref="O227:O228" si="183">G227*K227</f>
        <v>25589.72</v>
      </c>
      <c r="P227" s="146"/>
      <c r="Q227" s="59" t="s">
        <v>104</v>
      </c>
      <c r="R227" s="59"/>
      <c r="S227" s="59"/>
      <c r="T227" s="59" t="s">
        <v>104</v>
      </c>
      <c r="U227" s="75">
        <f>H227*K227</f>
        <v>25589.72</v>
      </c>
      <c r="V227" s="75">
        <f>I227*K227</f>
        <v>25589.72</v>
      </c>
    </row>
    <row r="228" spans="1:22" x14ac:dyDescent="0.25">
      <c r="A228" s="329"/>
      <c r="B228" s="332"/>
      <c r="C228" s="63" t="s">
        <v>168</v>
      </c>
      <c r="D228" s="64" t="s">
        <v>101</v>
      </c>
      <c r="E228" s="60">
        <v>3</v>
      </c>
      <c r="F228" s="60">
        <v>3</v>
      </c>
      <c r="G228" s="59">
        <f t="shared" si="174"/>
        <v>3</v>
      </c>
      <c r="H228" s="60">
        <v>3</v>
      </c>
      <c r="I228" s="60">
        <v>3</v>
      </c>
      <c r="J228" s="75">
        <f>K228</f>
        <v>23553.439999999999</v>
      </c>
      <c r="K228" s="75">
        <v>23553.439999999999</v>
      </c>
      <c r="L228" s="59" t="s">
        <v>104</v>
      </c>
      <c r="M228" s="59" t="s">
        <v>104</v>
      </c>
      <c r="N228" s="71">
        <f>O228</f>
        <v>70660.319999999992</v>
      </c>
      <c r="O228" s="146">
        <f t="shared" si="183"/>
        <v>70660.319999999992</v>
      </c>
      <c r="P228" s="146"/>
      <c r="Q228" s="59" t="s">
        <v>104</v>
      </c>
      <c r="R228" s="59"/>
      <c r="S228" s="59"/>
      <c r="T228" s="59" t="s">
        <v>104</v>
      </c>
      <c r="U228" s="75">
        <f>H228*K228</f>
        <v>70660.319999999992</v>
      </c>
      <c r="V228" s="75">
        <f>I228*K228</f>
        <v>70660.319999999992</v>
      </c>
    </row>
    <row r="229" spans="1:22" ht="120" x14ac:dyDescent="0.25">
      <c r="A229" s="329"/>
      <c r="B229" s="332"/>
      <c r="C229" s="61" t="s">
        <v>105</v>
      </c>
      <c r="D229" s="64" t="s">
        <v>101</v>
      </c>
      <c r="E229" s="60">
        <v>1</v>
      </c>
      <c r="F229" s="60">
        <v>1</v>
      </c>
      <c r="G229" s="59">
        <f t="shared" si="174"/>
        <v>1</v>
      </c>
      <c r="H229" s="60">
        <v>1</v>
      </c>
      <c r="I229" s="60">
        <v>1</v>
      </c>
      <c r="J229" s="75">
        <f>SUM(K229:M229)</f>
        <v>168684.5</v>
      </c>
      <c r="K229" s="148">
        <f>151407.63+1649.65</f>
        <v>153057.28</v>
      </c>
      <c r="L229" s="72">
        <v>4001.99</v>
      </c>
      <c r="M229" s="163">
        <v>11625.23</v>
      </c>
      <c r="N229" s="73">
        <f>SUM(O229:T229)</f>
        <v>168684.5</v>
      </c>
      <c r="O229" s="149">
        <f>G229*K229</f>
        <v>153057.28</v>
      </c>
      <c r="P229" s="149"/>
      <c r="Q229" s="73">
        <f>G229*L229</f>
        <v>4001.99</v>
      </c>
      <c r="R229" s="73"/>
      <c r="S229" s="73"/>
      <c r="T229" s="171">
        <f>E229*M229</f>
        <v>11625.23</v>
      </c>
      <c r="U229" s="75">
        <f t="shared" si="180"/>
        <v>168684.5</v>
      </c>
      <c r="V229" s="75">
        <f t="shared" si="181"/>
        <v>168684.5</v>
      </c>
    </row>
    <row r="230" spans="1:22" ht="105" x14ac:dyDescent="0.25">
      <c r="A230" s="329"/>
      <c r="B230" s="332"/>
      <c r="C230" s="61" t="s">
        <v>117</v>
      </c>
      <c r="D230" s="64" t="s">
        <v>101</v>
      </c>
      <c r="E230" s="60">
        <v>0</v>
      </c>
      <c r="F230" s="60">
        <v>0</v>
      </c>
      <c r="G230" s="59">
        <f t="shared" si="174"/>
        <v>0</v>
      </c>
      <c r="H230" s="60">
        <v>0</v>
      </c>
      <c r="I230" s="60">
        <v>0</v>
      </c>
      <c r="J230" s="75">
        <f>K230</f>
        <v>34010.129999999997</v>
      </c>
      <c r="K230" s="75">
        <v>34010.129999999997</v>
      </c>
      <c r="L230" s="72" t="s">
        <v>104</v>
      </c>
      <c r="M230" s="72" t="s">
        <v>104</v>
      </c>
      <c r="N230" s="73">
        <f>SUM(O230:T230)</f>
        <v>0</v>
      </c>
      <c r="O230" s="73">
        <f>G230*K230</f>
        <v>0</v>
      </c>
      <c r="P230" s="73"/>
      <c r="Q230" s="73"/>
      <c r="R230" s="73"/>
      <c r="S230" s="73"/>
      <c r="T230" s="73"/>
      <c r="U230" s="75">
        <f t="shared" si="180"/>
        <v>0</v>
      </c>
      <c r="V230" s="75">
        <f t="shared" si="181"/>
        <v>0</v>
      </c>
    </row>
    <row r="231" spans="1:22" x14ac:dyDescent="0.25">
      <c r="A231" s="329"/>
      <c r="B231" s="333"/>
      <c r="C231" s="66" t="s">
        <v>106</v>
      </c>
      <c r="D231" s="64"/>
      <c r="E231" s="60">
        <f>E223++E224+E229</f>
        <v>393</v>
      </c>
      <c r="F231" s="60">
        <f>F223++F224+F229</f>
        <v>393</v>
      </c>
      <c r="G231" s="60">
        <f>G223++G224+G229</f>
        <v>393</v>
      </c>
      <c r="H231" s="60">
        <f>H223++H224+H229</f>
        <v>393</v>
      </c>
      <c r="I231" s="60">
        <f>I223++I224+I229</f>
        <v>393</v>
      </c>
      <c r="J231" s="73" t="s">
        <v>104</v>
      </c>
      <c r="K231" s="73" t="s">
        <v>104</v>
      </c>
      <c r="L231" s="74" t="s">
        <v>104</v>
      </c>
      <c r="M231" s="74" t="s">
        <v>104</v>
      </c>
      <c r="N231" s="74">
        <f>SUM(N223:N230)</f>
        <v>21319706.419999998</v>
      </c>
      <c r="O231" s="74">
        <f t="shared" ref="O231:V231" si="184">SUM(O223:O230)</f>
        <v>15178208.960000001</v>
      </c>
      <c r="P231" s="74"/>
      <c r="Q231" s="74">
        <f t="shared" si="184"/>
        <v>1572782.07</v>
      </c>
      <c r="R231" s="74"/>
      <c r="S231" s="74"/>
      <c r="T231" s="74">
        <f t="shared" si="184"/>
        <v>4568715.3900000006</v>
      </c>
      <c r="U231" s="74">
        <f t="shared" si="184"/>
        <v>21319706.419999998</v>
      </c>
      <c r="V231" s="74">
        <f t="shared" si="184"/>
        <v>21319706.419999998</v>
      </c>
    </row>
    <row r="232" spans="1:22" ht="90" x14ac:dyDescent="0.25">
      <c r="A232" s="329"/>
      <c r="B232" s="331" t="s">
        <v>108</v>
      </c>
      <c r="C232" s="61" t="s">
        <v>100</v>
      </c>
      <c r="D232" s="62" t="s">
        <v>101</v>
      </c>
      <c r="E232" s="60">
        <v>53</v>
      </c>
      <c r="F232" s="60">
        <v>53</v>
      </c>
      <c r="G232" s="59">
        <f t="shared" si="174"/>
        <v>53</v>
      </c>
      <c r="H232" s="60">
        <v>53</v>
      </c>
      <c r="I232" s="60">
        <v>53</v>
      </c>
      <c r="J232" s="107">
        <f>SUM(K232:M232)</f>
        <v>58731.119999999995</v>
      </c>
      <c r="K232" s="147">
        <f>41105.12+1998.78</f>
        <v>43103.9</v>
      </c>
      <c r="L232" s="70">
        <v>4001.99</v>
      </c>
      <c r="M232" s="163">
        <v>11625.23</v>
      </c>
      <c r="N232" s="73">
        <f>SUM(O232:T232)</f>
        <v>3112749.3600000003</v>
      </c>
      <c r="O232" s="149">
        <f>G232*K232</f>
        <v>2284506.7000000002</v>
      </c>
      <c r="P232" s="149"/>
      <c r="Q232" s="73">
        <f>G232*L232</f>
        <v>212105.47</v>
      </c>
      <c r="R232" s="73"/>
      <c r="S232" s="73"/>
      <c r="T232" s="156">
        <f>G232*M232</f>
        <v>616137.18999999994</v>
      </c>
      <c r="U232" s="75">
        <f>H232*J232</f>
        <v>3112749.36</v>
      </c>
      <c r="V232" s="75">
        <f t="shared" si="181"/>
        <v>3112749.36</v>
      </c>
    </row>
    <row r="233" spans="1:22" ht="119.25" x14ac:dyDescent="0.25">
      <c r="A233" s="329"/>
      <c r="B233" s="332"/>
      <c r="C233" s="61" t="s">
        <v>172</v>
      </c>
      <c r="D233" s="62" t="s">
        <v>101</v>
      </c>
      <c r="E233" s="60">
        <v>52</v>
      </c>
      <c r="F233" s="60">
        <v>52</v>
      </c>
      <c r="G233" s="59">
        <f t="shared" si="174"/>
        <v>52</v>
      </c>
      <c r="H233" s="60">
        <v>52</v>
      </c>
      <c r="I233" s="60">
        <v>52</v>
      </c>
      <c r="J233" s="107">
        <f>SUM(K233:M233)</f>
        <v>101026.57</v>
      </c>
      <c r="K233" s="147">
        <f>83400.57+1998.78</f>
        <v>85399.35</v>
      </c>
      <c r="L233" s="70">
        <v>4001.99</v>
      </c>
      <c r="M233" s="163">
        <v>11625.23</v>
      </c>
      <c r="N233" s="73">
        <f>SUM(O233:T233)</f>
        <v>5253381.6399999997</v>
      </c>
      <c r="O233" s="149">
        <f>G233*K233</f>
        <v>4440766.2</v>
      </c>
      <c r="P233" s="149"/>
      <c r="Q233" s="73">
        <f>G233*L233</f>
        <v>208103.47999999998</v>
      </c>
      <c r="R233" s="73"/>
      <c r="S233" s="73"/>
      <c r="T233" s="156">
        <f>G233*M233</f>
        <v>604511.96</v>
      </c>
      <c r="U233" s="75">
        <f t="shared" si="180"/>
        <v>5253381.6400000006</v>
      </c>
      <c r="V233" s="75">
        <f t="shared" si="181"/>
        <v>5253381.6400000006</v>
      </c>
    </row>
    <row r="234" spans="1:22" ht="120" x14ac:dyDescent="0.25">
      <c r="A234" s="329"/>
      <c r="B234" s="332"/>
      <c r="C234" s="63" t="s">
        <v>102</v>
      </c>
      <c r="D234" s="64" t="s">
        <v>101</v>
      </c>
      <c r="E234" s="59" t="s">
        <v>104</v>
      </c>
      <c r="F234" s="59" t="s">
        <v>104</v>
      </c>
      <c r="G234" s="59" t="s">
        <v>104</v>
      </c>
      <c r="H234" s="59" t="s">
        <v>104</v>
      </c>
      <c r="I234" s="59" t="s">
        <v>104</v>
      </c>
      <c r="J234" s="59" t="s">
        <v>104</v>
      </c>
      <c r="K234" s="59" t="s">
        <v>104</v>
      </c>
      <c r="L234" s="59" t="s">
        <v>104</v>
      </c>
      <c r="M234" s="59" t="s">
        <v>104</v>
      </c>
      <c r="N234" s="71"/>
      <c r="O234" s="71"/>
      <c r="P234" s="71"/>
      <c r="Q234" s="59" t="s">
        <v>104</v>
      </c>
      <c r="R234" s="59"/>
      <c r="S234" s="59"/>
      <c r="T234" s="59" t="s">
        <v>104</v>
      </c>
      <c r="U234" s="75"/>
      <c r="V234" s="75"/>
    </row>
    <row r="235" spans="1:22" x14ac:dyDescent="0.25">
      <c r="A235" s="329"/>
      <c r="B235" s="332"/>
      <c r="C235" s="63" t="s">
        <v>168</v>
      </c>
      <c r="D235" s="64" t="s">
        <v>101</v>
      </c>
      <c r="E235" s="60"/>
      <c r="F235" s="60"/>
      <c r="G235" s="59">
        <f t="shared" si="174"/>
        <v>0</v>
      </c>
      <c r="H235" s="60"/>
      <c r="I235" s="60"/>
      <c r="J235" s="75">
        <f>K235</f>
        <v>23553.439999999999</v>
      </c>
      <c r="K235" s="75">
        <v>23553.439999999999</v>
      </c>
      <c r="L235" s="59" t="s">
        <v>104</v>
      </c>
      <c r="M235" s="59" t="s">
        <v>104</v>
      </c>
      <c r="N235" s="71">
        <f>O235</f>
        <v>0</v>
      </c>
      <c r="O235" s="146">
        <f>G235*K235</f>
        <v>0</v>
      </c>
      <c r="P235" s="146"/>
      <c r="Q235" s="59" t="s">
        <v>104</v>
      </c>
      <c r="R235" s="59"/>
      <c r="S235" s="59"/>
      <c r="T235" s="59" t="s">
        <v>104</v>
      </c>
      <c r="U235" s="75">
        <f>H235*K235</f>
        <v>0</v>
      </c>
      <c r="V235" s="75">
        <f>I235*K235</f>
        <v>0</v>
      </c>
    </row>
    <row r="236" spans="1:22" ht="120" x14ac:dyDescent="0.25">
      <c r="A236" s="329"/>
      <c r="B236" s="332"/>
      <c r="C236" s="61" t="s">
        <v>105</v>
      </c>
      <c r="D236" s="64" t="s">
        <v>101</v>
      </c>
      <c r="E236" s="60"/>
      <c r="F236" s="60"/>
      <c r="G236" s="59">
        <f t="shared" si="174"/>
        <v>0</v>
      </c>
      <c r="H236" s="60"/>
      <c r="I236" s="60"/>
      <c r="J236" s="75">
        <f>SUM(K236:M236)</f>
        <v>199028.35</v>
      </c>
      <c r="K236" s="148">
        <f>181402.35+1998.78</f>
        <v>183401.13</v>
      </c>
      <c r="L236" s="72">
        <v>4001.99</v>
      </c>
      <c r="M236" s="163">
        <v>11625.23</v>
      </c>
      <c r="N236" s="73"/>
      <c r="O236" s="149"/>
      <c r="P236" s="149"/>
      <c r="Q236" s="73"/>
      <c r="R236" s="73"/>
      <c r="S236" s="73"/>
      <c r="T236" s="73"/>
      <c r="U236" s="75">
        <f t="shared" si="180"/>
        <v>0</v>
      </c>
      <c r="V236" s="75">
        <f t="shared" si="181"/>
        <v>0</v>
      </c>
    </row>
    <row r="237" spans="1:22" x14ac:dyDescent="0.25">
      <c r="A237" s="329"/>
      <c r="B237" s="333"/>
      <c r="C237" s="66" t="s">
        <v>106</v>
      </c>
      <c r="D237" s="64"/>
      <c r="E237" s="60">
        <f>E232+E236</f>
        <v>53</v>
      </c>
      <c r="F237" s="60">
        <f t="shared" ref="F237:I237" si="185">F232+F236</f>
        <v>53</v>
      </c>
      <c r="G237" s="60">
        <f t="shared" si="185"/>
        <v>53</v>
      </c>
      <c r="H237" s="60">
        <f t="shared" si="185"/>
        <v>53</v>
      </c>
      <c r="I237" s="60">
        <f t="shared" si="185"/>
        <v>53</v>
      </c>
      <c r="J237" s="73" t="s">
        <v>104</v>
      </c>
      <c r="K237" s="73" t="s">
        <v>104</v>
      </c>
      <c r="L237" s="74" t="s">
        <v>104</v>
      </c>
      <c r="M237" s="74" t="s">
        <v>104</v>
      </c>
      <c r="N237" s="74">
        <f>SUM(N232:N236)</f>
        <v>8366131</v>
      </c>
      <c r="O237" s="74">
        <f t="shared" ref="O237:V237" si="186">SUM(O232:O236)</f>
        <v>6725272.9000000004</v>
      </c>
      <c r="P237" s="74"/>
      <c r="Q237" s="74">
        <f t="shared" si="186"/>
        <v>420208.94999999995</v>
      </c>
      <c r="R237" s="74"/>
      <c r="S237" s="74"/>
      <c r="T237" s="74">
        <f t="shared" si="186"/>
        <v>1220649.1499999999</v>
      </c>
      <c r="U237" s="74">
        <f t="shared" si="186"/>
        <v>8366131</v>
      </c>
      <c r="V237" s="74">
        <f t="shared" si="186"/>
        <v>8366131</v>
      </c>
    </row>
    <row r="238" spans="1:22" ht="105" x14ac:dyDescent="0.25">
      <c r="A238" s="329"/>
      <c r="B238" s="137" t="s">
        <v>109</v>
      </c>
      <c r="C238" s="61" t="s">
        <v>187</v>
      </c>
      <c r="D238" s="64" t="s">
        <v>101</v>
      </c>
      <c r="E238" s="60">
        <v>1235</v>
      </c>
      <c r="F238" s="60">
        <v>1235</v>
      </c>
      <c r="G238" s="59">
        <f t="shared" si="174"/>
        <v>1235</v>
      </c>
      <c r="H238" s="60">
        <v>1235</v>
      </c>
      <c r="I238" s="60">
        <v>1235</v>
      </c>
      <c r="J238" s="75">
        <f>K238</f>
        <v>3978.76</v>
      </c>
      <c r="K238" s="75">
        <v>3978.76</v>
      </c>
      <c r="L238" s="72" t="s">
        <v>104</v>
      </c>
      <c r="M238" s="72" t="s">
        <v>104</v>
      </c>
      <c r="N238" s="73">
        <f>SUM(O238:T238)</f>
        <v>4913768.6000000006</v>
      </c>
      <c r="O238" s="149">
        <f>G238*K238</f>
        <v>4913768.6000000006</v>
      </c>
      <c r="P238" s="149"/>
      <c r="Q238" s="73" t="s">
        <v>104</v>
      </c>
      <c r="R238" s="73"/>
      <c r="S238" s="73"/>
      <c r="T238" s="73" t="s">
        <v>104</v>
      </c>
      <c r="U238" s="75">
        <f t="shared" si="180"/>
        <v>4913768.6000000006</v>
      </c>
      <c r="V238" s="75">
        <f t="shared" si="181"/>
        <v>4913768.6000000006</v>
      </c>
    </row>
    <row r="239" spans="1:22" x14ac:dyDescent="0.25">
      <c r="A239" s="329"/>
      <c r="B239" s="69"/>
      <c r="C239" s="66" t="s">
        <v>106</v>
      </c>
      <c r="D239" s="69"/>
      <c r="E239" s="60">
        <f>SUM(E238:E238)</f>
        <v>1235</v>
      </c>
      <c r="F239" s="60">
        <f>SUM(F238:F238)</f>
        <v>1235</v>
      </c>
      <c r="G239" s="60">
        <f>SUM(G238:G238)</f>
        <v>1235</v>
      </c>
      <c r="H239" s="60">
        <f>SUM(H238:H238)</f>
        <v>1235</v>
      </c>
      <c r="I239" s="60">
        <f>SUM(I238:I238)</f>
        <v>1235</v>
      </c>
      <c r="J239" s="73" t="s">
        <v>104</v>
      </c>
      <c r="K239" s="73" t="s">
        <v>104</v>
      </c>
      <c r="L239" s="74" t="s">
        <v>104</v>
      </c>
      <c r="M239" s="74">
        <f t="shared" ref="M239:V239" si="187">SUM(M238:M238)</f>
        <v>0</v>
      </c>
      <c r="N239" s="74">
        <f t="shared" si="187"/>
        <v>4913768.6000000006</v>
      </c>
      <c r="O239" s="74">
        <f t="shared" si="187"/>
        <v>4913768.6000000006</v>
      </c>
      <c r="P239" s="74"/>
      <c r="Q239" s="74">
        <f t="shared" si="187"/>
        <v>0</v>
      </c>
      <c r="R239" s="74"/>
      <c r="S239" s="74"/>
      <c r="T239" s="74">
        <f t="shared" si="187"/>
        <v>0</v>
      </c>
      <c r="U239" s="75">
        <f t="shared" si="187"/>
        <v>4913768.6000000006</v>
      </c>
      <c r="V239" s="75">
        <f t="shared" si="187"/>
        <v>4913768.6000000006</v>
      </c>
    </row>
    <row r="240" spans="1:22" x14ac:dyDescent="0.25">
      <c r="A240" s="329"/>
      <c r="B240" s="101" t="s">
        <v>112</v>
      </c>
      <c r="C240" s="101"/>
      <c r="D240" s="69"/>
      <c r="E240" s="102"/>
      <c r="F240" s="102"/>
      <c r="G240" s="102"/>
      <c r="H240" s="102"/>
      <c r="I240" s="102"/>
      <c r="J240" s="104"/>
      <c r="K240" s="104"/>
      <c r="L240" s="103"/>
      <c r="M240" s="103"/>
      <c r="N240" s="103">
        <f t="shared" ref="N240:V240" si="188">N222+N231+N237+N239</f>
        <v>48371568.530000001</v>
      </c>
      <c r="O240" s="103">
        <f t="shared" si="188"/>
        <v>35463484.810000002</v>
      </c>
      <c r="P240" s="103"/>
      <c r="Q240" s="103">
        <f t="shared" si="188"/>
        <v>3305643.74</v>
      </c>
      <c r="R240" s="103"/>
      <c r="S240" s="103"/>
      <c r="T240" s="103">
        <f t="shared" si="188"/>
        <v>9602439.9800000004</v>
      </c>
      <c r="U240" s="103">
        <f t="shared" si="188"/>
        <v>48371568.530000001</v>
      </c>
      <c r="V240" s="103">
        <f t="shared" si="188"/>
        <v>48371568.530000001</v>
      </c>
    </row>
    <row r="241" spans="1:23" ht="187.15" customHeight="1" x14ac:dyDescent="0.25">
      <c r="A241" s="329" t="s">
        <v>119</v>
      </c>
      <c r="B241" s="330" t="s">
        <v>99</v>
      </c>
      <c r="C241" s="61" t="s">
        <v>120</v>
      </c>
      <c r="D241" s="62" t="s">
        <v>121</v>
      </c>
      <c r="E241" s="121" t="s">
        <v>192</v>
      </c>
      <c r="F241" s="121" t="s">
        <v>192</v>
      </c>
      <c r="G241" s="121" t="s">
        <v>192</v>
      </c>
      <c r="H241" s="121" t="s">
        <v>192</v>
      </c>
      <c r="I241" s="121" t="s">
        <v>192</v>
      </c>
      <c r="J241" s="151" t="s">
        <v>214</v>
      </c>
      <c r="K241" s="147" t="s">
        <v>195</v>
      </c>
      <c r="L241" s="70" t="s">
        <v>185</v>
      </c>
      <c r="M241" s="163" t="s">
        <v>213</v>
      </c>
      <c r="N241" s="71">
        <f>SUM(O241:T241)</f>
        <v>3267447.26</v>
      </c>
      <c r="O241" s="146">
        <f>(668575.57*3)+((1351.63*67)/12*8+(1351.63*67)/12*4)</f>
        <v>2096285.92</v>
      </c>
      <c r="P241" s="146"/>
      <c r="Q241" s="71">
        <f>((4001.99*67)/12*8)+((4001.99*67)/12*4)</f>
        <v>268133.32999999996</v>
      </c>
      <c r="R241" s="71"/>
      <c r="S241" s="71"/>
      <c r="T241" s="156">
        <f>((13478.03*67)/12*8)+((13478.03*67)/12*4)</f>
        <v>903028.01</v>
      </c>
      <c r="U241" s="46">
        <f>668575.57*3+18831.65*67</f>
        <v>3267447.26</v>
      </c>
      <c r="V241" s="75">
        <f>U241</f>
        <v>3267447.26</v>
      </c>
    </row>
    <row r="242" spans="1:23" ht="202.15" customHeight="1" x14ac:dyDescent="0.25">
      <c r="A242" s="329"/>
      <c r="B242" s="330"/>
      <c r="C242" s="61" t="s">
        <v>128</v>
      </c>
      <c r="D242" s="62" t="s">
        <v>121</v>
      </c>
      <c r="E242" s="121" t="s">
        <v>193</v>
      </c>
      <c r="F242" s="121" t="s">
        <v>193</v>
      </c>
      <c r="G242" s="121" t="s">
        <v>193</v>
      </c>
      <c r="H242" s="121" t="s">
        <v>193</v>
      </c>
      <c r="I242" s="121" t="s">
        <v>193</v>
      </c>
      <c r="J242" s="151" t="s">
        <v>215</v>
      </c>
      <c r="K242" s="147" t="s">
        <v>194</v>
      </c>
      <c r="L242" s="70" t="s">
        <v>185</v>
      </c>
      <c r="M242" s="163" t="s">
        <v>213</v>
      </c>
      <c r="N242" s="71">
        <f t="shared" ref="N242:N248" si="189">SUM(O242:T242)</f>
        <v>940427.04</v>
      </c>
      <c r="O242" s="146">
        <f>(((628912.16*1)/12*8+(628912.16*1)/12*4)+((1351.63*19)/12*8+(1351.63*19)/12*4))</f>
        <v>654593.13</v>
      </c>
      <c r="P242" s="146"/>
      <c r="Q242" s="71">
        <f>((4001.99*19)/12*8)+((4001.99*19)/12*4)</f>
        <v>76037.81</v>
      </c>
      <c r="R242" s="71"/>
      <c r="S242" s="71"/>
      <c r="T242" s="75">
        <f>((11041.9*19)/12*8)+((11041.9*19)/12*4)</f>
        <v>209796.10000000003</v>
      </c>
      <c r="U242" s="46">
        <f>628912.16*1+16395.52*19</f>
        <v>940427.04</v>
      </c>
      <c r="V242" s="75">
        <f>U242</f>
        <v>940427.04</v>
      </c>
    </row>
    <row r="243" spans="1:23" ht="120" x14ac:dyDescent="0.25">
      <c r="A243" s="329"/>
      <c r="B243" s="330"/>
      <c r="C243" s="63" t="s">
        <v>102</v>
      </c>
      <c r="D243" s="64" t="s">
        <v>101</v>
      </c>
      <c r="E243" s="65"/>
      <c r="F243" s="65"/>
      <c r="G243" s="65"/>
      <c r="H243" s="65"/>
      <c r="I243" s="65"/>
      <c r="J243" s="150" t="s">
        <v>103</v>
      </c>
      <c r="K243" s="150" t="s">
        <v>103</v>
      </c>
      <c r="L243" s="150" t="s">
        <v>103</v>
      </c>
      <c r="M243" s="150" t="s">
        <v>103</v>
      </c>
      <c r="N243" s="150" t="s">
        <v>103</v>
      </c>
      <c r="O243" s="150" t="s">
        <v>103</v>
      </c>
      <c r="P243" s="150"/>
      <c r="Q243" s="150" t="s">
        <v>103</v>
      </c>
      <c r="R243" s="150"/>
      <c r="S243" s="150"/>
      <c r="T243" s="150" t="s">
        <v>103</v>
      </c>
      <c r="U243" s="150" t="s">
        <v>103</v>
      </c>
      <c r="V243" s="150" t="s">
        <v>103</v>
      </c>
    </row>
    <row r="244" spans="1:23" x14ac:dyDescent="0.25">
      <c r="A244" s="329"/>
      <c r="B244" s="330"/>
      <c r="C244" s="63" t="s">
        <v>166</v>
      </c>
      <c r="D244" s="64" t="s">
        <v>101</v>
      </c>
      <c r="E244" s="59">
        <v>2</v>
      </c>
      <c r="F244" s="59">
        <v>2</v>
      </c>
      <c r="G244" s="59">
        <f t="shared" ref="G244:G245" si="190">((E244*8)+(F244*4))/12</f>
        <v>2</v>
      </c>
      <c r="H244" s="59">
        <v>2</v>
      </c>
      <c r="I244" s="59">
        <v>2</v>
      </c>
      <c r="J244" s="148">
        <f>K244</f>
        <v>80183.77</v>
      </c>
      <c r="K244" s="148">
        <v>80183.77</v>
      </c>
      <c r="L244" s="72"/>
      <c r="M244" s="72"/>
      <c r="N244" s="71"/>
      <c r="O244" s="146">
        <f>G244*K244</f>
        <v>160367.54</v>
      </c>
      <c r="P244" s="146"/>
      <c r="Q244" s="71"/>
      <c r="R244" s="71"/>
      <c r="S244" s="71"/>
      <c r="T244" s="118"/>
      <c r="U244" s="75">
        <f>K244*G244</f>
        <v>160367.54</v>
      </c>
      <c r="V244" s="75">
        <f>U244</f>
        <v>160367.54</v>
      </c>
    </row>
    <row r="245" spans="1:23" ht="105" x14ac:dyDescent="0.25">
      <c r="A245" s="329"/>
      <c r="B245" s="330"/>
      <c r="C245" s="61" t="s">
        <v>174</v>
      </c>
      <c r="D245" s="64" t="s">
        <v>101</v>
      </c>
      <c r="E245" s="59"/>
      <c r="F245" s="59"/>
      <c r="G245" s="59">
        <f t="shared" si="190"/>
        <v>0</v>
      </c>
      <c r="H245" s="59"/>
      <c r="I245" s="59"/>
      <c r="J245" s="75">
        <f>K245</f>
        <v>25930.91</v>
      </c>
      <c r="K245" s="75">
        <v>25930.91</v>
      </c>
      <c r="L245" s="71" t="s">
        <v>104</v>
      </c>
      <c r="M245" s="71" t="s">
        <v>104</v>
      </c>
      <c r="N245" s="71">
        <f>O245</f>
        <v>0</v>
      </c>
      <c r="O245" s="146">
        <f>G245*K245</f>
        <v>0</v>
      </c>
      <c r="P245" s="146"/>
      <c r="Q245" s="71" t="s">
        <v>104</v>
      </c>
      <c r="R245" s="71"/>
      <c r="S245" s="71"/>
      <c r="T245" s="118" t="s">
        <v>104</v>
      </c>
      <c r="U245" s="75">
        <f>H245*K245</f>
        <v>0</v>
      </c>
      <c r="V245" s="75">
        <f>I245*K245</f>
        <v>0</v>
      </c>
    </row>
    <row r="246" spans="1:23" x14ac:dyDescent="0.25">
      <c r="A246" s="329"/>
      <c r="B246" s="330"/>
      <c r="C246" s="66" t="s">
        <v>106</v>
      </c>
      <c r="D246" s="67"/>
      <c r="E246" s="121" t="s">
        <v>198</v>
      </c>
      <c r="F246" s="121" t="s">
        <v>198</v>
      </c>
      <c r="G246" s="121" t="s">
        <v>198</v>
      </c>
      <c r="H246" s="121" t="s">
        <v>198</v>
      </c>
      <c r="I246" s="121" t="s">
        <v>198</v>
      </c>
      <c r="J246" s="71" t="s">
        <v>104</v>
      </c>
      <c r="K246" s="71" t="s">
        <v>104</v>
      </c>
      <c r="L246" s="71" t="s">
        <v>104</v>
      </c>
      <c r="M246" s="71" t="s">
        <v>104</v>
      </c>
      <c r="N246" s="71">
        <f>SUM(O246:T246)</f>
        <v>4368241.84</v>
      </c>
      <c r="O246" s="71">
        <f>SUM(O241:O245)</f>
        <v>2911246.59</v>
      </c>
      <c r="P246" s="71"/>
      <c r="Q246" s="71">
        <f>SUM(Q241:Q245)</f>
        <v>344171.13999999996</v>
      </c>
      <c r="R246" s="71"/>
      <c r="S246" s="71"/>
      <c r="T246" s="71">
        <f t="shared" ref="T246:V246" si="191">SUM(T241:T245)</f>
        <v>1112824.1100000001</v>
      </c>
      <c r="U246" s="71">
        <f t="shared" si="191"/>
        <v>4368241.84</v>
      </c>
      <c r="V246" s="71">
        <f t="shared" si="191"/>
        <v>4368241.84</v>
      </c>
    </row>
    <row r="247" spans="1:23" ht="225" x14ac:dyDescent="0.25">
      <c r="A247" s="329"/>
      <c r="B247" s="330" t="s">
        <v>107</v>
      </c>
      <c r="C247" s="61" t="s">
        <v>120</v>
      </c>
      <c r="D247" s="62" t="s">
        <v>121</v>
      </c>
      <c r="E247" s="121" t="s">
        <v>198</v>
      </c>
      <c r="F247" s="121" t="s">
        <v>198</v>
      </c>
      <c r="G247" s="121" t="s">
        <v>198</v>
      </c>
      <c r="H247" s="121" t="s">
        <v>198</v>
      </c>
      <c r="I247" s="121" t="s">
        <v>198</v>
      </c>
      <c r="J247" s="151" t="s">
        <v>216</v>
      </c>
      <c r="K247" s="147" t="s">
        <v>197</v>
      </c>
      <c r="L247" s="70" t="s">
        <v>185</v>
      </c>
      <c r="M247" s="163" t="s">
        <v>213</v>
      </c>
      <c r="N247" s="71">
        <f t="shared" si="189"/>
        <v>5408628.8399999999</v>
      </c>
      <c r="O247" s="146">
        <f>(((993246.1*4)/12*8+(993246.1*4)/12*4)+((1649.65*86)/12*8+(1649.65*86)/12*4))</f>
        <v>4114854.3</v>
      </c>
      <c r="P247" s="146"/>
      <c r="Q247" s="71">
        <f>((4001.99*86)/12*8)+((4001.99*86)/12*4)</f>
        <v>344171.13999999996</v>
      </c>
      <c r="R247" s="71"/>
      <c r="S247" s="71"/>
      <c r="T247" s="71">
        <f>((11041.9*86)/12*8)+((11041.9*86)/12*4)</f>
        <v>949603.4</v>
      </c>
      <c r="U247" s="46">
        <f>4*993246.1+86*16693.54</f>
        <v>5408628.8399999999</v>
      </c>
      <c r="V247" s="75">
        <f>U247</f>
        <v>5408628.8399999999</v>
      </c>
      <c r="W247" s="124"/>
    </row>
    <row r="248" spans="1:23" ht="240" x14ac:dyDescent="0.25">
      <c r="A248" s="329"/>
      <c r="B248" s="330"/>
      <c r="C248" s="61" t="s">
        <v>128</v>
      </c>
      <c r="D248" s="62" t="s">
        <v>121</v>
      </c>
      <c r="E248" s="79" t="s">
        <v>199</v>
      </c>
      <c r="F248" s="79" t="s">
        <v>199</v>
      </c>
      <c r="G248" s="79" t="s">
        <v>199</v>
      </c>
      <c r="H248" s="79" t="s">
        <v>199</v>
      </c>
      <c r="I248" s="79" t="s">
        <v>199</v>
      </c>
      <c r="J248" s="151" t="s">
        <v>217</v>
      </c>
      <c r="K248" s="147" t="s">
        <v>196</v>
      </c>
      <c r="L248" s="70" t="s">
        <v>185</v>
      </c>
      <c r="M248" s="163" t="s">
        <v>213</v>
      </c>
      <c r="N248" s="71">
        <f t="shared" si="189"/>
        <v>2058739.2200000002</v>
      </c>
      <c r="O248" s="146">
        <f>(((787313.28*2)/12*8+(787313.28*2)/12*4)+((1649.65*29)/12*8+(1649.65*29)/12*4))</f>
        <v>1622466.4100000001</v>
      </c>
      <c r="P248" s="146"/>
      <c r="Q248" s="71">
        <f>((4001.99*29)/12*8)+((4001.99*29)/12*4)</f>
        <v>116057.70999999999</v>
      </c>
      <c r="R248" s="71"/>
      <c r="S248" s="71"/>
      <c r="T248" s="71">
        <f>((11041.9*29)/12*8)+((11041.9*29)/12*4)</f>
        <v>320215.09999999998</v>
      </c>
      <c r="U248" s="46">
        <f>2*787313.28+16693.54*29</f>
        <v>2058739.2200000002</v>
      </c>
      <c r="V248" s="75">
        <f>U248</f>
        <v>2058739.2200000002</v>
      </c>
    </row>
    <row r="249" spans="1:23" ht="135" x14ac:dyDescent="0.25">
      <c r="A249" s="329"/>
      <c r="B249" s="330"/>
      <c r="C249" s="63" t="s">
        <v>163</v>
      </c>
      <c r="D249" s="64" t="s">
        <v>101</v>
      </c>
      <c r="E249" s="59" t="s">
        <v>104</v>
      </c>
      <c r="F249" s="59" t="s">
        <v>104</v>
      </c>
      <c r="G249" s="59" t="s">
        <v>104</v>
      </c>
      <c r="H249" s="59" t="s">
        <v>104</v>
      </c>
      <c r="I249" s="59" t="s">
        <v>104</v>
      </c>
      <c r="J249" s="59" t="s">
        <v>104</v>
      </c>
      <c r="K249" s="59" t="s">
        <v>104</v>
      </c>
      <c r="L249" s="59" t="s">
        <v>104</v>
      </c>
      <c r="M249" s="59" t="s">
        <v>104</v>
      </c>
      <c r="N249" s="71"/>
      <c r="O249" s="71"/>
      <c r="P249" s="71"/>
      <c r="Q249" s="59" t="s">
        <v>104</v>
      </c>
      <c r="R249" s="59"/>
      <c r="S249" s="59"/>
      <c r="T249" s="59" t="s">
        <v>104</v>
      </c>
      <c r="U249" s="75"/>
      <c r="V249" s="75"/>
    </row>
    <row r="250" spans="1:23" x14ac:dyDescent="0.25">
      <c r="A250" s="329"/>
      <c r="B250" s="110"/>
      <c r="C250" s="63" t="s">
        <v>165</v>
      </c>
      <c r="D250" s="64"/>
      <c r="E250" s="60">
        <v>1</v>
      </c>
      <c r="F250" s="60">
        <v>1</v>
      </c>
      <c r="G250" s="59">
        <f t="shared" ref="G250:G253" si="192">((E250*8)+(F250*4))/12</f>
        <v>1</v>
      </c>
      <c r="H250" s="60">
        <v>1</v>
      </c>
      <c r="I250" s="60">
        <v>1</v>
      </c>
      <c r="J250" s="75">
        <f>K250</f>
        <v>112063.65</v>
      </c>
      <c r="K250" s="75">
        <v>112063.65</v>
      </c>
      <c r="L250" s="59" t="s">
        <v>104</v>
      </c>
      <c r="M250" s="59" t="s">
        <v>104</v>
      </c>
      <c r="N250" s="71">
        <f>O250</f>
        <v>112063.65</v>
      </c>
      <c r="O250" s="149">
        <f>G250*K250</f>
        <v>112063.65</v>
      </c>
      <c r="P250" s="149"/>
      <c r="Q250" s="59" t="s">
        <v>104</v>
      </c>
      <c r="R250" s="59"/>
      <c r="S250" s="59"/>
      <c r="T250" s="59" t="s">
        <v>104</v>
      </c>
      <c r="U250" s="75">
        <f>H250*K250</f>
        <v>112063.65</v>
      </c>
      <c r="V250" s="75">
        <f>I250*K250</f>
        <v>112063.65</v>
      </c>
    </row>
    <row r="251" spans="1:23" x14ac:dyDescent="0.25">
      <c r="A251" s="329"/>
      <c r="B251" s="110"/>
      <c r="C251" s="63" t="s">
        <v>168</v>
      </c>
      <c r="D251" s="64"/>
      <c r="E251" s="60">
        <v>1</v>
      </c>
      <c r="F251" s="60">
        <v>1</v>
      </c>
      <c r="G251" s="59">
        <f t="shared" si="192"/>
        <v>1</v>
      </c>
      <c r="H251" s="60">
        <v>1</v>
      </c>
      <c r="I251" s="60">
        <v>1</v>
      </c>
      <c r="J251" s="75">
        <f>K251</f>
        <v>28342.92</v>
      </c>
      <c r="K251" s="75">
        <v>28342.92</v>
      </c>
      <c r="L251" s="105" t="s">
        <v>104</v>
      </c>
      <c r="M251" s="59" t="s">
        <v>104</v>
      </c>
      <c r="N251" s="71">
        <f>O251</f>
        <v>28342.92</v>
      </c>
      <c r="O251" s="149">
        <f>G251*K251</f>
        <v>28342.92</v>
      </c>
      <c r="P251" s="149"/>
      <c r="Q251" s="59" t="s">
        <v>104</v>
      </c>
      <c r="R251" s="59"/>
      <c r="S251" s="59"/>
      <c r="T251" s="59" t="s">
        <v>104</v>
      </c>
      <c r="U251" s="75">
        <f>H251*K251</f>
        <v>28342.92</v>
      </c>
      <c r="V251" s="75">
        <f>I251*K251</f>
        <v>28342.92</v>
      </c>
    </row>
    <row r="252" spans="1:23" ht="120" x14ac:dyDescent="0.25">
      <c r="A252" s="329"/>
      <c r="B252" s="110"/>
      <c r="C252" s="76" t="s">
        <v>173</v>
      </c>
      <c r="D252" s="64" t="s">
        <v>101</v>
      </c>
      <c r="E252" s="79">
        <v>1</v>
      </c>
      <c r="F252" s="79">
        <v>1</v>
      </c>
      <c r="G252" s="59">
        <f t="shared" si="192"/>
        <v>1</v>
      </c>
      <c r="H252" s="79">
        <v>1</v>
      </c>
      <c r="I252" s="79">
        <v>1</v>
      </c>
      <c r="J252" s="75">
        <f>SUM(K252:M252)</f>
        <v>227560.27</v>
      </c>
      <c r="K252" s="75">
        <f>225910.62+1649.65</f>
        <v>227560.27</v>
      </c>
      <c r="L252" s="70" t="s">
        <v>185</v>
      </c>
      <c r="M252" s="163" t="s">
        <v>213</v>
      </c>
      <c r="N252" s="73">
        <f>SUM(O252:T252)</f>
        <v>242604.15999999997</v>
      </c>
      <c r="O252" s="149">
        <f>G252*K252</f>
        <v>227560.27</v>
      </c>
      <c r="P252" s="149"/>
      <c r="Q252" s="73">
        <f>G252*4001.99</f>
        <v>4001.99</v>
      </c>
      <c r="R252" s="73"/>
      <c r="S252" s="73"/>
      <c r="T252" s="73">
        <f>G252*11041.9</f>
        <v>11041.9</v>
      </c>
      <c r="U252" s="75">
        <f>N252</f>
        <v>242604.15999999997</v>
      </c>
      <c r="V252" s="75">
        <f>U252</f>
        <v>242604.15999999997</v>
      </c>
    </row>
    <row r="253" spans="1:23" ht="105" x14ac:dyDescent="0.25">
      <c r="A253" s="329"/>
      <c r="B253" s="110"/>
      <c r="C253" s="61" t="s">
        <v>174</v>
      </c>
      <c r="D253" s="64" t="s">
        <v>101</v>
      </c>
      <c r="E253" s="79">
        <v>1</v>
      </c>
      <c r="F253" s="79">
        <v>1</v>
      </c>
      <c r="G253" s="59">
        <f t="shared" si="192"/>
        <v>1</v>
      </c>
      <c r="H253" s="79">
        <v>1</v>
      </c>
      <c r="I253" s="79">
        <v>1</v>
      </c>
      <c r="J253" s="75">
        <f>K253</f>
        <v>41057.29</v>
      </c>
      <c r="K253" s="75">
        <v>41057.29</v>
      </c>
      <c r="L253" s="74"/>
      <c r="M253" s="74"/>
      <c r="N253" s="73">
        <f>O253</f>
        <v>41057.29</v>
      </c>
      <c r="O253" s="149">
        <f>G253*K253</f>
        <v>41057.29</v>
      </c>
      <c r="P253" s="149"/>
      <c r="Q253" s="73"/>
      <c r="R253" s="73"/>
      <c r="S253" s="73"/>
      <c r="T253" s="73"/>
      <c r="U253" s="75">
        <f>H253*K253</f>
        <v>41057.29</v>
      </c>
      <c r="V253" s="75">
        <f>I253*K253</f>
        <v>41057.29</v>
      </c>
    </row>
    <row r="254" spans="1:23" x14ac:dyDescent="0.25">
      <c r="A254" s="329"/>
      <c r="B254" s="110"/>
      <c r="C254" s="66" t="s">
        <v>106</v>
      </c>
      <c r="D254" s="64"/>
      <c r="E254" s="77" t="s">
        <v>202</v>
      </c>
      <c r="F254" s="77" t="s">
        <v>202</v>
      </c>
      <c r="G254" s="77" t="s">
        <v>202</v>
      </c>
      <c r="H254" s="77" t="s">
        <v>202</v>
      </c>
      <c r="I254" s="77" t="s">
        <v>202</v>
      </c>
      <c r="J254" s="73" t="s">
        <v>104</v>
      </c>
      <c r="K254" s="73" t="s">
        <v>104</v>
      </c>
      <c r="L254" s="74" t="s">
        <v>104</v>
      </c>
      <c r="M254" s="74" t="s">
        <v>104</v>
      </c>
      <c r="N254" s="74">
        <f>SUM(O254:T254)</f>
        <v>7891436.0800000001</v>
      </c>
      <c r="O254" s="74">
        <f>SUM(O247:O253)</f>
        <v>6146344.8399999999</v>
      </c>
      <c r="P254" s="74"/>
      <c r="Q254" s="74">
        <f>SUM(Q247:Q253)</f>
        <v>464230.83999999997</v>
      </c>
      <c r="R254" s="74"/>
      <c r="S254" s="74"/>
      <c r="T254" s="74">
        <f t="shared" ref="T254:V254" si="193">SUM(T247:T253)</f>
        <v>1280860.3999999999</v>
      </c>
      <c r="U254" s="74">
        <f t="shared" si="193"/>
        <v>7891436.080000001</v>
      </c>
      <c r="V254" s="74">
        <f t="shared" si="193"/>
        <v>7891436.080000001</v>
      </c>
    </row>
    <row r="255" spans="1:23" ht="205.9" customHeight="1" x14ac:dyDescent="0.25">
      <c r="A255" s="329"/>
      <c r="B255" s="110" t="s">
        <v>108</v>
      </c>
      <c r="C255" s="61" t="s">
        <v>128</v>
      </c>
      <c r="D255" s="62" t="s">
        <v>121</v>
      </c>
      <c r="E255" s="121" t="s">
        <v>201</v>
      </c>
      <c r="F255" s="121" t="s">
        <v>201</v>
      </c>
      <c r="G255" s="121" t="s">
        <v>201</v>
      </c>
      <c r="H255" s="121" t="s">
        <v>201</v>
      </c>
      <c r="I255" s="121" t="s">
        <v>201</v>
      </c>
      <c r="J255" s="151" t="s">
        <v>218</v>
      </c>
      <c r="K255" s="147" t="s">
        <v>200</v>
      </c>
      <c r="L255" s="70" t="s">
        <v>185</v>
      </c>
      <c r="M255" s="163" t="s">
        <v>213</v>
      </c>
      <c r="N255" s="73">
        <f>SUM(O255:T255)</f>
        <v>1937937.97</v>
      </c>
      <c r="O255" s="146">
        <f>(841148.96*2)+((1998.78*15)/12*8+(1998.78*15)/12*4)</f>
        <v>1712279.6199999999</v>
      </c>
      <c r="P255" s="146"/>
      <c r="Q255" s="73">
        <f>((15*4001.99)/12*8)+((15*4001.99)/12*4)</f>
        <v>60029.850000000006</v>
      </c>
      <c r="R255" s="73"/>
      <c r="S255" s="73"/>
      <c r="T255" s="46">
        <f>((15*11041.9)/12*8)+((15*11041.9)/12*4)</f>
        <v>165628.5</v>
      </c>
      <c r="U255" s="46">
        <f>841148.96*2+15*17042.67</f>
        <v>1937937.97</v>
      </c>
      <c r="V255" s="75">
        <f>U255</f>
        <v>1937937.97</v>
      </c>
    </row>
    <row r="256" spans="1:23" ht="90" customHeight="1" x14ac:dyDescent="0.25">
      <c r="A256" s="329"/>
      <c r="B256" s="144"/>
      <c r="C256" s="63" t="s">
        <v>163</v>
      </c>
      <c r="D256" s="64" t="s">
        <v>101</v>
      </c>
      <c r="E256" s="121"/>
      <c r="F256" s="121"/>
      <c r="G256" s="121"/>
      <c r="H256" s="121"/>
      <c r="I256" s="121"/>
      <c r="J256" s="107"/>
      <c r="K256" s="147"/>
      <c r="L256" s="70"/>
      <c r="M256" s="70"/>
      <c r="N256" s="73"/>
      <c r="O256" s="71"/>
      <c r="P256" s="71"/>
      <c r="Q256" s="73"/>
      <c r="R256" s="73"/>
      <c r="S256" s="73"/>
      <c r="T256" s="46"/>
      <c r="U256" s="46"/>
      <c r="V256" s="75"/>
    </row>
    <row r="257" spans="1:24" ht="14.45" customHeight="1" x14ac:dyDescent="0.25">
      <c r="A257" s="329"/>
      <c r="B257" s="144"/>
      <c r="C257" s="63" t="s">
        <v>165</v>
      </c>
      <c r="D257" s="64" t="s">
        <v>101</v>
      </c>
      <c r="E257" s="121">
        <v>1</v>
      </c>
      <c r="F257" s="121">
        <v>1</v>
      </c>
      <c r="G257" s="59">
        <f>((E257*8)+(F257*4))/12</f>
        <v>1</v>
      </c>
      <c r="H257" s="121">
        <v>1</v>
      </c>
      <c r="I257" s="121">
        <v>1</v>
      </c>
      <c r="J257" s="107">
        <f>K257</f>
        <v>112063.65</v>
      </c>
      <c r="K257" s="147">
        <v>112063.65</v>
      </c>
      <c r="L257" s="70"/>
      <c r="M257" s="70"/>
      <c r="N257" s="73">
        <f>O257</f>
        <v>112063.65</v>
      </c>
      <c r="O257" s="146">
        <f>K257*G257</f>
        <v>112063.65</v>
      </c>
      <c r="P257" s="146"/>
      <c r="Q257" s="73"/>
      <c r="R257" s="73"/>
      <c r="S257" s="73"/>
      <c r="T257" s="46"/>
      <c r="U257" s="46">
        <f>G257*K257</f>
        <v>112063.65</v>
      </c>
      <c r="V257" s="75">
        <f>U257</f>
        <v>112063.65</v>
      </c>
    </row>
    <row r="258" spans="1:24" ht="16.149999999999999" customHeight="1" x14ac:dyDescent="0.25">
      <c r="A258" s="329"/>
      <c r="B258" s="144"/>
      <c r="C258" s="63" t="s">
        <v>168</v>
      </c>
      <c r="D258" s="64" t="s">
        <v>101</v>
      </c>
      <c r="E258" s="121">
        <v>1</v>
      </c>
      <c r="F258" s="121">
        <v>1</v>
      </c>
      <c r="G258" s="59">
        <f t="shared" ref="G258:G260" si="194">((E258*8)+(F258*4))/12</f>
        <v>1</v>
      </c>
      <c r="H258" s="121">
        <v>1</v>
      </c>
      <c r="I258" s="121">
        <v>1</v>
      </c>
      <c r="J258" s="107">
        <f>K258</f>
        <v>28342.92</v>
      </c>
      <c r="K258" s="147">
        <v>28342.92</v>
      </c>
      <c r="L258" s="70"/>
      <c r="M258" s="70"/>
      <c r="N258" s="73">
        <f>O258</f>
        <v>28342.92</v>
      </c>
      <c r="O258" s="146">
        <f>K258*G258</f>
        <v>28342.92</v>
      </c>
      <c r="P258" s="146"/>
      <c r="Q258" s="73"/>
      <c r="R258" s="73"/>
      <c r="S258" s="73"/>
      <c r="T258" s="46"/>
      <c r="U258" s="46">
        <f>G258*K258</f>
        <v>28342.92</v>
      </c>
      <c r="V258" s="75">
        <f>U258</f>
        <v>28342.92</v>
      </c>
    </row>
    <row r="259" spans="1:24" x14ac:dyDescent="0.25">
      <c r="A259" s="329"/>
      <c r="B259" s="110"/>
      <c r="C259" s="66" t="s">
        <v>106</v>
      </c>
      <c r="D259" s="64"/>
      <c r="E259" s="121" t="str">
        <f>E255</f>
        <v>2\15</v>
      </c>
      <c r="F259" s="121" t="str">
        <f>F255</f>
        <v>2\15</v>
      </c>
      <c r="G259" s="121" t="str">
        <f>G255</f>
        <v>2\15</v>
      </c>
      <c r="H259" s="121" t="str">
        <f>H255</f>
        <v>2\15</v>
      </c>
      <c r="I259" s="121" t="str">
        <f>I255</f>
        <v>2\15</v>
      </c>
      <c r="J259" s="73" t="s">
        <v>104</v>
      </c>
      <c r="K259" s="73" t="s">
        <v>104</v>
      </c>
      <c r="L259" s="74" t="s">
        <v>104</v>
      </c>
      <c r="M259" s="74" t="s">
        <v>104</v>
      </c>
      <c r="N259" s="74">
        <f>SUM(N255:N258)</f>
        <v>2078344.5399999998</v>
      </c>
      <c r="O259" s="74">
        <f>SUM(O255:O258)</f>
        <v>1852686.1899999997</v>
      </c>
      <c r="P259" s="74"/>
      <c r="Q259" s="74">
        <f t="shared" ref="Q259:V259" si="195">SUM(Q255:Q258)</f>
        <v>60029.850000000006</v>
      </c>
      <c r="R259" s="74"/>
      <c r="S259" s="74"/>
      <c r="T259" s="74">
        <f t="shared" si="195"/>
        <v>165628.5</v>
      </c>
      <c r="U259" s="74">
        <f t="shared" si="195"/>
        <v>2078344.5399999998</v>
      </c>
      <c r="V259" s="74">
        <f t="shared" si="195"/>
        <v>2078344.5399999998</v>
      </c>
    </row>
    <row r="260" spans="1:24" ht="105" x14ac:dyDescent="0.25">
      <c r="A260" s="329"/>
      <c r="B260" s="137" t="s">
        <v>109</v>
      </c>
      <c r="C260" s="61" t="s">
        <v>186</v>
      </c>
      <c r="D260" s="64" t="s">
        <v>101</v>
      </c>
      <c r="E260" s="60">
        <v>307</v>
      </c>
      <c r="F260" s="60">
        <v>307</v>
      </c>
      <c r="G260" s="59">
        <f t="shared" si="194"/>
        <v>307</v>
      </c>
      <c r="H260" s="60">
        <v>307</v>
      </c>
      <c r="I260" s="60">
        <v>307</v>
      </c>
      <c r="J260" s="75">
        <f>K260</f>
        <v>4982.75</v>
      </c>
      <c r="K260" s="75">
        <v>4982.75</v>
      </c>
      <c r="L260" s="72" t="s">
        <v>104</v>
      </c>
      <c r="M260" s="72" t="s">
        <v>104</v>
      </c>
      <c r="N260" s="73">
        <f>SUM(O260:T260)</f>
        <v>1529704.25</v>
      </c>
      <c r="O260" s="149">
        <f>K260*G260</f>
        <v>1529704.25</v>
      </c>
      <c r="P260" s="149"/>
      <c r="Q260" s="73" t="s">
        <v>104</v>
      </c>
      <c r="R260" s="73"/>
      <c r="S260" s="73"/>
      <c r="T260" s="73" t="s">
        <v>104</v>
      </c>
      <c r="U260" s="75">
        <f t="shared" ref="U260" si="196">H260*J260</f>
        <v>1529704.25</v>
      </c>
      <c r="V260" s="75">
        <f t="shared" ref="V260" si="197">I260*J260</f>
        <v>1529704.25</v>
      </c>
    </row>
    <row r="261" spans="1:24" x14ac:dyDescent="0.25">
      <c r="A261" s="329"/>
      <c r="B261" s="69"/>
      <c r="C261" s="66" t="s">
        <v>106</v>
      </c>
      <c r="D261" s="69"/>
      <c r="E261" s="60">
        <f>SUM(E260:E260)</f>
        <v>307</v>
      </c>
      <c r="F261" s="60">
        <f>SUM(F260:F260)</f>
        <v>307</v>
      </c>
      <c r="G261" s="60">
        <f>SUM(G260:G260)</f>
        <v>307</v>
      </c>
      <c r="H261" s="60">
        <f>SUM(H260:H260)</f>
        <v>307</v>
      </c>
      <c r="I261" s="60">
        <f>SUM(I260:I260)</f>
        <v>307</v>
      </c>
      <c r="J261" s="74" t="s">
        <v>104</v>
      </c>
      <c r="K261" s="74" t="s">
        <v>104</v>
      </c>
      <c r="L261" s="74" t="s">
        <v>104</v>
      </c>
      <c r="M261" s="74">
        <f t="shared" ref="M261:V261" si="198">SUM(M260:M260)</f>
        <v>0</v>
      </c>
      <c r="N261" s="74">
        <f t="shared" si="198"/>
        <v>1529704.25</v>
      </c>
      <c r="O261" s="74">
        <f t="shared" si="198"/>
        <v>1529704.25</v>
      </c>
      <c r="P261" s="74"/>
      <c r="Q261" s="74">
        <f t="shared" si="198"/>
        <v>0</v>
      </c>
      <c r="R261" s="74"/>
      <c r="S261" s="74"/>
      <c r="T261" s="74">
        <f t="shared" si="198"/>
        <v>0</v>
      </c>
      <c r="U261" s="74">
        <f t="shared" si="198"/>
        <v>1529704.25</v>
      </c>
      <c r="V261" s="74">
        <f t="shared" si="198"/>
        <v>1529704.25</v>
      </c>
    </row>
    <row r="262" spans="1:24" x14ac:dyDescent="0.25">
      <c r="A262" s="329"/>
      <c r="B262" s="101" t="s">
        <v>112</v>
      </c>
      <c r="C262" s="101"/>
      <c r="D262" s="69"/>
      <c r="E262" s="103"/>
      <c r="F262" s="103"/>
      <c r="G262" s="103"/>
      <c r="H262" s="103"/>
      <c r="I262" s="103"/>
      <c r="J262" s="103"/>
      <c r="K262" s="103"/>
      <c r="L262" s="103"/>
      <c r="M262" s="103"/>
      <c r="N262" s="103">
        <f t="shared" ref="N262:V262" si="199">N246+N254+N259+N261</f>
        <v>15867726.709999999</v>
      </c>
      <c r="O262" s="103">
        <f t="shared" si="199"/>
        <v>12439981.869999999</v>
      </c>
      <c r="P262" s="103"/>
      <c r="Q262" s="103">
        <f t="shared" si="199"/>
        <v>868431.83</v>
      </c>
      <c r="R262" s="103"/>
      <c r="S262" s="103"/>
      <c r="T262" s="103">
        <f t="shared" si="199"/>
        <v>2559313.0099999998</v>
      </c>
      <c r="U262" s="103">
        <f t="shared" si="199"/>
        <v>15867726.710000001</v>
      </c>
      <c r="V262" s="103">
        <f t="shared" si="199"/>
        <v>15867726.710000001</v>
      </c>
      <c r="X262" s="85"/>
    </row>
    <row r="263" spans="1:24" x14ac:dyDescent="0.25">
      <c r="A263" s="96" t="s">
        <v>156</v>
      </c>
    </row>
    <row r="264" spans="1:24" ht="30" x14ac:dyDescent="0.25">
      <c r="A264" s="109" t="s">
        <v>3</v>
      </c>
      <c r="B264" s="109" t="s">
        <v>81</v>
      </c>
      <c r="C264" s="109" t="s">
        <v>4</v>
      </c>
      <c r="D264" s="334" t="s">
        <v>5</v>
      </c>
      <c r="E264" s="334"/>
      <c r="F264" s="334"/>
      <c r="G264" s="334"/>
      <c r="H264" s="334"/>
      <c r="I264" s="315" t="s">
        <v>6</v>
      </c>
      <c r="J264" s="315" t="s">
        <v>7</v>
      </c>
      <c r="K264" s="315"/>
      <c r="L264" s="315"/>
    </row>
    <row r="265" spans="1:24" ht="30" x14ac:dyDescent="0.25">
      <c r="A265" s="82"/>
      <c r="B265" s="82"/>
      <c r="C265" s="82"/>
      <c r="D265" s="154" t="s">
        <v>176</v>
      </c>
      <c r="E265" s="155" t="s">
        <v>208</v>
      </c>
      <c r="F265" s="153" t="s">
        <v>206</v>
      </c>
      <c r="G265" s="154" t="s">
        <v>183</v>
      </c>
      <c r="H265" s="154" t="s">
        <v>211</v>
      </c>
      <c r="I265" s="315"/>
      <c r="J265" s="154" t="s">
        <v>176</v>
      </c>
      <c r="K265" s="154" t="s">
        <v>183</v>
      </c>
      <c r="L265" s="154" t="s">
        <v>205</v>
      </c>
    </row>
    <row r="266" spans="1:24" ht="94.5" customHeight="1" x14ac:dyDescent="0.25">
      <c r="A266" s="83" t="s">
        <v>13</v>
      </c>
      <c r="B266" s="83" t="s">
        <v>14</v>
      </c>
      <c r="C266" s="109" t="s">
        <v>15</v>
      </c>
      <c r="D266" s="83" t="s">
        <v>16</v>
      </c>
      <c r="E266" s="83" t="s">
        <v>16</v>
      </c>
      <c r="F266" s="83" t="s">
        <v>16</v>
      </c>
      <c r="G266" s="83" t="s">
        <v>16</v>
      </c>
      <c r="H266" s="83" t="s">
        <v>16</v>
      </c>
      <c r="I266" s="109" t="s">
        <v>17</v>
      </c>
      <c r="J266" s="109" t="s">
        <v>17</v>
      </c>
      <c r="K266" s="132" t="s">
        <v>17</v>
      </c>
      <c r="L266" s="109" t="s">
        <v>17</v>
      </c>
    </row>
    <row r="267" spans="1:24" ht="105" x14ac:dyDescent="0.25">
      <c r="A267" s="106" t="s">
        <v>157</v>
      </c>
      <c r="B267" s="109" t="s">
        <v>158</v>
      </c>
      <c r="C267" s="82" t="s">
        <v>177</v>
      </c>
      <c r="D267" s="173">
        <v>207360</v>
      </c>
      <c r="E267" s="173">
        <v>207360</v>
      </c>
      <c r="F267" s="173">
        <v>207360</v>
      </c>
      <c r="G267" s="173">
        <v>207360</v>
      </c>
      <c r="H267" s="173">
        <v>207360</v>
      </c>
      <c r="I267" s="170"/>
      <c r="J267" s="170">
        <f>I267*F267</f>
        <v>0</v>
      </c>
      <c r="K267" s="170">
        <f>I267*G267</f>
        <v>0</v>
      </c>
      <c r="L267" s="170">
        <f>K267</f>
        <v>0</v>
      </c>
      <c r="M267" s="85"/>
    </row>
    <row r="268" spans="1:24" ht="105" x14ac:dyDescent="0.25">
      <c r="A268" s="112" t="s">
        <v>160</v>
      </c>
      <c r="B268" s="109" t="s">
        <v>158</v>
      </c>
      <c r="C268" s="82" t="s">
        <v>177</v>
      </c>
      <c r="D268" s="172">
        <v>40824</v>
      </c>
      <c r="E268" s="172">
        <v>40824</v>
      </c>
      <c r="F268" s="172">
        <v>40824</v>
      </c>
      <c r="G268" s="172">
        <v>40824</v>
      </c>
      <c r="H268" s="172">
        <v>40824</v>
      </c>
      <c r="I268" s="156">
        <v>161.44</v>
      </c>
      <c r="J268" s="156">
        <f>I268*F268</f>
        <v>6590626.5599999996</v>
      </c>
      <c r="K268" s="156">
        <f>I268*G268</f>
        <v>6590626.5599999996</v>
      </c>
      <c r="L268" s="156">
        <f t="shared" ref="L268" si="200">K268</f>
        <v>6590626.5599999996</v>
      </c>
      <c r="M268" s="85"/>
    </row>
    <row r="271" spans="1:24" x14ac:dyDescent="0.25">
      <c r="A271" s="80" t="s">
        <v>178</v>
      </c>
    </row>
  </sheetData>
  <mergeCells count="41">
    <mergeCell ref="D264:H264"/>
    <mergeCell ref="I264:I265"/>
    <mergeCell ref="J264:L264"/>
    <mergeCell ref="A212:A240"/>
    <mergeCell ref="A241:A262"/>
    <mergeCell ref="B241:B246"/>
    <mergeCell ref="B247:B249"/>
    <mergeCell ref="B232:B237"/>
    <mergeCell ref="B223:B231"/>
    <mergeCell ref="B212:B222"/>
    <mergeCell ref="A184:A211"/>
    <mergeCell ref="B184:B194"/>
    <mergeCell ref="B195:B202"/>
    <mergeCell ref="B204:B207"/>
    <mergeCell ref="A159:A183"/>
    <mergeCell ref="B159:B167"/>
    <mergeCell ref="B168:B173"/>
    <mergeCell ref="B175:B179"/>
    <mergeCell ref="A135:A158"/>
    <mergeCell ref="B135:B143"/>
    <mergeCell ref="B144:B149"/>
    <mergeCell ref="B151:B154"/>
    <mergeCell ref="A108:A134"/>
    <mergeCell ref="B108:B119"/>
    <mergeCell ref="B120:B125"/>
    <mergeCell ref="B127:B130"/>
    <mergeCell ref="N105:V105"/>
    <mergeCell ref="A5:V5"/>
    <mergeCell ref="J8:M8"/>
    <mergeCell ref="N8:V8"/>
    <mergeCell ref="N10:T10"/>
    <mergeCell ref="A104:C104"/>
    <mergeCell ref="E9:G9"/>
    <mergeCell ref="A105:A106"/>
    <mergeCell ref="B105:B106"/>
    <mergeCell ref="D105:D106"/>
    <mergeCell ref="E105:I105"/>
    <mergeCell ref="J105:M105"/>
    <mergeCell ref="N9:T9"/>
    <mergeCell ref="C68:C69"/>
    <mergeCell ref="D68:D69"/>
  </mergeCells>
  <pageMargins left="0.51181102362204722" right="0.51181102362204722" top="0.35433070866141736" bottom="0.35433070866141736" header="0.31496062992125984" footer="0.31496062992125984"/>
  <pageSetup paperSize="9" scale="45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19"/>
  <sheetViews>
    <sheetView tabSelected="1" zoomScale="60" zoomScaleNormal="60" workbookViewId="0">
      <selection activeCell="U203" sqref="A1:U203"/>
    </sheetView>
  </sheetViews>
  <sheetFormatPr defaultColWidth="9.140625" defaultRowHeight="15" x14ac:dyDescent="0.25"/>
  <cols>
    <col min="1" max="1" width="19.42578125" style="80" customWidth="1"/>
    <col min="2" max="2" width="28.7109375" style="80" customWidth="1"/>
    <col min="3" max="3" width="24.5703125" style="80" customWidth="1"/>
    <col min="4" max="4" width="8.7109375" style="80" customWidth="1"/>
    <col min="5" max="5" width="18.28515625" style="80" hidden="1" customWidth="1"/>
    <col min="6" max="6" width="13.28515625" style="80" hidden="1" customWidth="1"/>
    <col min="7" max="7" width="8.28515625" style="80" bestFit="1" customWidth="1"/>
    <col min="8" max="9" width="12" style="80" bestFit="1" customWidth="1"/>
    <col min="10" max="10" width="17.28515625" style="80" customWidth="1"/>
    <col min="11" max="11" width="16" style="80" customWidth="1"/>
    <col min="12" max="12" width="13.85546875" style="80" customWidth="1"/>
    <col min="13" max="13" width="13.5703125" style="204" customWidth="1"/>
    <col min="14" max="14" width="16.7109375" style="204" customWidth="1"/>
    <col min="15" max="15" width="16.5703125" style="204" customWidth="1"/>
    <col min="16" max="16" width="14.7109375" style="204" customWidth="1"/>
    <col min="17" max="17" width="21.85546875" style="204" customWidth="1"/>
    <col min="18" max="18" width="15.42578125" style="204" customWidth="1"/>
    <col min="19" max="19" width="15" style="204" customWidth="1"/>
    <col min="20" max="20" width="16.140625" style="204" customWidth="1"/>
    <col min="21" max="21" width="19" style="204" customWidth="1"/>
    <col min="22" max="22" width="15.28515625" style="80" customWidth="1"/>
    <col min="23" max="23" width="13.5703125" style="80" customWidth="1"/>
    <col min="24" max="24" width="22" style="80" customWidth="1"/>
    <col min="25" max="25" width="18" style="80" customWidth="1"/>
    <col min="26" max="26" width="18.42578125" style="80" customWidth="1"/>
    <col min="27" max="16384" width="9.140625" style="80"/>
  </cols>
  <sheetData>
    <row r="1" spans="1:21" x14ac:dyDescent="0.25">
      <c r="T1" s="209" t="s">
        <v>326</v>
      </c>
    </row>
    <row r="2" spans="1:21" x14ac:dyDescent="0.25">
      <c r="T2" s="209" t="s">
        <v>336</v>
      </c>
    </row>
    <row r="3" spans="1:21" x14ac:dyDescent="0.25">
      <c r="R3" s="209"/>
      <c r="S3" s="209"/>
      <c r="T3" s="209" t="s">
        <v>175</v>
      </c>
    </row>
    <row r="4" spans="1:21" x14ac:dyDescent="0.25">
      <c r="R4" s="209"/>
      <c r="S4" s="209"/>
      <c r="T4" s="209" t="s">
        <v>333</v>
      </c>
    </row>
    <row r="5" spans="1:21" hidden="1" x14ac:dyDescent="0.25">
      <c r="R5" s="209" t="s">
        <v>175</v>
      </c>
      <c r="S5" s="209"/>
    </row>
    <row r="6" spans="1:21" hidden="1" x14ac:dyDescent="0.25">
      <c r="R6" s="209" t="s">
        <v>189</v>
      </c>
      <c r="S6" s="209"/>
    </row>
    <row r="7" spans="1:21" x14ac:dyDescent="0.25">
      <c r="A7" s="310" t="s">
        <v>282</v>
      </c>
      <c r="B7" s="310"/>
      <c r="C7" s="311"/>
      <c r="D7" s="310"/>
      <c r="E7" s="310"/>
      <c r="F7" s="311"/>
      <c r="G7" s="311"/>
      <c r="H7" s="310"/>
      <c r="I7" s="310"/>
      <c r="J7" s="310"/>
      <c r="K7" s="311"/>
      <c r="L7" s="310"/>
      <c r="M7" s="310"/>
      <c r="N7" s="310"/>
      <c r="O7" s="310"/>
      <c r="P7" s="311"/>
      <c r="Q7" s="311"/>
      <c r="R7" s="310"/>
      <c r="S7" s="311"/>
      <c r="T7" s="310"/>
      <c r="U7" s="310"/>
    </row>
    <row r="8" spans="1:21" x14ac:dyDescent="0.25">
      <c r="A8" s="317" t="s">
        <v>154</v>
      </c>
      <c r="B8" s="317"/>
      <c r="C8" s="317"/>
      <c r="D8" s="86"/>
      <c r="E8" s="87"/>
      <c r="F8" s="87"/>
      <c r="G8" s="87"/>
      <c r="H8" s="87"/>
      <c r="I8" s="87"/>
      <c r="J8" s="75"/>
      <c r="K8" s="75"/>
      <c r="L8" s="75"/>
      <c r="M8" s="46"/>
      <c r="N8" s="46"/>
      <c r="O8" s="46"/>
      <c r="P8" s="46"/>
      <c r="Q8" s="46"/>
      <c r="R8" s="46"/>
      <c r="S8" s="46"/>
      <c r="T8" s="46"/>
      <c r="U8" s="46"/>
    </row>
    <row r="9" spans="1:21" ht="30" x14ac:dyDescent="0.25">
      <c r="A9" s="321" t="s">
        <v>3</v>
      </c>
      <c r="B9" s="321" t="s">
        <v>86</v>
      </c>
      <c r="C9" s="190" t="s">
        <v>87</v>
      </c>
      <c r="D9" s="321" t="s">
        <v>4</v>
      </c>
      <c r="E9" s="322" t="s">
        <v>5</v>
      </c>
      <c r="F9" s="322"/>
      <c r="G9" s="322"/>
      <c r="H9" s="322"/>
      <c r="I9" s="322"/>
      <c r="J9" s="309" t="s">
        <v>6</v>
      </c>
      <c r="K9" s="309"/>
      <c r="L9" s="309"/>
      <c r="M9" s="309"/>
      <c r="N9" s="338" t="s">
        <v>7</v>
      </c>
      <c r="O9" s="338"/>
      <c r="P9" s="338"/>
      <c r="Q9" s="338"/>
      <c r="R9" s="338"/>
      <c r="S9" s="338"/>
      <c r="T9" s="338"/>
      <c r="U9" s="338"/>
    </row>
    <row r="10" spans="1:21" ht="120" x14ac:dyDescent="0.25">
      <c r="A10" s="321"/>
      <c r="B10" s="321"/>
      <c r="C10" s="190"/>
      <c r="D10" s="321"/>
      <c r="E10" s="191" t="s">
        <v>176</v>
      </c>
      <c r="F10" s="191" t="s">
        <v>208</v>
      </c>
      <c r="G10" s="233" t="s">
        <v>284</v>
      </c>
      <c r="H10" s="233" t="s">
        <v>205</v>
      </c>
      <c r="I10" s="233" t="s">
        <v>283</v>
      </c>
      <c r="J10" s="187" t="s">
        <v>88</v>
      </c>
      <c r="K10" s="187" t="s">
        <v>89</v>
      </c>
      <c r="L10" s="187" t="s">
        <v>90</v>
      </c>
      <c r="M10" s="205" t="s">
        <v>91</v>
      </c>
      <c r="N10" s="205" t="s">
        <v>285</v>
      </c>
      <c r="O10" s="205" t="s">
        <v>93</v>
      </c>
      <c r="P10" s="205" t="s">
        <v>94</v>
      </c>
      <c r="Q10" s="294" t="s">
        <v>222</v>
      </c>
      <c r="R10" s="205" t="s">
        <v>95</v>
      </c>
      <c r="S10" s="205" t="s">
        <v>223</v>
      </c>
      <c r="T10" s="205" t="s">
        <v>210</v>
      </c>
      <c r="U10" s="205" t="s">
        <v>286</v>
      </c>
    </row>
    <row r="11" spans="1:21" ht="60" x14ac:dyDescent="0.25">
      <c r="A11" s="98" t="s">
        <v>13</v>
      </c>
      <c r="B11" s="98" t="s">
        <v>13</v>
      </c>
      <c r="C11" s="98"/>
      <c r="D11" s="98" t="s">
        <v>15</v>
      </c>
      <c r="E11" s="99" t="s">
        <v>16</v>
      </c>
      <c r="F11" s="99" t="s">
        <v>16</v>
      </c>
      <c r="G11" s="99"/>
      <c r="H11" s="99" t="s">
        <v>16</v>
      </c>
      <c r="I11" s="99" t="s">
        <v>16</v>
      </c>
      <c r="J11" s="187" t="s">
        <v>17</v>
      </c>
      <c r="K11" s="187" t="s">
        <v>17</v>
      </c>
      <c r="L11" s="187" t="s">
        <v>17</v>
      </c>
      <c r="M11" s="205" t="s">
        <v>17</v>
      </c>
      <c r="N11" s="205" t="s">
        <v>17</v>
      </c>
      <c r="O11" s="205" t="s">
        <v>17</v>
      </c>
      <c r="P11" s="205" t="s">
        <v>17</v>
      </c>
      <c r="Q11" s="294"/>
      <c r="R11" s="205" t="s">
        <v>17</v>
      </c>
      <c r="S11" s="205"/>
      <c r="T11" s="205" t="s">
        <v>17</v>
      </c>
      <c r="U11" s="205" t="s">
        <v>17</v>
      </c>
    </row>
    <row r="12" spans="1:21" ht="90" x14ac:dyDescent="0.25">
      <c r="A12" s="329" t="s">
        <v>98</v>
      </c>
      <c r="B12" s="331" t="s">
        <v>238</v>
      </c>
      <c r="C12" s="61" t="s">
        <v>100</v>
      </c>
      <c r="D12" s="62" t="s">
        <v>101</v>
      </c>
      <c r="E12" s="59">
        <v>286</v>
      </c>
      <c r="F12" s="59">
        <v>286</v>
      </c>
      <c r="G12" s="59">
        <v>286</v>
      </c>
      <c r="H12" s="59">
        <v>286</v>
      </c>
      <c r="I12" s="59">
        <v>286</v>
      </c>
      <c r="J12" s="107">
        <f>SUM(K12:M12)</f>
        <v>38349.724475059993</v>
      </c>
      <c r="K12" s="107">
        <f>19579.7+1329.32</f>
        <v>20909.02</v>
      </c>
      <c r="L12" s="70">
        <f>4001.99*2.411294</f>
        <v>9649.9744750599984</v>
      </c>
      <c r="M12" s="202">
        <v>7790.73</v>
      </c>
      <c r="N12" s="203">
        <f>SUM(O12:R12)</f>
        <v>10968015.369867159</v>
      </c>
      <c r="O12" s="203">
        <f>G12*K12-0.28</f>
        <v>5979979.4399999995</v>
      </c>
      <c r="P12" s="203">
        <f>G12*L12-5.55</f>
        <v>2759887.1498671598</v>
      </c>
      <c r="Q12" s="203"/>
      <c r="R12" s="46">
        <f>G12*M12</f>
        <v>2228148.7799999998</v>
      </c>
      <c r="S12" s="46"/>
      <c r="T12" s="46">
        <f>N12</f>
        <v>10968015.369867159</v>
      </c>
      <c r="U12" s="46">
        <f>T12</f>
        <v>10968015.369867159</v>
      </c>
    </row>
    <row r="13" spans="1:21" ht="90" x14ac:dyDescent="0.25">
      <c r="A13" s="329"/>
      <c r="B13" s="332"/>
      <c r="C13" s="63" t="s">
        <v>163</v>
      </c>
      <c r="D13" s="64" t="s">
        <v>101</v>
      </c>
      <c r="E13" s="59" t="s">
        <v>104</v>
      </c>
      <c r="F13" s="59" t="s">
        <v>104</v>
      </c>
      <c r="G13" s="59"/>
      <c r="H13" s="59" t="s">
        <v>104</v>
      </c>
      <c r="I13" s="59" t="s">
        <v>104</v>
      </c>
      <c r="J13" s="59" t="s">
        <v>104</v>
      </c>
      <c r="K13" s="59" t="s">
        <v>104</v>
      </c>
      <c r="L13" s="72" t="s">
        <v>104</v>
      </c>
      <c r="M13" s="206" t="s">
        <v>104</v>
      </c>
      <c r="N13" s="205"/>
      <c r="O13" s="203"/>
      <c r="P13" s="206" t="s">
        <v>104</v>
      </c>
      <c r="Q13" s="206"/>
      <c r="R13" s="206" t="s">
        <v>104</v>
      </c>
      <c r="S13" s="206"/>
      <c r="T13" s="264"/>
      <c r="U13" s="264"/>
    </row>
    <row r="14" spans="1:21" x14ac:dyDescent="0.25">
      <c r="A14" s="329"/>
      <c r="B14" s="332"/>
      <c r="C14" s="63" t="s">
        <v>164</v>
      </c>
      <c r="D14" s="64"/>
      <c r="E14" s="59"/>
      <c r="F14" s="59"/>
      <c r="G14" s="59">
        <f>((E14*8)+(F14*4))/12</f>
        <v>0</v>
      </c>
      <c r="H14" s="59"/>
      <c r="I14" s="59"/>
      <c r="J14" s="71">
        <f>K14</f>
        <v>25589.72</v>
      </c>
      <c r="K14" s="75">
        <v>25589.72</v>
      </c>
      <c r="L14" s="72" t="s">
        <v>104</v>
      </c>
      <c r="M14" s="206" t="s">
        <v>104</v>
      </c>
      <c r="N14" s="205">
        <f>O14</f>
        <v>0</v>
      </c>
      <c r="O14" s="203">
        <f>G14*K14</f>
        <v>0</v>
      </c>
      <c r="P14" s="206" t="s">
        <v>104</v>
      </c>
      <c r="Q14" s="206"/>
      <c r="R14" s="206" t="s">
        <v>104</v>
      </c>
      <c r="S14" s="206"/>
      <c r="T14" s="264">
        <f>H14*K14</f>
        <v>0</v>
      </c>
      <c r="U14" s="264">
        <f>I14*K14</f>
        <v>0</v>
      </c>
    </row>
    <row r="15" spans="1:21" x14ac:dyDescent="0.25">
      <c r="A15" s="329"/>
      <c r="B15" s="332"/>
      <c r="C15" s="63" t="s">
        <v>169</v>
      </c>
      <c r="D15" s="64"/>
      <c r="E15" s="59">
        <v>9</v>
      </c>
      <c r="F15" s="59">
        <v>9</v>
      </c>
      <c r="G15" s="59">
        <v>9</v>
      </c>
      <c r="H15" s="59">
        <v>9</v>
      </c>
      <c r="I15" s="59">
        <v>9</v>
      </c>
      <c r="J15" s="71">
        <f>K15</f>
        <v>69362.66</v>
      </c>
      <c r="K15" s="71">
        <v>69362.66</v>
      </c>
      <c r="L15" s="72" t="s">
        <v>104</v>
      </c>
      <c r="M15" s="206" t="s">
        <v>104</v>
      </c>
      <c r="N15" s="205">
        <f>O15</f>
        <v>624263.94000000006</v>
      </c>
      <c r="O15" s="203">
        <f t="shared" ref="O15:O21" si="0">G15*K15</f>
        <v>624263.94000000006</v>
      </c>
      <c r="P15" s="206" t="s">
        <v>104</v>
      </c>
      <c r="Q15" s="206"/>
      <c r="R15" s="206" t="s">
        <v>104</v>
      </c>
      <c r="S15" s="206"/>
      <c r="T15" s="264">
        <f>H15*K15</f>
        <v>624263.94000000006</v>
      </c>
      <c r="U15" s="264">
        <f>I15*K15</f>
        <v>624263.94000000006</v>
      </c>
    </row>
    <row r="16" spans="1:21" x14ac:dyDescent="0.25">
      <c r="A16" s="329"/>
      <c r="B16" s="332"/>
      <c r="C16" s="63" t="s">
        <v>165</v>
      </c>
      <c r="D16" s="64"/>
      <c r="E16" s="59">
        <v>2</v>
      </c>
      <c r="F16" s="59">
        <v>2</v>
      </c>
      <c r="G16" s="59">
        <v>2</v>
      </c>
      <c r="H16" s="59">
        <v>2</v>
      </c>
      <c r="I16" s="59">
        <v>2</v>
      </c>
      <c r="J16" s="71">
        <f t="shared" ref="J16:J21" si="1">K16</f>
        <v>92468.25</v>
      </c>
      <c r="K16" s="75">
        <v>92468.25</v>
      </c>
      <c r="L16" s="72" t="s">
        <v>104</v>
      </c>
      <c r="M16" s="206" t="s">
        <v>104</v>
      </c>
      <c r="N16" s="205">
        <f t="shared" ref="N16:N21" si="2">O16</f>
        <v>184936.5</v>
      </c>
      <c r="O16" s="203">
        <f t="shared" si="0"/>
        <v>184936.5</v>
      </c>
      <c r="P16" s="206" t="s">
        <v>104</v>
      </c>
      <c r="Q16" s="206"/>
      <c r="R16" s="206" t="s">
        <v>104</v>
      </c>
      <c r="S16" s="206"/>
      <c r="T16" s="264">
        <f t="shared" ref="T16:T21" si="3">H16*K16</f>
        <v>184936.5</v>
      </c>
      <c r="U16" s="264">
        <f t="shared" ref="U16:U21" si="4">I16*K16</f>
        <v>184936.5</v>
      </c>
    </row>
    <row r="17" spans="1:24" x14ac:dyDescent="0.25">
      <c r="A17" s="329"/>
      <c r="B17" s="332"/>
      <c r="C17" s="63" t="s">
        <v>166</v>
      </c>
      <c r="D17" s="64"/>
      <c r="E17" s="59">
        <v>22</v>
      </c>
      <c r="F17" s="59">
        <v>22</v>
      </c>
      <c r="G17" s="59">
        <v>22</v>
      </c>
      <c r="H17" s="59">
        <v>22</v>
      </c>
      <c r="I17" s="59">
        <v>22</v>
      </c>
      <c r="J17" s="71">
        <f t="shared" si="1"/>
        <v>66361.320000000007</v>
      </c>
      <c r="K17" s="75">
        <v>66361.320000000007</v>
      </c>
      <c r="L17" s="72" t="s">
        <v>104</v>
      </c>
      <c r="M17" s="206" t="s">
        <v>104</v>
      </c>
      <c r="N17" s="205">
        <f t="shared" si="2"/>
        <v>1459949.04</v>
      </c>
      <c r="O17" s="203">
        <f t="shared" si="0"/>
        <v>1459949.04</v>
      </c>
      <c r="P17" s="206" t="s">
        <v>104</v>
      </c>
      <c r="Q17" s="206"/>
      <c r="R17" s="206" t="s">
        <v>104</v>
      </c>
      <c r="S17" s="206"/>
      <c r="T17" s="264">
        <f t="shared" si="3"/>
        <v>1459949.04</v>
      </c>
      <c r="U17" s="264">
        <f t="shared" si="4"/>
        <v>1459949.04</v>
      </c>
    </row>
    <row r="18" spans="1:24" x14ac:dyDescent="0.25">
      <c r="A18" s="329"/>
      <c r="B18" s="332"/>
      <c r="C18" s="63" t="s">
        <v>167</v>
      </c>
      <c r="D18" s="64"/>
      <c r="E18" s="59">
        <v>2</v>
      </c>
      <c r="F18" s="59">
        <v>2</v>
      </c>
      <c r="G18" s="59">
        <v>2</v>
      </c>
      <c r="H18" s="59">
        <v>2</v>
      </c>
      <c r="I18" s="59">
        <v>2</v>
      </c>
      <c r="J18" s="71">
        <f t="shared" si="1"/>
        <v>174890.83</v>
      </c>
      <c r="K18" s="75">
        <v>174890.83</v>
      </c>
      <c r="L18" s="72" t="s">
        <v>104</v>
      </c>
      <c r="M18" s="206" t="s">
        <v>104</v>
      </c>
      <c r="N18" s="205">
        <f t="shared" si="2"/>
        <v>349781.66</v>
      </c>
      <c r="O18" s="203">
        <f t="shared" si="0"/>
        <v>349781.66</v>
      </c>
      <c r="P18" s="206" t="s">
        <v>104</v>
      </c>
      <c r="Q18" s="206"/>
      <c r="R18" s="206" t="s">
        <v>104</v>
      </c>
      <c r="S18" s="206"/>
      <c r="T18" s="264">
        <f t="shared" si="3"/>
        <v>349781.66</v>
      </c>
      <c r="U18" s="264">
        <f t="shared" si="4"/>
        <v>349781.66</v>
      </c>
    </row>
    <row r="19" spans="1:24" x14ac:dyDescent="0.25">
      <c r="A19" s="329"/>
      <c r="B19" s="332"/>
      <c r="C19" s="63" t="s">
        <v>190</v>
      </c>
      <c r="D19" s="64"/>
      <c r="E19" s="59"/>
      <c r="F19" s="59"/>
      <c r="G19" s="157"/>
      <c r="H19" s="59"/>
      <c r="I19" s="59"/>
      <c r="J19" s="71">
        <f t="shared" si="1"/>
        <v>178794.98</v>
      </c>
      <c r="K19" s="75">
        <v>178794.98</v>
      </c>
      <c r="L19" s="72"/>
      <c r="M19" s="206"/>
      <c r="N19" s="205">
        <f t="shared" si="2"/>
        <v>0</v>
      </c>
      <c r="O19" s="203">
        <f t="shared" si="0"/>
        <v>0</v>
      </c>
      <c r="P19" s="206" t="s">
        <v>104</v>
      </c>
      <c r="Q19" s="206"/>
      <c r="R19" s="206" t="s">
        <v>104</v>
      </c>
      <c r="S19" s="206"/>
      <c r="T19" s="264">
        <f t="shared" si="3"/>
        <v>0</v>
      </c>
      <c r="U19" s="264">
        <f t="shared" si="4"/>
        <v>0</v>
      </c>
    </row>
    <row r="20" spans="1:24" x14ac:dyDescent="0.25">
      <c r="A20" s="329"/>
      <c r="B20" s="332"/>
      <c r="C20" s="63" t="s">
        <v>170</v>
      </c>
      <c r="D20" s="64"/>
      <c r="E20" s="59">
        <v>1</v>
      </c>
      <c r="F20" s="59">
        <v>1</v>
      </c>
      <c r="G20" s="59">
        <f t="shared" ref="G20" si="5">((E20*8)+(F20*4))/12</f>
        <v>1</v>
      </c>
      <c r="H20" s="59">
        <v>1</v>
      </c>
      <c r="I20" s="59">
        <v>1</v>
      </c>
      <c r="J20" s="71">
        <f t="shared" si="1"/>
        <v>99648.29</v>
      </c>
      <c r="K20" s="75">
        <v>99648.29</v>
      </c>
      <c r="L20" s="72" t="s">
        <v>104</v>
      </c>
      <c r="M20" s="206" t="s">
        <v>104</v>
      </c>
      <c r="N20" s="205">
        <f t="shared" si="2"/>
        <v>99648.29</v>
      </c>
      <c r="O20" s="203">
        <f t="shared" si="0"/>
        <v>99648.29</v>
      </c>
      <c r="P20" s="206" t="s">
        <v>104</v>
      </c>
      <c r="Q20" s="206"/>
      <c r="R20" s="206" t="s">
        <v>104</v>
      </c>
      <c r="S20" s="206"/>
      <c r="T20" s="264">
        <f t="shared" si="3"/>
        <v>99648.29</v>
      </c>
      <c r="U20" s="264">
        <f t="shared" si="4"/>
        <v>99648.29</v>
      </c>
    </row>
    <row r="21" spans="1:24" x14ac:dyDescent="0.25">
      <c r="A21" s="329"/>
      <c r="B21" s="332"/>
      <c r="C21" s="63" t="s">
        <v>168</v>
      </c>
      <c r="D21" s="64"/>
      <c r="E21" s="59">
        <v>1</v>
      </c>
      <c r="F21" s="59">
        <v>1</v>
      </c>
      <c r="G21" s="59">
        <v>1</v>
      </c>
      <c r="H21" s="59">
        <v>1</v>
      </c>
      <c r="I21" s="59">
        <v>1</v>
      </c>
      <c r="J21" s="71">
        <f t="shared" si="1"/>
        <v>23553.439999999999</v>
      </c>
      <c r="K21" s="75">
        <v>23553.439999999999</v>
      </c>
      <c r="L21" s="72" t="s">
        <v>104</v>
      </c>
      <c r="M21" s="206" t="s">
        <v>104</v>
      </c>
      <c r="N21" s="205">
        <f t="shared" si="2"/>
        <v>23553.439999999999</v>
      </c>
      <c r="O21" s="203">
        <f t="shared" si="0"/>
        <v>23553.439999999999</v>
      </c>
      <c r="P21" s="206" t="s">
        <v>104</v>
      </c>
      <c r="Q21" s="206"/>
      <c r="R21" s="206" t="s">
        <v>104</v>
      </c>
      <c r="S21" s="206"/>
      <c r="T21" s="264">
        <f t="shared" si="3"/>
        <v>23553.439999999999</v>
      </c>
      <c r="U21" s="264">
        <f t="shared" si="4"/>
        <v>23553.439999999999</v>
      </c>
    </row>
    <row r="22" spans="1:24" ht="120" x14ac:dyDescent="0.25">
      <c r="A22" s="329"/>
      <c r="B22" s="332"/>
      <c r="C22" s="61" t="s">
        <v>105</v>
      </c>
      <c r="D22" s="64" t="s">
        <v>101</v>
      </c>
      <c r="E22" s="59">
        <v>3</v>
      </c>
      <c r="F22" s="59">
        <v>3</v>
      </c>
      <c r="G22" s="59">
        <v>3</v>
      </c>
      <c r="H22" s="59">
        <v>3</v>
      </c>
      <c r="I22" s="59">
        <v>3</v>
      </c>
      <c r="J22" s="75">
        <f>SUM(K22:M22)</f>
        <v>140182.94447506001</v>
      </c>
      <c r="K22" s="75">
        <f>121412.92+1329.32</f>
        <v>122742.24</v>
      </c>
      <c r="L22" s="72">
        <f>4001.99*2.411294</f>
        <v>9649.9744750599984</v>
      </c>
      <c r="M22" s="202">
        <v>7790.73</v>
      </c>
      <c r="N22" s="203">
        <f>SUM(O22:R22)</f>
        <v>420548.83342518</v>
      </c>
      <c r="O22" s="203">
        <f>G22*K22</f>
        <v>368226.72000000003</v>
      </c>
      <c r="P22" s="203">
        <f>G22*L22</f>
        <v>28949.923425179994</v>
      </c>
      <c r="Q22" s="203"/>
      <c r="R22" s="46">
        <f>G22*M22</f>
        <v>23372.19</v>
      </c>
      <c r="S22" s="46"/>
      <c r="T22" s="264">
        <f>H22*J22</f>
        <v>420548.83342518006</v>
      </c>
      <c r="U22" s="264">
        <f t="shared" ref="U22:U127" si="6">I22*J22</f>
        <v>420548.83342518006</v>
      </c>
    </row>
    <row r="23" spans="1:24" x14ac:dyDescent="0.25">
      <c r="A23" s="329"/>
      <c r="B23" s="333"/>
      <c r="C23" s="66" t="s">
        <v>106</v>
      </c>
      <c r="D23" s="67"/>
      <c r="E23" s="59">
        <f>E12+E22</f>
        <v>289</v>
      </c>
      <c r="F23" s="59">
        <f>F12+F22</f>
        <v>289</v>
      </c>
      <c r="G23" s="59">
        <f>G12+G22</f>
        <v>289</v>
      </c>
      <c r="H23" s="59">
        <f t="shared" ref="H23:I23" si="7">H12+H22</f>
        <v>289</v>
      </c>
      <c r="I23" s="59">
        <f t="shared" si="7"/>
        <v>289</v>
      </c>
      <c r="J23" s="71" t="s">
        <v>104</v>
      </c>
      <c r="K23" s="71" t="s">
        <v>104</v>
      </c>
      <c r="L23" s="71" t="s">
        <v>104</v>
      </c>
      <c r="M23" s="203" t="s">
        <v>104</v>
      </c>
      <c r="N23" s="203">
        <f>SUM(N12:N22)</f>
        <v>14130697.073292335</v>
      </c>
      <c r="O23" s="203">
        <f t="shared" ref="O23:R23" si="8">SUM(O12:O22)</f>
        <v>9090339.0299999993</v>
      </c>
      <c r="P23" s="203">
        <f t="shared" si="8"/>
        <v>2788837.0732923397</v>
      </c>
      <c r="Q23" s="203"/>
      <c r="R23" s="203">
        <f t="shared" si="8"/>
        <v>2251520.9699999997</v>
      </c>
      <c r="S23" s="203"/>
      <c r="T23" s="46">
        <f>SUM(T12:T22)</f>
        <v>14130697.073292337</v>
      </c>
      <c r="U23" s="46">
        <f>SUM(U12:U22)</f>
        <v>14130697.073292337</v>
      </c>
      <c r="W23" s="85">
        <f>R23+R30+R36+R42</f>
        <v>5048393.04</v>
      </c>
    </row>
    <row r="24" spans="1:24" ht="90" x14ac:dyDescent="0.25">
      <c r="A24" s="329"/>
      <c r="B24" s="330" t="s">
        <v>239</v>
      </c>
      <c r="C24" s="61" t="s">
        <v>100</v>
      </c>
      <c r="D24" s="62" t="s">
        <v>101</v>
      </c>
      <c r="E24" s="59">
        <v>242</v>
      </c>
      <c r="F24" s="59">
        <v>242</v>
      </c>
      <c r="G24" s="59">
        <v>242</v>
      </c>
      <c r="H24" s="59">
        <v>242</v>
      </c>
      <c r="I24" s="59">
        <v>242</v>
      </c>
      <c r="J24" s="107">
        <f>SUM(K24:M24)</f>
        <v>53409.174475060005</v>
      </c>
      <c r="K24" s="107">
        <f>34346.05+1622.42</f>
        <v>35968.47</v>
      </c>
      <c r="L24" s="70">
        <f>4001.99*2.411294</f>
        <v>9649.9744750599984</v>
      </c>
      <c r="M24" s="202">
        <v>7790.73</v>
      </c>
      <c r="N24" s="203">
        <f>SUM(O24:R24)</f>
        <v>12925020.22296452</v>
      </c>
      <c r="O24" s="203">
        <f>G24*K24</f>
        <v>8704369.7400000002</v>
      </c>
      <c r="P24" s="201">
        <f>G24*L24</f>
        <v>2335293.8229645197</v>
      </c>
      <c r="Q24" s="201"/>
      <c r="R24" s="46">
        <f>G24*M24</f>
        <v>1885356.66</v>
      </c>
      <c r="S24" s="46"/>
      <c r="T24" s="46">
        <f t="shared" ref="T24:T127" si="9">H24*J24</f>
        <v>12925020.222964521</v>
      </c>
      <c r="U24" s="46">
        <f t="shared" si="6"/>
        <v>12925020.222964521</v>
      </c>
      <c r="X24" s="85"/>
    </row>
    <row r="25" spans="1:24" ht="111.75" customHeight="1" x14ac:dyDescent="0.25">
      <c r="A25" s="329"/>
      <c r="B25" s="330"/>
      <c r="C25" s="63" t="s">
        <v>102</v>
      </c>
      <c r="D25" s="64" t="s">
        <v>101</v>
      </c>
      <c r="E25" s="59" t="s">
        <v>104</v>
      </c>
      <c r="F25" s="59" t="s">
        <v>104</v>
      </c>
      <c r="G25" s="59" t="s">
        <v>104</v>
      </c>
      <c r="H25" s="59" t="s">
        <v>104</v>
      </c>
      <c r="I25" s="59" t="s">
        <v>104</v>
      </c>
      <c r="J25" s="59" t="s">
        <v>104</v>
      </c>
      <c r="K25" s="59" t="s">
        <v>104</v>
      </c>
      <c r="L25" s="59" t="s">
        <v>104</v>
      </c>
      <c r="M25" s="123" t="s">
        <v>104</v>
      </c>
      <c r="N25" s="203"/>
      <c r="O25" s="203"/>
      <c r="P25" s="123" t="s">
        <v>104</v>
      </c>
      <c r="Q25" s="123"/>
      <c r="R25" s="123" t="s">
        <v>104</v>
      </c>
      <c r="S25" s="123"/>
      <c r="T25" s="46"/>
      <c r="U25" s="46"/>
    </row>
    <row r="26" spans="1:24" ht="20.25" customHeight="1" x14ac:dyDescent="0.25">
      <c r="A26" s="329"/>
      <c r="B26" s="330"/>
      <c r="C26" s="63" t="s">
        <v>165</v>
      </c>
      <c r="D26" s="64" t="s">
        <v>101</v>
      </c>
      <c r="E26" s="60">
        <v>3</v>
      </c>
      <c r="F26" s="60">
        <v>3</v>
      </c>
      <c r="G26" s="60">
        <v>3</v>
      </c>
      <c r="H26" s="60">
        <v>3</v>
      </c>
      <c r="I26" s="60">
        <v>3</v>
      </c>
      <c r="J26" s="71">
        <f>K26</f>
        <v>92468.25</v>
      </c>
      <c r="K26" s="75">
        <v>92468.25</v>
      </c>
      <c r="L26" s="59" t="s">
        <v>104</v>
      </c>
      <c r="M26" s="123" t="s">
        <v>104</v>
      </c>
      <c r="N26" s="203">
        <f>O26</f>
        <v>277404.75</v>
      </c>
      <c r="O26" s="203">
        <f>G26*K26</f>
        <v>277404.75</v>
      </c>
      <c r="P26" s="123" t="s">
        <v>104</v>
      </c>
      <c r="Q26" s="123"/>
      <c r="R26" s="123" t="s">
        <v>104</v>
      </c>
      <c r="S26" s="123"/>
      <c r="T26" s="46">
        <f>H26*K26</f>
        <v>277404.75</v>
      </c>
      <c r="U26" s="46">
        <f>I26*K26</f>
        <v>277404.75</v>
      </c>
    </row>
    <row r="27" spans="1:24" ht="21" customHeight="1" x14ac:dyDescent="0.25">
      <c r="A27" s="329"/>
      <c r="B27" s="330"/>
      <c r="C27" s="63" t="s">
        <v>167</v>
      </c>
      <c r="D27" s="64" t="s">
        <v>101</v>
      </c>
      <c r="E27" s="60">
        <v>2</v>
      </c>
      <c r="F27" s="60">
        <v>2</v>
      </c>
      <c r="G27" s="60">
        <v>2</v>
      </c>
      <c r="H27" s="60">
        <v>2</v>
      </c>
      <c r="I27" s="60">
        <v>2</v>
      </c>
      <c r="J27" s="71">
        <f t="shared" ref="J27:J28" si="10">K27</f>
        <v>266106.15000000002</v>
      </c>
      <c r="K27" s="75">
        <v>266106.15000000002</v>
      </c>
      <c r="L27" s="59" t="s">
        <v>104</v>
      </c>
      <c r="M27" s="123" t="s">
        <v>104</v>
      </c>
      <c r="N27" s="203">
        <f t="shared" ref="N27:N28" si="11">O27</f>
        <v>532212.30000000005</v>
      </c>
      <c r="O27" s="203">
        <f t="shared" ref="O27:O28" si="12">G27*K27</f>
        <v>532212.30000000005</v>
      </c>
      <c r="P27" s="123" t="s">
        <v>104</v>
      </c>
      <c r="Q27" s="123"/>
      <c r="R27" s="123" t="s">
        <v>104</v>
      </c>
      <c r="S27" s="123"/>
      <c r="T27" s="46">
        <f t="shared" ref="T27:T28" si="13">H27*K27</f>
        <v>532212.30000000005</v>
      </c>
      <c r="U27" s="46">
        <f t="shared" ref="U27:U28" si="14">I27*K27</f>
        <v>532212.30000000005</v>
      </c>
    </row>
    <row r="28" spans="1:24" ht="21" customHeight="1" x14ac:dyDescent="0.25">
      <c r="A28" s="329"/>
      <c r="B28" s="330"/>
      <c r="C28" s="63" t="s">
        <v>168</v>
      </c>
      <c r="D28" s="64" t="s">
        <v>101</v>
      </c>
      <c r="E28" s="60">
        <v>1</v>
      </c>
      <c r="F28" s="60">
        <v>1</v>
      </c>
      <c r="G28" s="60">
        <v>1</v>
      </c>
      <c r="H28" s="60">
        <v>1</v>
      </c>
      <c r="I28" s="60">
        <v>1</v>
      </c>
      <c r="J28" s="71">
        <f t="shared" si="10"/>
        <v>23553.439999999999</v>
      </c>
      <c r="K28" s="75">
        <v>23553.439999999999</v>
      </c>
      <c r="L28" s="59" t="s">
        <v>104</v>
      </c>
      <c r="M28" s="123" t="s">
        <v>104</v>
      </c>
      <c r="N28" s="203">
        <f t="shared" si="11"/>
        <v>23553.439999999999</v>
      </c>
      <c r="O28" s="203">
        <f t="shared" si="12"/>
        <v>23553.439999999999</v>
      </c>
      <c r="P28" s="123" t="s">
        <v>104</v>
      </c>
      <c r="Q28" s="123"/>
      <c r="R28" s="123" t="s">
        <v>104</v>
      </c>
      <c r="S28" s="123"/>
      <c r="T28" s="46">
        <f t="shared" si="13"/>
        <v>23553.439999999999</v>
      </c>
      <c r="U28" s="46">
        <f t="shared" si="14"/>
        <v>23553.439999999999</v>
      </c>
    </row>
    <row r="29" spans="1:24" ht="120" x14ac:dyDescent="0.25">
      <c r="A29" s="329"/>
      <c r="B29" s="330"/>
      <c r="C29" s="61" t="s">
        <v>105</v>
      </c>
      <c r="D29" s="64" t="s">
        <v>101</v>
      </c>
      <c r="E29" s="60">
        <v>2</v>
      </c>
      <c r="F29" s="60">
        <v>2</v>
      </c>
      <c r="G29" s="60">
        <v>2</v>
      </c>
      <c r="H29" s="60">
        <v>2</v>
      </c>
      <c r="I29" s="60">
        <v>2</v>
      </c>
      <c r="J29" s="71">
        <f>K29</f>
        <v>153030.05000000002</v>
      </c>
      <c r="K29" s="73">
        <f>151407.63+1622.42</f>
        <v>153030.05000000002</v>
      </c>
      <c r="L29" s="70">
        <f>4001.99*2.411294</f>
        <v>9649.9744750599984</v>
      </c>
      <c r="M29" s="202">
        <v>7790.73</v>
      </c>
      <c r="N29" s="203">
        <f>SUM(O29:R29)</f>
        <v>340941.50895012007</v>
      </c>
      <c r="O29" s="203">
        <f>G29*K29</f>
        <v>306060.10000000003</v>
      </c>
      <c r="P29" s="201">
        <f>G29*L29</f>
        <v>19299.948950119997</v>
      </c>
      <c r="Q29" s="201"/>
      <c r="R29" s="46">
        <f>G29*M29</f>
        <v>15581.46</v>
      </c>
      <c r="S29" s="46"/>
      <c r="T29" s="46">
        <f>N29</f>
        <v>340941.50895012007</v>
      </c>
      <c r="U29" s="46">
        <f>T29</f>
        <v>340941.50895012007</v>
      </c>
    </row>
    <row r="30" spans="1:24" x14ac:dyDescent="0.25">
      <c r="A30" s="329"/>
      <c r="B30" s="192"/>
      <c r="C30" s="66" t="s">
        <v>106</v>
      </c>
      <c r="D30" s="64"/>
      <c r="E30" s="60">
        <f>E24+E29</f>
        <v>244</v>
      </c>
      <c r="F30" s="60">
        <f>F24+F29</f>
        <v>244</v>
      </c>
      <c r="G30" s="60">
        <f>G24+G29</f>
        <v>244</v>
      </c>
      <c r="H30" s="60">
        <f t="shared" ref="H30:I30" si="15">H24+H29</f>
        <v>244</v>
      </c>
      <c r="I30" s="60">
        <f t="shared" si="15"/>
        <v>244</v>
      </c>
      <c r="J30" s="59" t="s">
        <v>104</v>
      </c>
      <c r="K30" s="59" t="s">
        <v>104</v>
      </c>
      <c r="L30" s="59" t="s">
        <v>104</v>
      </c>
      <c r="M30" s="123" t="s">
        <v>104</v>
      </c>
      <c r="N30" s="207">
        <f>SUM(N24:N29)</f>
        <v>14099132.22191464</v>
      </c>
      <c r="O30" s="207">
        <f t="shared" ref="O30:U30" si="16">SUM(O24:O29)</f>
        <v>9843600.3300000001</v>
      </c>
      <c r="P30" s="207">
        <f t="shared" si="16"/>
        <v>2354593.7719146395</v>
      </c>
      <c r="Q30" s="207"/>
      <c r="R30" s="207">
        <f t="shared" si="16"/>
        <v>1900938.1199999999</v>
      </c>
      <c r="S30" s="207"/>
      <c r="T30" s="207">
        <f t="shared" si="16"/>
        <v>14099132.221914642</v>
      </c>
      <c r="U30" s="207">
        <f t="shared" si="16"/>
        <v>14099132.221914642</v>
      </c>
    </row>
    <row r="31" spans="1:24" ht="82.9" customHeight="1" x14ac:dyDescent="0.25">
      <c r="A31" s="329"/>
      <c r="B31" s="331" t="s">
        <v>240</v>
      </c>
      <c r="C31" s="61" t="s">
        <v>100</v>
      </c>
      <c r="D31" s="62" t="s">
        <v>101</v>
      </c>
      <c r="E31" s="60">
        <v>46</v>
      </c>
      <c r="F31" s="60">
        <v>46</v>
      </c>
      <c r="G31" s="60">
        <v>46</v>
      </c>
      <c r="H31" s="60">
        <v>46</v>
      </c>
      <c r="I31" s="60">
        <v>46</v>
      </c>
      <c r="J31" s="107">
        <f>SUM(K31:M31)</f>
        <v>60511.614475060007</v>
      </c>
      <c r="K31" s="107">
        <f>41105.12+1965.79</f>
        <v>43070.91</v>
      </c>
      <c r="L31" s="70">
        <f>4001.99*2.411294</f>
        <v>9649.9744750599984</v>
      </c>
      <c r="M31" s="202">
        <v>7790.73</v>
      </c>
      <c r="N31" s="201">
        <f>SUM(O31:R31)</f>
        <v>2783534.3358527604</v>
      </c>
      <c r="O31" s="201">
        <f>G31*K31</f>
        <v>1981261.86</v>
      </c>
      <c r="P31" s="201">
        <f>G31*L31+0.09</f>
        <v>443898.91585275996</v>
      </c>
      <c r="Q31" s="201"/>
      <c r="R31" s="46">
        <f>G31*M31-0.02</f>
        <v>358373.55999999994</v>
      </c>
      <c r="S31" s="46"/>
      <c r="T31" s="46">
        <f>N31</f>
        <v>2783534.3358527604</v>
      </c>
      <c r="U31" s="46">
        <f>T31</f>
        <v>2783534.3358527604</v>
      </c>
    </row>
    <row r="32" spans="1:24" ht="90" x14ac:dyDescent="0.25">
      <c r="A32" s="329"/>
      <c r="B32" s="332"/>
      <c r="C32" s="63" t="s">
        <v>102</v>
      </c>
      <c r="D32" s="64" t="s">
        <v>101</v>
      </c>
      <c r="E32" s="59" t="s">
        <v>104</v>
      </c>
      <c r="F32" s="59" t="s">
        <v>104</v>
      </c>
      <c r="G32" s="59" t="s">
        <v>104</v>
      </c>
      <c r="H32" s="59" t="s">
        <v>104</v>
      </c>
      <c r="I32" s="59" t="s">
        <v>104</v>
      </c>
      <c r="J32" s="59" t="s">
        <v>104</v>
      </c>
      <c r="K32" s="59" t="s">
        <v>104</v>
      </c>
      <c r="L32" s="59" t="s">
        <v>104</v>
      </c>
      <c r="M32" s="123" t="s">
        <v>104</v>
      </c>
      <c r="N32" s="203"/>
      <c r="O32" s="203"/>
      <c r="P32" s="123" t="s">
        <v>104</v>
      </c>
      <c r="Q32" s="123"/>
      <c r="R32" s="123" t="s">
        <v>104</v>
      </c>
      <c r="S32" s="123"/>
      <c r="T32" s="46"/>
      <c r="U32" s="46"/>
    </row>
    <row r="33" spans="1:24" x14ac:dyDescent="0.25">
      <c r="A33" s="329"/>
      <c r="B33" s="332"/>
      <c r="C33" s="63" t="s">
        <v>168</v>
      </c>
      <c r="D33" s="64" t="s">
        <v>101</v>
      </c>
      <c r="E33" s="59"/>
      <c r="F33" s="59"/>
      <c r="G33" s="59">
        <f>((E33*8)+(F33*4))/12</f>
        <v>0</v>
      </c>
      <c r="H33" s="59"/>
      <c r="I33" s="59"/>
      <c r="J33" s="71">
        <f t="shared" ref="J33" si="17">K33</f>
        <v>23553.439999999999</v>
      </c>
      <c r="K33" s="75">
        <v>23553.439999999999</v>
      </c>
      <c r="L33" s="59" t="s">
        <v>104</v>
      </c>
      <c r="M33" s="123" t="s">
        <v>104</v>
      </c>
      <c r="N33" s="203">
        <f t="shared" ref="N33" si="18">O33</f>
        <v>0</v>
      </c>
      <c r="O33" s="203">
        <f>G33*K33</f>
        <v>0</v>
      </c>
      <c r="P33" s="123" t="s">
        <v>104</v>
      </c>
      <c r="Q33" s="123"/>
      <c r="R33" s="123" t="s">
        <v>104</v>
      </c>
      <c r="S33" s="123"/>
      <c r="T33" s="46">
        <f t="shared" ref="T33" si="19">H33*K33</f>
        <v>0</v>
      </c>
      <c r="U33" s="46">
        <f t="shared" ref="U33" si="20">I33*K33</f>
        <v>0</v>
      </c>
    </row>
    <row r="34" spans="1:24" ht="120" x14ac:dyDescent="0.25">
      <c r="A34" s="329"/>
      <c r="B34" s="332"/>
      <c r="C34" s="61" t="s">
        <v>105</v>
      </c>
      <c r="D34" s="64" t="s">
        <v>101</v>
      </c>
      <c r="E34" s="60"/>
      <c r="F34" s="60"/>
      <c r="G34" s="60"/>
      <c r="H34" s="60"/>
      <c r="I34" s="60"/>
      <c r="J34" s="73"/>
      <c r="K34" s="73"/>
      <c r="L34" s="74"/>
      <c r="M34" s="201"/>
      <c r="N34" s="201"/>
      <c r="O34" s="201"/>
      <c r="P34" s="201"/>
      <c r="Q34" s="201"/>
      <c r="R34" s="201"/>
      <c r="S34" s="201"/>
      <c r="T34" s="46">
        <f t="shared" si="9"/>
        <v>0</v>
      </c>
      <c r="U34" s="46">
        <f t="shared" si="6"/>
        <v>0</v>
      </c>
    </row>
    <row r="35" spans="1:24" ht="92.45" customHeight="1" x14ac:dyDescent="0.25">
      <c r="A35" s="329"/>
      <c r="B35" s="333"/>
      <c r="C35" s="166" t="s">
        <v>256</v>
      </c>
      <c r="D35" s="167" t="s">
        <v>101</v>
      </c>
      <c r="E35" s="168">
        <v>69</v>
      </c>
      <c r="F35" s="168">
        <v>69</v>
      </c>
      <c r="G35" s="168">
        <v>69</v>
      </c>
      <c r="H35" s="168">
        <v>69</v>
      </c>
      <c r="I35" s="168">
        <v>69</v>
      </c>
      <c r="J35" s="171">
        <f>K35+L35</f>
        <v>43939.594475060003</v>
      </c>
      <c r="K35" s="171">
        <f>32323.83+1965.79</f>
        <v>34289.620000000003</v>
      </c>
      <c r="L35" s="163">
        <f>4001.99*2.411294</f>
        <v>9649.9744750599984</v>
      </c>
      <c r="M35" s="202">
        <v>7790.73</v>
      </c>
      <c r="N35" s="201">
        <f>SUM(O35:R35)</f>
        <v>3569392.4087791401</v>
      </c>
      <c r="O35" s="201">
        <f>G35*K35</f>
        <v>2365983.7800000003</v>
      </c>
      <c r="P35" s="201">
        <f>G35*L35</f>
        <v>665848.23877913994</v>
      </c>
      <c r="Q35" s="123" t="s">
        <v>104</v>
      </c>
      <c r="R35" s="203">
        <f>M35*G35+0.02</f>
        <v>537560.39</v>
      </c>
      <c r="S35" s="123" t="s">
        <v>104</v>
      </c>
      <c r="T35" s="46">
        <f>N35</f>
        <v>3569392.4087791401</v>
      </c>
      <c r="U35" s="46">
        <f>T35</f>
        <v>3569392.4087791401</v>
      </c>
    </row>
    <row r="36" spans="1:24" x14ac:dyDescent="0.25">
      <c r="A36" s="329"/>
      <c r="B36" s="192"/>
      <c r="C36" s="66" t="s">
        <v>106</v>
      </c>
      <c r="D36" s="64"/>
      <c r="E36" s="60">
        <f>E31+E35</f>
        <v>115</v>
      </c>
      <c r="F36" s="60">
        <f t="shared" ref="F36:I36" si="21">F31+F35</f>
        <v>115</v>
      </c>
      <c r="G36" s="60">
        <f t="shared" si="21"/>
        <v>115</v>
      </c>
      <c r="H36" s="60">
        <f t="shared" si="21"/>
        <v>115</v>
      </c>
      <c r="I36" s="60">
        <f t="shared" si="21"/>
        <v>115</v>
      </c>
      <c r="J36" s="73" t="s">
        <v>104</v>
      </c>
      <c r="K36" s="73" t="s">
        <v>104</v>
      </c>
      <c r="L36" s="73" t="s">
        <v>104</v>
      </c>
      <c r="M36" s="201" t="s">
        <v>104</v>
      </c>
      <c r="N36" s="207">
        <f>SUM(N31:N35)</f>
        <v>6352926.7446319005</v>
      </c>
      <c r="O36" s="207">
        <f>SUM(O31:O35)</f>
        <v>4347245.6400000006</v>
      </c>
      <c r="P36" s="207">
        <f>SUM(P31:P35)</f>
        <v>1109747.1546318999</v>
      </c>
      <c r="Q36" s="207"/>
      <c r="R36" s="207">
        <f>SUM(R31:R35)</f>
        <v>895933.95</v>
      </c>
      <c r="S36" s="207"/>
      <c r="T36" s="207">
        <f>SUM(T31:T35)</f>
        <v>6352926.7446319005</v>
      </c>
      <c r="U36" s="207">
        <f>SUM(U31:U35)</f>
        <v>6352926.7446319005</v>
      </c>
      <c r="W36" s="80">
        <f>R44/576</f>
        <v>8764.5712500000009</v>
      </c>
    </row>
    <row r="37" spans="1:24" ht="100.9" customHeight="1" x14ac:dyDescent="0.25">
      <c r="A37" s="329"/>
      <c r="B37" s="137" t="s">
        <v>241</v>
      </c>
      <c r="C37" s="61" t="s">
        <v>187</v>
      </c>
      <c r="D37" s="64" t="s">
        <v>101</v>
      </c>
      <c r="E37" s="60">
        <v>693</v>
      </c>
      <c r="F37" s="60">
        <v>693</v>
      </c>
      <c r="G37" s="60">
        <v>693</v>
      </c>
      <c r="H37" s="60">
        <v>693</v>
      </c>
      <c r="I37" s="60">
        <v>693</v>
      </c>
      <c r="J37" s="75">
        <f>K37</f>
        <v>3268.55</v>
      </c>
      <c r="K37" s="75">
        <v>3268.55</v>
      </c>
      <c r="L37" s="73" t="s">
        <v>104</v>
      </c>
      <c r="M37" s="201" t="s">
        <v>104</v>
      </c>
      <c r="N37" s="201">
        <f>SUM(O37:R37)</f>
        <v>2265106</v>
      </c>
      <c r="O37" s="201">
        <f>J37*G37+0.85</f>
        <v>2265106</v>
      </c>
      <c r="P37" s="201" t="s">
        <v>104</v>
      </c>
      <c r="Q37" s="201"/>
      <c r="R37" s="201" t="s">
        <v>104</v>
      </c>
      <c r="S37" s="201"/>
      <c r="T37" s="46">
        <f>N37</f>
        <v>2265106</v>
      </c>
      <c r="U37" s="46">
        <f>T37</f>
        <v>2265106</v>
      </c>
    </row>
    <row r="38" spans="1:24" x14ac:dyDescent="0.25">
      <c r="A38" s="329"/>
      <c r="B38" s="69"/>
      <c r="C38" s="66" t="s">
        <v>106</v>
      </c>
      <c r="D38" s="69"/>
      <c r="E38" s="60">
        <f>SUM(E37:E37)</f>
        <v>693</v>
      </c>
      <c r="F38" s="60">
        <f>SUM(F37:F37)</f>
        <v>693</v>
      </c>
      <c r="G38" s="59">
        <f>G37</f>
        <v>693</v>
      </c>
      <c r="H38" s="60">
        <f>SUM(H37:H37)</f>
        <v>693</v>
      </c>
      <c r="I38" s="60">
        <f>SUM(I37:I37)</f>
        <v>693</v>
      </c>
      <c r="J38" s="73" t="s">
        <v>104</v>
      </c>
      <c r="K38" s="73" t="s">
        <v>104</v>
      </c>
      <c r="L38" s="73" t="s">
        <v>104</v>
      </c>
      <c r="M38" s="207">
        <f t="shared" ref="M38:U38" si="22">SUM(M37:M37)</f>
        <v>0</v>
      </c>
      <c r="N38" s="207">
        <f t="shared" si="22"/>
        <v>2265106</v>
      </c>
      <c r="O38" s="207">
        <f t="shared" si="22"/>
        <v>2265106</v>
      </c>
      <c r="P38" s="207">
        <f t="shared" si="22"/>
        <v>0</v>
      </c>
      <c r="Q38" s="207"/>
      <c r="R38" s="207">
        <f t="shared" si="22"/>
        <v>0</v>
      </c>
      <c r="S38" s="207"/>
      <c r="T38" s="207">
        <f t="shared" si="22"/>
        <v>2265106</v>
      </c>
      <c r="U38" s="207">
        <f t="shared" si="22"/>
        <v>2265106</v>
      </c>
    </row>
    <row r="39" spans="1:24" ht="27" customHeight="1" x14ac:dyDescent="0.25">
      <c r="A39" s="329"/>
      <c r="B39" s="269" t="s">
        <v>312</v>
      </c>
      <c r="C39" s="184" t="s">
        <v>226</v>
      </c>
      <c r="D39" s="69"/>
      <c r="E39" s="60"/>
      <c r="F39" s="60"/>
      <c r="G39" s="59"/>
      <c r="H39" s="60"/>
      <c r="I39" s="60"/>
      <c r="J39" s="73"/>
      <c r="K39" s="73"/>
      <c r="L39" s="73"/>
      <c r="M39" s="207"/>
      <c r="N39" s="207">
        <f>P39</f>
        <v>118131</v>
      </c>
      <c r="O39" s="207"/>
      <c r="P39" s="207">
        <v>118131</v>
      </c>
      <c r="Q39" s="207"/>
      <c r="R39" s="207"/>
      <c r="S39" s="207"/>
      <c r="T39" s="207">
        <f>P39</f>
        <v>118131</v>
      </c>
      <c r="U39" s="207">
        <f>T39</f>
        <v>118131</v>
      </c>
    </row>
    <row r="40" spans="1:24" x14ac:dyDescent="0.25">
      <c r="A40" s="329"/>
      <c r="B40" s="89" t="s">
        <v>225</v>
      </c>
      <c r="C40" s="184" t="s">
        <v>219</v>
      </c>
      <c r="D40" s="64" t="s">
        <v>101</v>
      </c>
      <c r="E40" s="60">
        <v>17</v>
      </c>
      <c r="F40" s="60">
        <v>17</v>
      </c>
      <c r="G40" s="59">
        <v>17</v>
      </c>
      <c r="H40" s="60">
        <v>17</v>
      </c>
      <c r="I40" s="60">
        <v>17</v>
      </c>
      <c r="J40" s="73"/>
      <c r="K40" s="73"/>
      <c r="L40" s="73"/>
      <c r="M40" s="207"/>
      <c r="N40" s="207">
        <f>S40</f>
        <v>3308494</v>
      </c>
      <c r="O40" s="207"/>
      <c r="P40" s="207"/>
      <c r="Q40" s="207"/>
      <c r="R40" s="207"/>
      <c r="S40" s="207">
        <v>3308494</v>
      </c>
      <c r="T40" s="207">
        <f>S40</f>
        <v>3308494</v>
      </c>
      <c r="U40" s="207">
        <f>T40</f>
        <v>3308494</v>
      </c>
    </row>
    <row r="41" spans="1:24" x14ac:dyDescent="0.25">
      <c r="A41" s="329"/>
      <c r="B41" s="89" t="s">
        <v>225</v>
      </c>
      <c r="C41" s="184" t="s">
        <v>226</v>
      </c>
      <c r="D41" s="64" t="s">
        <v>101</v>
      </c>
      <c r="E41" s="60"/>
      <c r="F41" s="60"/>
      <c r="G41" s="59"/>
      <c r="H41" s="60"/>
      <c r="I41" s="60"/>
      <c r="J41" s="73"/>
      <c r="K41" s="73"/>
      <c r="L41" s="73"/>
      <c r="M41" s="207"/>
      <c r="N41" s="207"/>
      <c r="O41" s="207"/>
      <c r="P41" s="207"/>
      <c r="Q41" s="207"/>
      <c r="R41" s="207"/>
      <c r="S41" s="207"/>
      <c r="T41" s="207">
        <f>Q41</f>
        <v>0</v>
      </c>
      <c r="U41" s="207">
        <f>T41</f>
        <v>0</v>
      </c>
    </row>
    <row r="42" spans="1:24" x14ac:dyDescent="0.25">
      <c r="A42" s="329"/>
      <c r="B42" s="89" t="s">
        <v>311</v>
      </c>
      <c r="C42" s="184" t="s">
        <v>219</v>
      </c>
      <c r="D42" s="64" t="s">
        <v>101</v>
      </c>
      <c r="E42" s="60"/>
      <c r="F42" s="60"/>
      <c r="G42" s="59">
        <v>17</v>
      </c>
      <c r="H42" s="59">
        <v>17</v>
      </c>
      <c r="I42" s="59">
        <v>17</v>
      </c>
      <c r="J42" s="73"/>
      <c r="K42" s="73"/>
      <c r="L42" s="73"/>
      <c r="M42" s="207"/>
      <c r="N42" s="207">
        <f>S42</f>
        <v>275902</v>
      </c>
      <c r="O42" s="207"/>
      <c r="P42" s="207"/>
      <c r="Q42" s="207"/>
      <c r="R42" s="207"/>
      <c r="S42" s="212">
        <v>275902</v>
      </c>
      <c r="T42" s="207"/>
      <c r="U42" s="207"/>
    </row>
    <row r="43" spans="1:24" x14ac:dyDescent="0.25">
      <c r="A43" s="329"/>
      <c r="B43" s="89" t="s">
        <v>279</v>
      </c>
      <c r="C43" s="184" t="s">
        <v>226</v>
      </c>
      <c r="D43" s="64"/>
      <c r="E43" s="60"/>
      <c r="F43" s="60"/>
      <c r="G43" s="59"/>
      <c r="H43" s="60"/>
      <c r="I43" s="60"/>
      <c r="J43" s="73"/>
      <c r="K43" s="73"/>
      <c r="L43" s="73"/>
      <c r="M43" s="207"/>
      <c r="N43" s="207">
        <f>O43</f>
        <v>272890</v>
      </c>
      <c r="O43" s="207">
        <v>272890</v>
      </c>
      <c r="P43" s="207"/>
      <c r="Q43" s="207"/>
      <c r="R43" s="207"/>
      <c r="S43" s="207"/>
      <c r="T43" s="207">
        <f>O43</f>
        <v>272890</v>
      </c>
      <c r="U43" s="207">
        <f>T43</f>
        <v>272890</v>
      </c>
    </row>
    <row r="44" spans="1:24" x14ac:dyDescent="0.25">
      <c r="A44" s="329"/>
      <c r="B44" s="101" t="s">
        <v>112</v>
      </c>
      <c r="C44" s="101"/>
      <c r="D44" s="69"/>
      <c r="E44" s="102">
        <f t="shared" ref="E44:F44" si="23">E23+E30+E36</f>
        <v>648</v>
      </c>
      <c r="F44" s="102">
        <f t="shared" si="23"/>
        <v>648</v>
      </c>
      <c r="G44" s="102">
        <f>G23+G30+G36</f>
        <v>648</v>
      </c>
      <c r="H44" s="102">
        <f>H23+H30+H36</f>
        <v>648</v>
      </c>
      <c r="I44" s="102">
        <f>I23+I30+I36</f>
        <v>648</v>
      </c>
      <c r="J44" s="104"/>
      <c r="K44" s="104"/>
      <c r="L44" s="103"/>
      <c r="M44" s="138"/>
      <c r="N44" s="138">
        <f>SUM(O44:S44)</f>
        <v>40823279.03983888</v>
      </c>
      <c r="O44" s="138">
        <f>O23+O30+O36+O38+O43</f>
        <v>25819181</v>
      </c>
      <c r="P44" s="138">
        <f>P23+P30+P36+P38+P39+P40+P41</f>
        <v>6371308.9998388793</v>
      </c>
      <c r="Q44" s="138">
        <f t="shared" ref="Q44" si="24">Q23+Q30+Q36+Q38+Q39+Q40+Q41</f>
        <v>0</v>
      </c>
      <c r="R44" s="138">
        <f>R23+R30+R36+R38+R39+R40+R41+R42</f>
        <v>5048393.04</v>
      </c>
      <c r="S44" s="138">
        <f>S23+S30+S36+S38+S39+S40+S41+S42</f>
        <v>3584396</v>
      </c>
      <c r="T44" s="138">
        <f>T23+T30+T36+T38+T39+T40+T41+T42+T43</f>
        <v>40547377.03983888</v>
      </c>
      <c r="U44" s="138">
        <f>U23+U30+U36+U38+U39+U40+U41+U42+U43</f>
        <v>40547377.03983888</v>
      </c>
      <c r="V44" s="80">
        <f>6106434.79+15033</f>
        <v>6121467.79</v>
      </c>
      <c r="W44" s="85">
        <f>V44-R44</f>
        <v>1073074.75</v>
      </c>
      <c r="X44" s="80">
        <f>W44/I44</f>
        <v>1655.9795524691358</v>
      </c>
    </row>
    <row r="45" spans="1:24" ht="90" x14ac:dyDescent="0.25">
      <c r="A45" s="329" t="s">
        <v>113</v>
      </c>
      <c r="B45" s="330" t="s">
        <v>238</v>
      </c>
      <c r="C45" s="61" t="s">
        <v>100</v>
      </c>
      <c r="D45" s="62" t="s">
        <v>101</v>
      </c>
      <c r="E45" s="59">
        <v>261</v>
      </c>
      <c r="F45" s="59">
        <v>261</v>
      </c>
      <c r="G45" s="59">
        <v>261</v>
      </c>
      <c r="H45" s="59">
        <v>261</v>
      </c>
      <c r="I45" s="59">
        <v>261</v>
      </c>
      <c r="J45" s="107">
        <f>SUM(K45:M45)</f>
        <v>38349.724475059993</v>
      </c>
      <c r="K45" s="107">
        <f>19579.7+1329.32</f>
        <v>20909.02</v>
      </c>
      <c r="L45" s="107">
        <f>4001.99*2.411294</f>
        <v>9649.9744750599984</v>
      </c>
      <c r="M45" s="202">
        <v>7790.73</v>
      </c>
      <c r="N45" s="203">
        <f>SUM(O45:R45)</f>
        <v>10009278.247990659</v>
      </c>
      <c r="O45" s="203">
        <f>G45*K45-0.13</f>
        <v>5457254.0899999999</v>
      </c>
      <c r="P45" s="203">
        <f>G45*L45+0.29</f>
        <v>2518643.6279906598</v>
      </c>
      <c r="Q45" s="203"/>
      <c r="R45" s="46">
        <f>G45*M45</f>
        <v>2033380.5299999998</v>
      </c>
      <c r="S45" s="46"/>
      <c r="T45" s="46">
        <f>N45</f>
        <v>10009278.247990659</v>
      </c>
      <c r="U45" s="46">
        <f>T45</f>
        <v>10009278.247990659</v>
      </c>
    </row>
    <row r="46" spans="1:24" ht="90" x14ac:dyDescent="0.25">
      <c r="A46" s="329"/>
      <c r="B46" s="330"/>
      <c r="C46" s="63" t="s">
        <v>163</v>
      </c>
      <c r="D46" s="64" t="s">
        <v>101</v>
      </c>
      <c r="E46" s="59" t="s">
        <v>104</v>
      </c>
      <c r="F46" s="59" t="s">
        <v>104</v>
      </c>
      <c r="G46" s="59" t="s">
        <v>104</v>
      </c>
      <c r="H46" s="59" t="s">
        <v>104</v>
      </c>
      <c r="I46" s="59" t="s">
        <v>104</v>
      </c>
      <c r="J46" s="59" t="s">
        <v>104</v>
      </c>
      <c r="K46" s="59" t="s">
        <v>104</v>
      </c>
      <c r="L46" s="59" t="s">
        <v>104</v>
      </c>
      <c r="M46" s="123" t="s">
        <v>104</v>
      </c>
      <c r="N46" s="203"/>
      <c r="O46" s="203"/>
      <c r="P46" s="123" t="s">
        <v>104</v>
      </c>
      <c r="Q46" s="123"/>
      <c r="R46" s="123" t="s">
        <v>104</v>
      </c>
      <c r="S46" s="123"/>
      <c r="T46" s="46"/>
      <c r="U46" s="46"/>
    </row>
    <row r="47" spans="1:24" x14ac:dyDescent="0.25">
      <c r="A47" s="329"/>
      <c r="B47" s="330"/>
      <c r="C47" s="63" t="s">
        <v>169</v>
      </c>
      <c r="D47" s="64" t="s">
        <v>101</v>
      </c>
      <c r="E47" s="59">
        <v>5</v>
      </c>
      <c r="F47" s="59">
        <v>5</v>
      </c>
      <c r="G47" s="59">
        <v>5</v>
      </c>
      <c r="H47" s="59">
        <v>5</v>
      </c>
      <c r="I47" s="59">
        <v>5</v>
      </c>
      <c r="J47" s="75">
        <f t="shared" ref="J47:J51" si="25">K47</f>
        <v>69362.66</v>
      </c>
      <c r="K47" s="71">
        <v>69362.66</v>
      </c>
      <c r="L47" s="59"/>
      <c r="M47" s="123"/>
      <c r="N47" s="203">
        <f t="shared" ref="N47:N51" si="26">O47</f>
        <v>346813.30000000005</v>
      </c>
      <c r="O47" s="203">
        <f t="shared" ref="O47:O52" si="27">G47*K47</f>
        <v>346813.30000000005</v>
      </c>
      <c r="P47" s="123" t="s">
        <v>104</v>
      </c>
      <c r="Q47" s="123"/>
      <c r="R47" s="123" t="s">
        <v>104</v>
      </c>
      <c r="S47" s="123"/>
      <c r="T47" s="46">
        <f t="shared" ref="T47:T51" si="28">H47*K47</f>
        <v>346813.30000000005</v>
      </c>
      <c r="U47" s="46">
        <f t="shared" ref="U47:U51" si="29">I47*K47</f>
        <v>346813.30000000005</v>
      </c>
    </row>
    <row r="48" spans="1:24" x14ac:dyDescent="0.25">
      <c r="A48" s="329"/>
      <c r="B48" s="330"/>
      <c r="C48" s="63" t="s">
        <v>166</v>
      </c>
      <c r="D48" s="64" t="s">
        <v>101</v>
      </c>
      <c r="E48" s="59">
        <v>17</v>
      </c>
      <c r="F48" s="59">
        <v>17</v>
      </c>
      <c r="G48" s="59">
        <v>17</v>
      </c>
      <c r="H48" s="59">
        <v>17</v>
      </c>
      <c r="I48" s="59">
        <v>17</v>
      </c>
      <c r="J48" s="75">
        <f t="shared" si="25"/>
        <v>66361.320000000007</v>
      </c>
      <c r="K48" s="75">
        <v>66361.320000000007</v>
      </c>
      <c r="L48" s="59" t="s">
        <v>104</v>
      </c>
      <c r="M48" s="123" t="s">
        <v>104</v>
      </c>
      <c r="N48" s="203">
        <f>O48</f>
        <v>1128142.4400000002</v>
      </c>
      <c r="O48" s="203">
        <f t="shared" si="27"/>
        <v>1128142.4400000002</v>
      </c>
      <c r="P48" s="123" t="s">
        <v>104</v>
      </c>
      <c r="Q48" s="123"/>
      <c r="R48" s="123" t="s">
        <v>104</v>
      </c>
      <c r="S48" s="123"/>
      <c r="T48" s="46">
        <f t="shared" si="28"/>
        <v>1128142.4400000002</v>
      </c>
      <c r="U48" s="46">
        <f t="shared" si="29"/>
        <v>1128142.4400000002</v>
      </c>
    </row>
    <row r="49" spans="1:21" x14ac:dyDescent="0.25">
      <c r="A49" s="329"/>
      <c r="B49" s="330"/>
      <c r="C49" s="63" t="s">
        <v>167</v>
      </c>
      <c r="D49" s="64" t="s">
        <v>101</v>
      </c>
      <c r="E49" s="59">
        <v>3</v>
      </c>
      <c r="F49" s="59">
        <v>3</v>
      </c>
      <c r="G49" s="59">
        <v>3</v>
      </c>
      <c r="H49" s="59">
        <v>3</v>
      </c>
      <c r="I49" s="59">
        <v>3</v>
      </c>
      <c r="J49" s="75">
        <f t="shared" si="25"/>
        <v>174890.83</v>
      </c>
      <c r="K49" s="75">
        <v>174890.83</v>
      </c>
      <c r="L49" s="59" t="s">
        <v>104</v>
      </c>
      <c r="M49" s="123" t="s">
        <v>104</v>
      </c>
      <c r="N49" s="203">
        <f t="shared" si="26"/>
        <v>524672.49</v>
      </c>
      <c r="O49" s="203">
        <f t="shared" si="27"/>
        <v>524672.49</v>
      </c>
      <c r="P49" s="123" t="s">
        <v>104</v>
      </c>
      <c r="Q49" s="123"/>
      <c r="R49" s="123" t="s">
        <v>104</v>
      </c>
      <c r="S49" s="123"/>
      <c r="T49" s="46">
        <f t="shared" si="28"/>
        <v>524672.49</v>
      </c>
      <c r="U49" s="46">
        <f t="shared" si="29"/>
        <v>524672.49</v>
      </c>
    </row>
    <row r="50" spans="1:21" x14ac:dyDescent="0.25">
      <c r="A50" s="329"/>
      <c r="B50" s="330"/>
      <c r="C50" s="63" t="s">
        <v>170</v>
      </c>
      <c r="D50" s="64" t="s">
        <v>101</v>
      </c>
      <c r="E50" s="59">
        <v>5</v>
      </c>
      <c r="F50" s="59">
        <v>5</v>
      </c>
      <c r="G50" s="59">
        <v>5</v>
      </c>
      <c r="H50" s="59">
        <v>5</v>
      </c>
      <c r="I50" s="59">
        <v>5</v>
      </c>
      <c r="J50" s="75">
        <f t="shared" si="25"/>
        <v>99648.29</v>
      </c>
      <c r="K50" s="75">
        <v>99648.29</v>
      </c>
      <c r="L50" s="59"/>
      <c r="M50" s="123"/>
      <c r="N50" s="203">
        <f t="shared" si="26"/>
        <v>498241.44999999995</v>
      </c>
      <c r="O50" s="203">
        <f t="shared" si="27"/>
        <v>498241.44999999995</v>
      </c>
      <c r="P50" s="123" t="s">
        <v>104</v>
      </c>
      <c r="Q50" s="123"/>
      <c r="R50" s="123" t="s">
        <v>104</v>
      </c>
      <c r="S50" s="123"/>
      <c r="T50" s="46">
        <f t="shared" si="28"/>
        <v>498241.44999999995</v>
      </c>
      <c r="U50" s="46">
        <f t="shared" si="29"/>
        <v>498241.44999999995</v>
      </c>
    </row>
    <row r="51" spans="1:21" x14ac:dyDescent="0.25">
      <c r="A51" s="329"/>
      <c r="B51" s="330"/>
      <c r="C51" s="63" t="s">
        <v>168</v>
      </c>
      <c r="D51" s="64" t="s">
        <v>101</v>
      </c>
      <c r="E51" s="59"/>
      <c r="F51" s="59"/>
      <c r="G51" s="59"/>
      <c r="H51" s="59"/>
      <c r="I51" s="59"/>
      <c r="J51" s="75">
        <f t="shared" si="25"/>
        <v>23553.439999999999</v>
      </c>
      <c r="K51" s="75">
        <v>23553.439999999999</v>
      </c>
      <c r="L51" s="59" t="s">
        <v>104</v>
      </c>
      <c r="M51" s="123" t="s">
        <v>104</v>
      </c>
      <c r="N51" s="203">
        <f t="shared" si="26"/>
        <v>0</v>
      </c>
      <c r="O51" s="203">
        <f t="shared" si="27"/>
        <v>0</v>
      </c>
      <c r="P51" s="123" t="s">
        <v>104</v>
      </c>
      <c r="Q51" s="123"/>
      <c r="R51" s="123" t="s">
        <v>104</v>
      </c>
      <c r="S51" s="123"/>
      <c r="T51" s="46">
        <f t="shared" si="28"/>
        <v>0</v>
      </c>
      <c r="U51" s="46">
        <f t="shared" si="29"/>
        <v>0</v>
      </c>
    </row>
    <row r="52" spans="1:21" ht="120" x14ac:dyDescent="0.25">
      <c r="A52" s="329"/>
      <c r="B52" s="330"/>
      <c r="C52" s="61" t="s">
        <v>105</v>
      </c>
      <c r="D52" s="64" t="s">
        <v>101</v>
      </c>
      <c r="E52" s="59">
        <v>2</v>
      </c>
      <c r="F52" s="59">
        <v>2</v>
      </c>
      <c r="G52" s="59">
        <v>2</v>
      </c>
      <c r="H52" s="59">
        <v>2</v>
      </c>
      <c r="I52" s="59">
        <v>2</v>
      </c>
      <c r="J52" s="75">
        <f>SUM(K52:M52)</f>
        <v>140182.94447506001</v>
      </c>
      <c r="K52" s="75">
        <f>121412.92+1329.32</f>
        <v>122742.24</v>
      </c>
      <c r="L52" s="75">
        <f>4001.99*2.411294</f>
        <v>9649.9744750599984</v>
      </c>
      <c r="M52" s="202">
        <v>7790.73</v>
      </c>
      <c r="N52" s="203">
        <f>SUM(O52:R52)</f>
        <v>280365.88895012002</v>
      </c>
      <c r="O52" s="203">
        <f t="shared" si="27"/>
        <v>245484.48</v>
      </c>
      <c r="P52" s="203">
        <f>G52*L52</f>
        <v>19299.948950119997</v>
      </c>
      <c r="Q52" s="203"/>
      <c r="R52" s="46">
        <f>G52*M52</f>
        <v>15581.46</v>
      </c>
      <c r="S52" s="46"/>
      <c r="T52" s="46">
        <f t="shared" si="9"/>
        <v>280365.88895012002</v>
      </c>
      <c r="U52" s="46">
        <f t="shared" si="6"/>
        <v>280365.88895012002</v>
      </c>
    </row>
    <row r="53" spans="1:21" x14ac:dyDescent="0.25">
      <c r="A53" s="329"/>
      <c r="B53" s="330"/>
      <c r="C53" s="66" t="s">
        <v>106</v>
      </c>
      <c r="D53" s="67"/>
      <c r="E53" s="59">
        <f>E45+E52</f>
        <v>263</v>
      </c>
      <c r="F53" s="59">
        <f>F45+F52</f>
        <v>263</v>
      </c>
      <c r="G53" s="59">
        <f>G45+G52</f>
        <v>263</v>
      </c>
      <c r="H53" s="59">
        <f>H45+H52</f>
        <v>263</v>
      </c>
      <c r="I53" s="59">
        <f>I45+I52</f>
        <v>263</v>
      </c>
      <c r="J53" s="71" t="s">
        <v>104</v>
      </c>
      <c r="K53" s="71" t="s">
        <v>104</v>
      </c>
      <c r="L53" s="71" t="s">
        <v>104</v>
      </c>
      <c r="M53" s="203" t="s">
        <v>104</v>
      </c>
      <c r="N53" s="203">
        <f t="shared" ref="N53:R53" si="30">SUM(N45:N52)</f>
        <v>12787513.816940779</v>
      </c>
      <c r="O53" s="203">
        <f t="shared" si="30"/>
        <v>8200608.2500000009</v>
      </c>
      <c r="P53" s="203">
        <f>SUM(P45:P52)</f>
        <v>2537943.5769407796</v>
      </c>
      <c r="Q53" s="203"/>
      <c r="R53" s="203">
        <f t="shared" si="30"/>
        <v>2048961.9899999998</v>
      </c>
      <c r="S53" s="203"/>
      <c r="T53" s="46">
        <f>SUM(T45:T52)</f>
        <v>12787513.816940779</v>
      </c>
      <c r="U53" s="46">
        <f>SUM(U45:U52)</f>
        <v>12787513.816940779</v>
      </c>
    </row>
    <row r="54" spans="1:21" ht="90" x14ac:dyDescent="0.25">
      <c r="A54" s="329"/>
      <c r="B54" s="330" t="s">
        <v>239</v>
      </c>
      <c r="C54" s="61" t="s">
        <v>100</v>
      </c>
      <c r="D54" s="62" t="s">
        <v>101</v>
      </c>
      <c r="E54" s="59">
        <v>219</v>
      </c>
      <c r="F54" s="59">
        <v>219</v>
      </c>
      <c r="G54" s="59">
        <v>219</v>
      </c>
      <c r="H54" s="59">
        <v>219</v>
      </c>
      <c r="I54" s="59">
        <v>219</v>
      </c>
      <c r="J54" s="107">
        <f>SUM(K54:M54)</f>
        <v>53409.174475060005</v>
      </c>
      <c r="K54" s="107">
        <f>34346.05+1622.42</f>
        <v>35968.47</v>
      </c>
      <c r="L54" s="70">
        <f>4001.99*2.411294</f>
        <v>9649.9744750599984</v>
      </c>
      <c r="M54" s="202">
        <v>7790.73</v>
      </c>
      <c r="N54" s="203">
        <f>SUM(O54:R54)</f>
        <v>11696609.210038139</v>
      </c>
      <c r="O54" s="203">
        <f>G54*K54</f>
        <v>7877094.9300000006</v>
      </c>
      <c r="P54" s="203">
        <f>G54*L54</f>
        <v>2113344.4100381397</v>
      </c>
      <c r="Q54" s="203"/>
      <c r="R54" s="46">
        <f>G54*M54</f>
        <v>1706169.8699999999</v>
      </c>
      <c r="S54" s="46"/>
      <c r="T54" s="46">
        <f t="shared" si="9"/>
        <v>11696609.21003814</v>
      </c>
      <c r="U54" s="46">
        <f t="shared" si="6"/>
        <v>11696609.21003814</v>
      </c>
    </row>
    <row r="55" spans="1:21" ht="90" x14ac:dyDescent="0.25">
      <c r="A55" s="329"/>
      <c r="B55" s="330"/>
      <c r="C55" s="63" t="s">
        <v>102</v>
      </c>
      <c r="D55" s="64" t="s">
        <v>101</v>
      </c>
      <c r="E55" s="59" t="s">
        <v>104</v>
      </c>
      <c r="F55" s="59" t="s">
        <v>104</v>
      </c>
      <c r="G55" s="59" t="s">
        <v>104</v>
      </c>
      <c r="H55" s="59" t="s">
        <v>104</v>
      </c>
      <c r="I55" s="59" t="s">
        <v>104</v>
      </c>
      <c r="J55" s="59" t="s">
        <v>104</v>
      </c>
      <c r="K55" s="59" t="s">
        <v>191</v>
      </c>
      <c r="L55" s="59" t="s">
        <v>104</v>
      </c>
      <c r="M55" s="123" t="s">
        <v>104</v>
      </c>
      <c r="N55" s="203"/>
      <c r="O55" s="203"/>
      <c r="P55" s="123" t="s">
        <v>104</v>
      </c>
      <c r="Q55" s="123"/>
      <c r="R55" s="123" t="s">
        <v>104</v>
      </c>
      <c r="S55" s="123"/>
      <c r="T55" s="46"/>
      <c r="U55" s="46"/>
    </row>
    <row r="56" spans="1:21" x14ac:dyDescent="0.25">
      <c r="A56" s="329"/>
      <c r="B56" s="330"/>
      <c r="C56" s="63" t="s">
        <v>190</v>
      </c>
      <c r="D56" s="64" t="s">
        <v>101</v>
      </c>
      <c r="E56" s="60">
        <v>1</v>
      </c>
      <c r="F56" s="60">
        <v>1</v>
      </c>
      <c r="G56" s="60">
        <v>1</v>
      </c>
      <c r="H56" s="60">
        <v>1</v>
      </c>
      <c r="I56" s="60">
        <v>1</v>
      </c>
      <c r="J56" s="75">
        <f t="shared" ref="J56:J58" si="31">K56</f>
        <v>165500.54</v>
      </c>
      <c r="K56" s="46">
        <v>165500.54</v>
      </c>
      <c r="L56" s="59" t="s">
        <v>104</v>
      </c>
      <c r="M56" s="123" t="s">
        <v>104</v>
      </c>
      <c r="N56" s="203">
        <f t="shared" ref="N56:N58" si="32">O56</f>
        <v>165500.54</v>
      </c>
      <c r="O56" s="203">
        <f>G56*K56</f>
        <v>165500.54</v>
      </c>
      <c r="P56" s="123" t="s">
        <v>104</v>
      </c>
      <c r="Q56" s="123"/>
      <c r="R56" s="123" t="s">
        <v>104</v>
      </c>
      <c r="S56" s="123"/>
      <c r="T56" s="46">
        <f t="shared" ref="T56:T58" si="33">H56*K56</f>
        <v>165500.54</v>
      </c>
      <c r="U56" s="46">
        <f t="shared" ref="U56:U58" si="34">I56*K56</f>
        <v>165500.54</v>
      </c>
    </row>
    <row r="57" spans="1:21" x14ac:dyDescent="0.25">
      <c r="A57" s="329"/>
      <c r="B57" s="330"/>
      <c r="C57" s="63" t="s">
        <v>170</v>
      </c>
      <c r="D57" s="64" t="s">
        <v>101</v>
      </c>
      <c r="E57" s="60">
        <v>2</v>
      </c>
      <c r="F57" s="60">
        <v>2</v>
      </c>
      <c r="G57" s="60">
        <v>2</v>
      </c>
      <c r="H57" s="60">
        <v>2</v>
      </c>
      <c r="I57" s="60">
        <v>2</v>
      </c>
      <c r="J57" s="75">
        <f t="shared" si="31"/>
        <v>32769.75</v>
      </c>
      <c r="K57" s="75">
        <v>32769.75</v>
      </c>
      <c r="L57" s="59" t="s">
        <v>104</v>
      </c>
      <c r="M57" s="123" t="s">
        <v>104</v>
      </c>
      <c r="N57" s="203">
        <f t="shared" si="32"/>
        <v>65539.5</v>
      </c>
      <c r="O57" s="203">
        <f t="shared" ref="O57:O58" si="35">G57*K57</f>
        <v>65539.5</v>
      </c>
      <c r="P57" s="123" t="s">
        <v>104</v>
      </c>
      <c r="Q57" s="123"/>
      <c r="R57" s="123" t="s">
        <v>104</v>
      </c>
      <c r="S57" s="123"/>
      <c r="T57" s="46">
        <f t="shared" si="33"/>
        <v>65539.5</v>
      </c>
      <c r="U57" s="46">
        <f t="shared" si="34"/>
        <v>65539.5</v>
      </c>
    </row>
    <row r="58" spans="1:21" x14ac:dyDescent="0.25">
      <c r="A58" s="329"/>
      <c r="B58" s="330"/>
      <c r="C58" s="63" t="s">
        <v>168</v>
      </c>
      <c r="D58" s="64" t="s">
        <v>101</v>
      </c>
      <c r="E58" s="60">
        <v>4</v>
      </c>
      <c r="F58" s="60">
        <v>4</v>
      </c>
      <c r="G58" s="60">
        <v>4</v>
      </c>
      <c r="H58" s="60">
        <v>4</v>
      </c>
      <c r="I58" s="60">
        <v>4</v>
      </c>
      <c r="J58" s="75">
        <f t="shared" si="31"/>
        <v>23553.439999999999</v>
      </c>
      <c r="K58" s="75">
        <v>23553.439999999999</v>
      </c>
      <c r="L58" s="59" t="s">
        <v>104</v>
      </c>
      <c r="M58" s="123" t="s">
        <v>104</v>
      </c>
      <c r="N58" s="203">
        <f t="shared" si="32"/>
        <v>94213.759999999995</v>
      </c>
      <c r="O58" s="203">
        <f t="shared" si="35"/>
        <v>94213.759999999995</v>
      </c>
      <c r="P58" s="123" t="s">
        <v>104</v>
      </c>
      <c r="Q58" s="123"/>
      <c r="R58" s="123" t="s">
        <v>104</v>
      </c>
      <c r="S58" s="123"/>
      <c r="T58" s="46">
        <f t="shared" si="33"/>
        <v>94213.759999999995</v>
      </c>
      <c r="U58" s="46">
        <f t="shared" si="34"/>
        <v>94213.759999999995</v>
      </c>
    </row>
    <row r="59" spans="1:21" ht="120" x14ac:dyDescent="0.25">
      <c r="A59" s="329"/>
      <c r="B59" s="330"/>
      <c r="C59" s="61" t="s">
        <v>105</v>
      </c>
      <c r="D59" s="64" t="s">
        <v>101</v>
      </c>
      <c r="E59" s="60">
        <v>2</v>
      </c>
      <c r="F59" s="60">
        <v>2</v>
      </c>
      <c r="G59" s="59">
        <f t="shared" ref="G59" si="36">((E59*8)+(F59*4))/12</f>
        <v>2</v>
      </c>
      <c r="H59" s="60">
        <v>2</v>
      </c>
      <c r="I59" s="60">
        <v>2</v>
      </c>
      <c r="J59" s="75">
        <f>SUM(K59:M59)</f>
        <v>170470.75447506004</v>
      </c>
      <c r="K59" s="75">
        <f>151407.63+1622.42</f>
        <v>153030.05000000002</v>
      </c>
      <c r="L59" s="72">
        <f>4001.99*2.411294</f>
        <v>9649.9744750599984</v>
      </c>
      <c r="M59" s="202">
        <v>7790.73</v>
      </c>
      <c r="N59" s="203">
        <f>SUM(O59:R59)</f>
        <v>340941.50895012007</v>
      </c>
      <c r="O59" s="203">
        <f>G59*K59</f>
        <v>306060.10000000003</v>
      </c>
      <c r="P59" s="201">
        <f>G59*L59</f>
        <v>19299.948950119997</v>
      </c>
      <c r="Q59" s="201"/>
      <c r="R59" s="46">
        <f>G59*M59</f>
        <v>15581.46</v>
      </c>
      <c r="S59" s="46"/>
      <c r="T59" s="46">
        <f t="shared" si="9"/>
        <v>340941.50895012007</v>
      </c>
      <c r="U59" s="46">
        <f t="shared" si="6"/>
        <v>340941.50895012007</v>
      </c>
    </row>
    <row r="60" spans="1:21" x14ac:dyDescent="0.25">
      <c r="A60" s="329"/>
      <c r="B60" s="192"/>
      <c r="C60" s="66" t="s">
        <v>106</v>
      </c>
      <c r="D60" s="64"/>
      <c r="E60" s="60">
        <f>E54+E59</f>
        <v>221</v>
      </c>
      <c r="F60" s="60">
        <f>F54+F59</f>
        <v>221</v>
      </c>
      <c r="G60" s="60">
        <f>G54+G59</f>
        <v>221</v>
      </c>
      <c r="H60" s="60">
        <f>H54+H59</f>
        <v>221</v>
      </c>
      <c r="I60" s="60">
        <f>I54+I59</f>
        <v>221</v>
      </c>
      <c r="J60" s="73" t="s">
        <v>104</v>
      </c>
      <c r="K60" s="73" t="s">
        <v>104</v>
      </c>
      <c r="L60" s="74" t="s">
        <v>104</v>
      </c>
      <c r="M60" s="207" t="s">
        <v>104</v>
      </c>
      <c r="N60" s="207">
        <f t="shared" ref="N60:U60" si="37">SUM(N54:N59)</f>
        <v>12362804.518988257</v>
      </c>
      <c r="O60" s="207">
        <f t="shared" si="37"/>
        <v>8508408.8300000001</v>
      </c>
      <c r="P60" s="207">
        <f t="shared" si="37"/>
        <v>2132644.3589882595</v>
      </c>
      <c r="Q60" s="207"/>
      <c r="R60" s="207">
        <f t="shared" si="37"/>
        <v>1721751.3299999998</v>
      </c>
      <c r="S60" s="207"/>
      <c r="T60" s="46">
        <f t="shared" si="37"/>
        <v>12362804.518988259</v>
      </c>
      <c r="U60" s="46">
        <f t="shared" si="37"/>
        <v>12362804.518988259</v>
      </c>
    </row>
    <row r="61" spans="1:21" ht="90" x14ac:dyDescent="0.25">
      <c r="A61" s="329"/>
      <c r="B61" s="330" t="s">
        <v>240</v>
      </c>
      <c r="C61" s="61" t="s">
        <v>100</v>
      </c>
      <c r="D61" s="62" t="s">
        <v>101</v>
      </c>
      <c r="E61" s="60">
        <v>44</v>
      </c>
      <c r="F61" s="60">
        <v>44</v>
      </c>
      <c r="G61" s="60">
        <v>44</v>
      </c>
      <c r="H61" s="60">
        <v>44</v>
      </c>
      <c r="I61" s="60">
        <v>44</v>
      </c>
      <c r="J61" s="107">
        <f>SUM(K61:M61)</f>
        <v>60511.614475060007</v>
      </c>
      <c r="K61" s="107">
        <f>41105.12+1965.79</f>
        <v>43070.91</v>
      </c>
      <c r="L61" s="70">
        <f>4001.99*2.411294</f>
        <v>9649.9744750599984</v>
      </c>
      <c r="M61" s="202">
        <v>7790.73</v>
      </c>
      <c r="N61" s="201">
        <f>SUM(O61:R61)</f>
        <v>2662511.22690264</v>
      </c>
      <c r="O61" s="201">
        <f>G61*K61</f>
        <v>1895120.04</v>
      </c>
      <c r="P61" s="201">
        <f>G61*L61+0.19</f>
        <v>424599.06690263993</v>
      </c>
      <c r="Q61" s="201"/>
      <c r="R61" s="46">
        <f>G61*M61</f>
        <v>342792.12</v>
      </c>
      <c r="S61" s="46"/>
      <c r="T61" s="46">
        <f>N61</f>
        <v>2662511.22690264</v>
      </c>
      <c r="U61" s="46">
        <f>T61</f>
        <v>2662511.22690264</v>
      </c>
    </row>
    <row r="62" spans="1:21" ht="90" x14ac:dyDescent="0.25">
      <c r="A62" s="329"/>
      <c r="B62" s="330"/>
      <c r="C62" s="63" t="s">
        <v>102</v>
      </c>
      <c r="D62" s="64" t="s">
        <v>101</v>
      </c>
      <c r="E62" s="59" t="s">
        <v>104</v>
      </c>
      <c r="F62" s="59" t="s">
        <v>104</v>
      </c>
      <c r="G62" s="59" t="s">
        <v>104</v>
      </c>
      <c r="H62" s="59" t="s">
        <v>104</v>
      </c>
      <c r="I62" s="59" t="s">
        <v>104</v>
      </c>
      <c r="J62" s="59" t="s">
        <v>104</v>
      </c>
      <c r="K62" s="59" t="s">
        <v>104</v>
      </c>
      <c r="L62" s="59" t="s">
        <v>104</v>
      </c>
      <c r="M62" s="123" t="s">
        <v>104</v>
      </c>
      <c r="N62" s="203"/>
      <c r="O62" s="203"/>
      <c r="P62" s="123" t="s">
        <v>104</v>
      </c>
      <c r="Q62" s="123"/>
      <c r="R62" s="123" t="s">
        <v>104</v>
      </c>
      <c r="S62" s="123"/>
      <c r="T62" s="46"/>
      <c r="U62" s="46"/>
    </row>
    <row r="63" spans="1:21" x14ac:dyDescent="0.25">
      <c r="A63" s="329"/>
      <c r="B63" s="330"/>
      <c r="C63" s="63" t="s">
        <v>168</v>
      </c>
      <c r="D63" s="64" t="s">
        <v>101</v>
      </c>
      <c r="E63" s="60">
        <v>2</v>
      </c>
      <c r="F63" s="60">
        <v>2</v>
      </c>
      <c r="G63" s="60">
        <v>2</v>
      </c>
      <c r="H63" s="60">
        <v>2</v>
      </c>
      <c r="I63" s="60">
        <v>2</v>
      </c>
      <c r="J63" s="75">
        <f>K63</f>
        <v>23553.439999999999</v>
      </c>
      <c r="K63" s="75">
        <v>23553.439999999999</v>
      </c>
      <c r="L63" s="59" t="s">
        <v>104</v>
      </c>
      <c r="M63" s="123" t="s">
        <v>104</v>
      </c>
      <c r="N63" s="203">
        <f>O63</f>
        <v>47106.879999999997</v>
      </c>
      <c r="O63" s="203">
        <f>G63*K63</f>
        <v>47106.879999999997</v>
      </c>
      <c r="P63" s="123" t="s">
        <v>104</v>
      </c>
      <c r="Q63" s="123"/>
      <c r="R63" s="123" t="s">
        <v>104</v>
      </c>
      <c r="S63" s="123"/>
      <c r="T63" s="46">
        <f>H63*K63</f>
        <v>47106.879999999997</v>
      </c>
      <c r="U63" s="46">
        <f>I63*K63</f>
        <v>47106.879999999997</v>
      </c>
    </row>
    <row r="64" spans="1:21" ht="120" x14ac:dyDescent="0.25">
      <c r="A64" s="329"/>
      <c r="B64" s="330"/>
      <c r="C64" s="61" t="s">
        <v>105</v>
      </c>
      <c r="D64" s="64" t="s">
        <v>101</v>
      </c>
      <c r="E64" s="60">
        <v>0</v>
      </c>
      <c r="F64" s="60"/>
      <c r="G64" s="60"/>
      <c r="H64" s="60">
        <v>0</v>
      </c>
      <c r="I64" s="60">
        <v>0</v>
      </c>
      <c r="J64" s="73">
        <f>K64</f>
        <v>183368.14</v>
      </c>
      <c r="K64" s="73">
        <f>181402.35+1965.79</f>
        <v>183368.14</v>
      </c>
      <c r="L64" s="70">
        <f>4001.99*2.411294</f>
        <v>9649.9744750599984</v>
      </c>
      <c r="M64" s="202">
        <v>7790.73</v>
      </c>
      <c r="N64" s="203">
        <f>SUM(O64:R64)</f>
        <v>0</v>
      </c>
      <c r="O64" s="201">
        <f>G64*K64</f>
        <v>0</v>
      </c>
      <c r="P64" s="201">
        <f>E64*L64</f>
        <v>0</v>
      </c>
      <c r="Q64" s="201"/>
      <c r="R64" s="46">
        <f>G64*M64</f>
        <v>0</v>
      </c>
      <c r="S64" s="46"/>
      <c r="T64" s="46">
        <f>H64*K64</f>
        <v>0</v>
      </c>
      <c r="U64" s="46">
        <f>I64*K64</f>
        <v>0</v>
      </c>
    </row>
    <row r="65" spans="1:24" x14ac:dyDescent="0.25">
      <c r="A65" s="329"/>
      <c r="B65" s="192"/>
      <c r="C65" s="66" t="s">
        <v>106</v>
      </c>
      <c r="D65" s="64"/>
      <c r="E65" s="60">
        <f>E61+E64</f>
        <v>44</v>
      </c>
      <c r="F65" s="60">
        <f>F61+F64</f>
        <v>44</v>
      </c>
      <c r="G65" s="60">
        <f>G61+G64</f>
        <v>44</v>
      </c>
      <c r="H65" s="60">
        <f>H61+H64</f>
        <v>44</v>
      </c>
      <c r="I65" s="60">
        <f>I61+I64</f>
        <v>44</v>
      </c>
      <c r="J65" s="73" t="s">
        <v>104</v>
      </c>
      <c r="K65" s="73" t="s">
        <v>104</v>
      </c>
      <c r="L65" s="74" t="s">
        <v>104</v>
      </c>
      <c r="M65" s="207" t="s">
        <v>104</v>
      </c>
      <c r="N65" s="207">
        <f t="shared" ref="N65:R65" si="38">SUM(N61:N64)</f>
        <v>2709618.1069026398</v>
      </c>
      <c r="O65" s="207">
        <f t="shared" si="38"/>
        <v>1942226.92</v>
      </c>
      <c r="P65" s="207">
        <f t="shared" si="38"/>
        <v>424599.06690263993</v>
      </c>
      <c r="Q65" s="207"/>
      <c r="R65" s="207">
        <f t="shared" si="38"/>
        <v>342792.12</v>
      </c>
      <c r="S65" s="207"/>
      <c r="T65" s="46">
        <f>SUM(T61:T64)</f>
        <v>2709618.1069026398</v>
      </c>
      <c r="U65" s="46">
        <f>SUM(U61:U64)</f>
        <v>2709618.1069026398</v>
      </c>
    </row>
    <row r="66" spans="1:24" ht="100.9" customHeight="1" x14ac:dyDescent="0.25">
      <c r="A66" s="329"/>
      <c r="B66" s="137" t="s">
        <v>241</v>
      </c>
      <c r="C66" s="61" t="s">
        <v>187</v>
      </c>
      <c r="D66" s="64" t="s">
        <v>101</v>
      </c>
      <c r="E66" s="60">
        <v>777</v>
      </c>
      <c r="F66" s="60">
        <v>777</v>
      </c>
      <c r="G66" s="60">
        <v>777</v>
      </c>
      <c r="H66" s="60">
        <v>777</v>
      </c>
      <c r="I66" s="60">
        <v>777</v>
      </c>
      <c r="J66" s="75">
        <f>K66</f>
        <v>3268.55</v>
      </c>
      <c r="K66" s="75">
        <v>3268.55</v>
      </c>
      <c r="L66" s="72" t="s">
        <v>104</v>
      </c>
      <c r="M66" s="206" t="s">
        <v>104</v>
      </c>
      <c r="N66" s="201">
        <f>SUM(O66:R66)</f>
        <v>2539664</v>
      </c>
      <c r="O66" s="201">
        <f>K66*G66+0.65</f>
        <v>2539664</v>
      </c>
      <c r="P66" s="201" t="s">
        <v>104</v>
      </c>
      <c r="Q66" s="201"/>
      <c r="R66" s="201" t="s">
        <v>104</v>
      </c>
      <c r="S66" s="201"/>
      <c r="T66" s="46">
        <f>N66</f>
        <v>2539664</v>
      </c>
      <c r="U66" s="46">
        <f t="shared" ref="U66:U72" si="39">T66</f>
        <v>2539664</v>
      </c>
    </row>
    <row r="67" spans="1:24" x14ac:dyDescent="0.25">
      <c r="A67" s="329"/>
      <c r="B67" s="69"/>
      <c r="C67" s="66" t="s">
        <v>106</v>
      </c>
      <c r="D67" s="69"/>
      <c r="E67" s="60">
        <f>SUM(E66:E66)</f>
        <v>777</v>
      </c>
      <c r="F67" s="60">
        <f>SUM(F66:F66)</f>
        <v>777</v>
      </c>
      <c r="G67" s="60">
        <f>SUM(G66:G66)</f>
        <v>777</v>
      </c>
      <c r="H67" s="60">
        <f>SUM(H66:H66)</f>
        <v>777</v>
      </c>
      <c r="I67" s="60">
        <f>SUM(I66:I66)</f>
        <v>777</v>
      </c>
      <c r="J67" s="73" t="s">
        <v>104</v>
      </c>
      <c r="K67" s="73" t="s">
        <v>104</v>
      </c>
      <c r="L67" s="74" t="s">
        <v>104</v>
      </c>
      <c r="M67" s="207">
        <f t="shared" ref="M67:R67" si="40">SUM(M66:M66)</f>
        <v>0</v>
      </c>
      <c r="N67" s="207">
        <f t="shared" si="40"/>
        <v>2539664</v>
      </c>
      <c r="O67" s="207">
        <f>SUM(O66:O66)</f>
        <v>2539664</v>
      </c>
      <c r="P67" s="207">
        <f t="shared" si="40"/>
        <v>0</v>
      </c>
      <c r="Q67" s="207"/>
      <c r="R67" s="207">
        <f t="shared" si="40"/>
        <v>0</v>
      </c>
      <c r="S67" s="207"/>
      <c r="T67" s="46">
        <f>N67</f>
        <v>2539664</v>
      </c>
      <c r="U67" s="46">
        <f t="shared" si="39"/>
        <v>2539664</v>
      </c>
    </row>
    <row r="68" spans="1:24" x14ac:dyDescent="0.25">
      <c r="A68" s="329"/>
      <c r="B68" s="69" t="s">
        <v>312</v>
      </c>
      <c r="C68" s="184" t="s">
        <v>226</v>
      </c>
      <c r="D68" s="69"/>
      <c r="E68" s="60"/>
      <c r="F68" s="60"/>
      <c r="G68" s="60"/>
      <c r="H68" s="60"/>
      <c r="I68" s="60"/>
      <c r="J68" s="73"/>
      <c r="K68" s="73"/>
      <c r="L68" s="74"/>
      <c r="M68" s="207"/>
      <c r="N68" s="207">
        <f>P68</f>
        <v>96255</v>
      </c>
      <c r="O68" s="207"/>
      <c r="P68" s="207">
        <v>96255</v>
      </c>
      <c r="Q68" s="207"/>
      <c r="R68" s="207"/>
      <c r="S68" s="207"/>
      <c r="T68" s="46">
        <f>P68</f>
        <v>96255</v>
      </c>
      <c r="U68" s="46">
        <f t="shared" si="39"/>
        <v>96255</v>
      </c>
    </row>
    <row r="69" spans="1:24" x14ac:dyDescent="0.25">
      <c r="A69" s="329"/>
      <c r="B69" s="89" t="s">
        <v>225</v>
      </c>
      <c r="C69" s="184" t="s">
        <v>219</v>
      </c>
      <c r="D69" s="64" t="s">
        <v>101</v>
      </c>
      <c r="E69" s="60">
        <v>19</v>
      </c>
      <c r="F69" s="60">
        <v>19</v>
      </c>
      <c r="G69" s="60">
        <v>19</v>
      </c>
      <c r="H69" s="60">
        <v>19</v>
      </c>
      <c r="I69" s="60">
        <v>19</v>
      </c>
      <c r="J69" s="73"/>
      <c r="K69" s="73"/>
      <c r="L69" s="74"/>
      <c r="M69" s="207"/>
      <c r="N69" s="207">
        <f>S69</f>
        <v>3813252</v>
      </c>
      <c r="O69" s="207"/>
      <c r="P69" s="207"/>
      <c r="Q69" s="207"/>
      <c r="R69" s="207"/>
      <c r="S69" s="207">
        <v>3813252</v>
      </c>
      <c r="T69" s="46">
        <f>S69</f>
        <v>3813252</v>
      </c>
      <c r="U69" s="46">
        <f t="shared" si="39"/>
        <v>3813252</v>
      </c>
    </row>
    <row r="70" spans="1:24" x14ac:dyDescent="0.25">
      <c r="A70" s="329"/>
      <c r="B70" s="89" t="s">
        <v>225</v>
      </c>
      <c r="C70" s="184" t="s">
        <v>226</v>
      </c>
      <c r="D70" s="64" t="s">
        <v>101</v>
      </c>
      <c r="E70" s="60">
        <v>4</v>
      </c>
      <c r="F70" s="60">
        <v>4</v>
      </c>
      <c r="G70" s="60">
        <v>4</v>
      </c>
      <c r="H70" s="60">
        <v>4</v>
      </c>
      <c r="I70" s="60">
        <v>4</v>
      </c>
      <c r="J70" s="73"/>
      <c r="K70" s="73"/>
      <c r="L70" s="74"/>
      <c r="M70" s="207"/>
      <c r="N70" s="207">
        <f>Q70</f>
        <v>606031</v>
      </c>
      <c r="O70" s="207"/>
      <c r="P70" s="207"/>
      <c r="Q70" s="207">
        <f>586350+19681</f>
        <v>606031</v>
      </c>
      <c r="R70" s="207"/>
      <c r="S70" s="207"/>
      <c r="T70" s="156">
        <v>586350</v>
      </c>
      <c r="U70" s="156">
        <f t="shared" si="39"/>
        <v>586350</v>
      </c>
      <c r="V70" s="85">
        <f>Q70-T70</f>
        <v>19681</v>
      </c>
    </row>
    <row r="71" spans="1:24" x14ac:dyDescent="0.25">
      <c r="A71" s="329"/>
      <c r="B71" s="89" t="s">
        <v>311</v>
      </c>
      <c r="C71" s="184" t="s">
        <v>219</v>
      </c>
      <c r="D71" s="64"/>
      <c r="E71" s="60"/>
      <c r="F71" s="60"/>
      <c r="G71" s="60"/>
      <c r="H71" s="60"/>
      <c r="I71" s="60"/>
      <c r="J71" s="73"/>
      <c r="K71" s="73"/>
      <c r="L71" s="74"/>
      <c r="M71" s="207"/>
      <c r="N71" s="207">
        <f>S71</f>
        <v>309345</v>
      </c>
      <c r="O71" s="207"/>
      <c r="P71" s="207"/>
      <c r="Q71" s="207"/>
      <c r="R71" s="207"/>
      <c r="S71" s="212">
        <v>309345</v>
      </c>
      <c r="T71" s="46"/>
      <c r="U71" s="46"/>
    </row>
    <row r="72" spans="1:24" x14ac:dyDescent="0.25">
      <c r="A72" s="329"/>
      <c r="B72" s="89" t="s">
        <v>279</v>
      </c>
      <c r="C72" s="184" t="s">
        <v>226</v>
      </c>
      <c r="D72" s="64"/>
      <c r="E72" s="60"/>
      <c r="F72" s="60"/>
      <c r="G72" s="60"/>
      <c r="H72" s="60"/>
      <c r="I72" s="60"/>
      <c r="J72" s="73"/>
      <c r="K72" s="73"/>
      <c r="L72" s="74"/>
      <c r="M72" s="207"/>
      <c r="N72" s="207">
        <f>O72</f>
        <v>152733</v>
      </c>
      <c r="O72" s="207">
        <v>152733</v>
      </c>
      <c r="P72" s="207"/>
      <c r="Q72" s="207"/>
      <c r="R72" s="207"/>
      <c r="S72" s="207"/>
      <c r="T72" s="46">
        <f>O72</f>
        <v>152733</v>
      </c>
      <c r="U72" s="46">
        <f t="shared" si="39"/>
        <v>152733</v>
      </c>
    </row>
    <row r="73" spans="1:24" x14ac:dyDescent="0.25">
      <c r="A73" s="329"/>
      <c r="B73" s="101" t="s">
        <v>112</v>
      </c>
      <c r="C73" s="101"/>
      <c r="D73" s="69"/>
      <c r="E73" s="102">
        <f t="shared" ref="E73:F73" si="41">E53+E60+E65</f>
        <v>528</v>
      </c>
      <c r="F73" s="102">
        <f t="shared" si="41"/>
        <v>528</v>
      </c>
      <c r="G73" s="102">
        <f>G53+G60+G65</f>
        <v>528</v>
      </c>
      <c r="H73" s="102">
        <f t="shared" ref="H73:I73" si="42">H53+H60+H65</f>
        <v>528</v>
      </c>
      <c r="I73" s="102">
        <f t="shared" si="42"/>
        <v>528</v>
      </c>
      <c r="J73" s="104"/>
      <c r="K73" s="104"/>
      <c r="L73" s="103"/>
      <c r="M73" s="138"/>
      <c r="N73" s="138">
        <f>SUM(O73:S73)</f>
        <v>35377216.44283168</v>
      </c>
      <c r="O73" s="138">
        <f>O53+O60+O65+O67+O72</f>
        <v>21343641</v>
      </c>
      <c r="P73" s="138">
        <f>P53+P60+P65+P67+P68+P69+P70</f>
        <v>5191442.0028316798</v>
      </c>
      <c r="Q73" s="138">
        <f t="shared" ref="Q73" si="43">Q53+Q60+Q65+Q67+Q68+Q69+Q70</f>
        <v>606031</v>
      </c>
      <c r="R73" s="138">
        <f>R53+R60+R65+R67+R68+R69+R70+R71</f>
        <v>4113505.4399999995</v>
      </c>
      <c r="S73" s="138">
        <f>S53+S60+S65+S67+S68+S69+S70+S71</f>
        <v>4122597</v>
      </c>
      <c r="T73" s="138">
        <f>T53+T60+T65+T67+T68+T69+T70+T71+T72</f>
        <v>35048190.44283168</v>
      </c>
      <c r="U73" s="138">
        <f>U53+U60+U65+U67+U68+U69+U70+U71+U72</f>
        <v>35048190.44283168</v>
      </c>
      <c r="V73" s="85">
        <f>T72+T71+T70+T69+T68+T67+T60+T65+T53</f>
        <v>35048190.44283168</v>
      </c>
      <c r="W73" s="85">
        <f>V73-R73</f>
        <v>30934685.002831683</v>
      </c>
      <c r="X73" s="80">
        <f>W73/I73</f>
        <v>58588.418565969099</v>
      </c>
    </row>
    <row r="74" spans="1:24" ht="90" x14ac:dyDescent="0.25">
      <c r="A74" s="329" t="s">
        <v>114</v>
      </c>
      <c r="B74" s="330" t="s">
        <v>238</v>
      </c>
      <c r="C74" s="61" t="s">
        <v>100</v>
      </c>
      <c r="D74" s="62" t="s">
        <v>101</v>
      </c>
      <c r="E74" s="59">
        <v>242</v>
      </c>
      <c r="F74" s="59">
        <v>242</v>
      </c>
      <c r="G74" s="59">
        <v>242</v>
      </c>
      <c r="H74" s="59">
        <v>242</v>
      </c>
      <c r="I74" s="59">
        <v>242</v>
      </c>
      <c r="J74" s="107">
        <f>SUM(K74:M74)</f>
        <v>38349.724475059993</v>
      </c>
      <c r="K74" s="107">
        <f>19579.7+1329.32</f>
        <v>20909.02</v>
      </c>
      <c r="L74" s="70">
        <f>4001.99*2.411294</f>
        <v>9649.9744750599984</v>
      </c>
      <c r="M74" s="202">
        <v>7790.73</v>
      </c>
      <c r="N74" s="203">
        <f>SUM(O74:R74)</f>
        <v>9280634.0329645202</v>
      </c>
      <c r="O74" s="203">
        <f>G74*K74+0.66</f>
        <v>5059983.5</v>
      </c>
      <c r="P74" s="203">
        <f>G74*L74+0.05</f>
        <v>2335293.8729645195</v>
      </c>
      <c r="Q74" s="203"/>
      <c r="R74" s="46">
        <f>G74*M74</f>
        <v>1885356.66</v>
      </c>
      <c r="S74" s="46"/>
      <c r="T74" s="46">
        <f>N74</f>
        <v>9280634.0329645202</v>
      </c>
      <c r="U74" s="46">
        <f>T74</f>
        <v>9280634.0329645202</v>
      </c>
    </row>
    <row r="75" spans="1:24" ht="90" x14ac:dyDescent="0.25">
      <c r="A75" s="329"/>
      <c r="B75" s="330"/>
      <c r="C75" s="63" t="s">
        <v>163</v>
      </c>
      <c r="D75" s="64" t="s">
        <v>101</v>
      </c>
      <c r="E75" s="59" t="s">
        <v>104</v>
      </c>
      <c r="F75" s="59" t="s">
        <v>104</v>
      </c>
      <c r="G75" s="59" t="s">
        <v>104</v>
      </c>
      <c r="H75" s="59" t="s">
        <v>104</v>
      </c>
      <c r="I75" s="59" t="s">
        <v>104</v>
      </c>
      <c r="J75" s="59" t="s">
        <v>104</v>
      </c>
      <c r="K75" s="59" t="s">
        <v>104</v>
      </c>
      <c r="L75" s="59" t="s">
        <v>104</v>
      </c>
      <c r="M75" s="123" t="s">
        <v>104</v>
      </c>
      <c r="N75" s="123"/>
      <c r="O75" s="123"/>
      <c r="P75" s="123" t="s">
        <v>104</v>
      </c>
      <c r="Q75" s="123"/>
      <c r="R75" s="123" t="s">
        <v>104</v>
      </c>
      <c r="S75" s="123"/>
      <c r="T75" s="46"/>
      <c r="U75" s="46"/>
    </row>
    <row r="76" spans="1:24" x14ac:dyDescent="0.25">
      <c r="A76" s="329"/>
      <c r="B76" s="330"/>
      <c r="C76" s="63" t="s">
        <v>171</v>
      </c>
      <c r="D76" s="64" t="s">
        <v>101</v>
      </c>
      <c r="E76" s="59">
        <v>1</v>
      </c>
      <c r="F76" s="59">
        <v>1</v>
      </c>
      <c r="G76" s="59">
        <v>1</v>
      </c>
      <c r="H76" s="59">
        <v>1</v>
      </c>
      <c r="I76" s="59">
        <v>1</v>
      </c>
      <c r="J76" s="75">
        <f t="shared" ref="J76:J80" si="44">K76</f>
        <v>69362.66</v>
      </c>
      <c r="K76" s="75">
        <v>69362.66</v>
      </c>
      <c r="L76" s="59" t="s">
        <v>104</v>
      </c>
      <c r="M76" s="123" t="s">
        <v>104</v>
      </c>
      <c r="N76" s="203">
        <f>O76</f>
        <v>69362.66</v>
      </c>
      <c r="O76" s="203">
        <f>G76*K76</f>
        <v>69362.66</v>
      </c>
      <c r="P76" s="123" t="s">
        <v>104</v>
      </c>
      <c r="Q76" s="123"/>
      <c r="R76" s="123" t="s">
        <v>104</v>
      </c>
      <c r="S76" s="123"/>
      <c r="T76" s="46">
        <f>H76*K76</f>
        <v>69362.66</v>
      </c>
      <c r="U76" s="46">
        <f>I76*K76</f>
        <v>69362.66</v>
      </c>
    </row>
    <row r="77" spans="1:24" x14ac:dyDescent="0.25">
      <c r="A77" s="329"/>
      <c r="B77" s="330"/>
      <c r="C77" s="63" t="s">
        <v>164</v>
      </c>
      <c r="D77" s="64" t="s">
        <v>101</v>
      </c>
      <c r="E77" s="59">
        <v>3</v>
      </c>
      <c r="F77" s="59">
        <v>3</v>
      </c>
      <c r="G77" s="59">
        <v>3</v>
      </c>
      <c r="H77" s="59">
        <v>3</v>
      </c>
      <c r="I77" s="59">
        <v>3</v>
      </c>
      <c r="J77" s="75">
        <f t="shared" si="44"/>
        <v>25589.72</v>
      </c>
      <c r="K77" s="75">
        <v>25589.72</v>
      </c>
      <c r="L77" s="59" t="s">
        <v>104</v>
      </c>
      <c r="M77" s="123" t="s">
        <v>104</v>
      </c>
      <c r="N77" s="203">
        <f>O77</f>
        <v>76769.16</v>
      </c>
      <c r="O77" s="203">
        <f t="shared" ref="O77:O81" si="45">G77*K77</f>
        <v>76769.16</v>
      </c>
      <c r="P77" s="123" t="s">
        <v>104</v>
      </c>
      <c r="Q77" s="123"/>
      <c r="R77" s="123" t="s">
        <v>104</v>
      </c>
      <c r="S77" s="123"/>
      <c r="T77" s="46">
        <f>H77*K77</f>
        <v>76769.16</v>
      </c>
      <c r="U77" s="46">
        <f>I77*K77</f>
        <v>76769.16</v>
      </c>
    </row>
    <row r="78" spans="1:24" x14ac:dyDescent="0.25">
      <c r="A78" s="329"/>
      <c r="B78" s="330"/>
      <c r="C78" s="63" t="s">
        <v>169</v>
      </c>
      <c r="D78" s="64" t="s">
        <v>101</v>
      </c>
      <c r="E78" s="59">
        <v>18</v>
      </c>
      <c r="F78" s="59">
        <v>18</v>
      </c>
      <c r="G78" s="59">
        <v>18</v>
      </c>
      <c r="H78" s="59">
        <v>18</v>
      </c>
      <c r="I78" s="59">
        <v>18</v>
      </c>
      <c r="J78" s="75">
        <f t="shared" si="44"/>
        <v>69362.66</v>
      </c>
      <c r="K78" s="75">
        <v>69362.66</v>
      </c>
      <c r="L78" s="59" t="s">
        <v>104</v>
      </c>
      <c r="M78" s="123" t="s">
        <v>104</v>
      </c>
      <c r="N78" s="203">
        <f t="shared" ref="N78:N80" si="46">O78</f>
        <v>1248527.8800000001</v>
      </c>
      <c r="O78" s="203">
        <f t="shared" si="45"/>
        <v>1248527.8800000001</v>
      </c>
      <c r="P78" s="123" t="s">
        <v>104</v>
      </c>
      <c r="Q78" s="123"/>
      <c r="R78" s="123" t="s">
        <v>104</v>
      </c>
      <c r="S78" s="123"/>
      <c r="T78" s="46">
        <f t="shared" ref="T78:T80" si="47">H78*K78</f>
        <v>1248527.8800000001</v>
      </c>
      <c r="U78" s="46">
        <f t="shared" ref="U78:U80" si="48">I78*K78</f>
        <v>1248527.8800000001</v>
      </c>
    </row>
    <row r="79" spans="1:24" x14ac:dyDescent="0.25">
      <c r="A79" s="329"/>
      <c r="B79" s="330"/>
      <c r="C79" s="63" t="s">
        <v>166</v>
      </c>
      <c r="D79" s="64" t="s">
        <v>101</v>
      </c>
      <c r="E79" s="59">
        <v>5</v>
      </c>
      <c r="F79" s="59">
        <v>5</v>
      </c>
      <c r="G79" s="59">
        <v>5</v>
      </c>
      <c r="H79" s="59">
        <v>5</v>
      </c>
      <c r="I79" s="59">
        <v>5</v>
      </c>
      <c r="J79" s="75">
        <f t="shared" si="44"/>
        <v>66361.320000000007</v>
      </c>
      <c r="K79" s="75">
        <v>66361.320000000007</v>
      </c>
      <c r="L79" s="59" t="s">
        <v>104</v>
      </c>
      <c r="M79" s="123" t="s">
        <v>104</v>
      </c>
      <c r="N79" s="203">
        <f t="shared" si="46"/>
        <v>331806.60000000003</v>
      </c>
      <c r="O79" s="203">
        <f t="shared" si="45"/>
        <v>331806.60000000003</v>
      </c>
      <c r="P79" s="123" t="s">
        <v>104</v>
      </c>
      <c r="Q79" s="123"/>
      <c r="R79" s="123" t="s">
        <v>104</v>
      </c>
      <c r="S79" s="123"/>
      <c r="T79" s="46">
        <f t="shared" si="47"/>
        <v>331806.60000000003</v>
      </c>
      <c r="U79" s="46">
        <f t="shared" si="48"/>
        <v>331806.60000000003</v>
      </c>
    </row>
    <row r="80" spans="1:24" x14ac:dyDescent="0.25">
      <c r="A80" s="329"/>
      <c r="B80" s="330"/>
      <c r="C80" s="63" t="s">
        <v>168</v>
      </c>
      <c r="D80" s="64" t="s">
        <v>101</v>
      </c>
      <c r="E80" s="59">
        <v>1</v>
      </c>
      <c r="F80" s="59">
        <v>1</v>
      </c>
      <c r="G80" s="59">
        <v>1</v>
      </c>
      <c r="H80" s="59">
        <v>1</v>
      </c>
      <c r="I80" s="59">
        <v>1</v>
      </c>
      <c r="J80" s="75">
        <f t="shared" si="44"/>
        <v>23553.439999999999</v>
      </c>
      <c r="K80" s="75">
        <v>23553.439999999999</v>
      </c>
      <c r="L80" s="59" t="s">
        <v>104</v>
      </c>
      <c r="M80" s="123" t="s">
        <v>104</v>
      </c>
      <c r="N80" s="203">
        <f t="shared" si="46"/>
        <v>23553.439999999999</v>
      </c>
      <c r="O80" s="203">
        <f t="shared" si="45"/>
        <v>23553.439999999999</v>
      </c>
      <c r="P80" s="123" t="s">
        <v>104</v>
      </c>
      <c r="Q80" s="123"/>
      <c r="R80" s="123" t="s">
        <v>104</v>
      </c>
      <c r="S80" s="123"/>
      <c r="T80" s="46">
        <f t="shared" si="47"/>
        <v>23553.439999999999</v>
      </c>
      <c r="U80" s="46">
        <f t="shared" si="48"/>
        <v>23553.439999999999</v>
      </c>
    </row>
    <row r="81" spans="1:21" ht="120" x14ac:dyDescent="0.25">
      <c r="A81" s="329"/>
      <c r="B81" s="330"/>
      <c r="C81" s="61" t="s">
        <v>105</v>
      </c>
      <c r="D81" s="64" t="s">
        <v>101</v>
      </c>
      <c r="E81" s="59">
        <v>1</v>
      </c>
      <c r="F81" s="59">
        <v>1</v>
      </c>
      <c r="G81" s="59">
        <v>1</v>
      </c>
      <c r="H81" s="59">
        <v>1</v>
      </c>
      <c r="I81" s="59">
        <v>1</v>
      </c>
      <c r="J81" s="75">
        <f>SUM(K81:M81)</f>
        <v>140182.94447506001</v>
      </c>
      <c r="K81" s="75">
        <f>121412.92+1329.32</f>
        <v>122742.24</v>
      </c>
      <c r="L81" s="72">
        <f>4001.99*2.411294</f>
        <v>9649.9744750599984</v>
      </c>
      <c r="M81" s="202">
        <v>7790.73</v>
      </c>
      <c r="N81" s="203">
        <f>SUM(O81:R81)</f>
        <v>140182.94447506001</v>
      </c>
      <c r="O81" s="203">
        <f t="shared" si="45"/>
        <v>122742.24</v>
      </c>
      <c r="P81" s="203">
        <f>G81*L81</f>
        <v>9649.9744750599984</v>
      </c>
      <c r="Q81" s="203"/>
      <c r="R81" s="46">
        <f>G81*M81</f>
        <v>7790.73</v>
      </c>
      <c r="S81" s="46"/>
      <c r="T81" s="46">
        <f t="shared" si="9"/>
        <v>140182.94447506001</v>
      </c>
      <c r="U81" s="46">
        <f t="shared" si="6"/>
        <v>140182.94447506001</v>
      </c>
    </row>
    <row r="82" spans="1:21" x14ac:dyDescent="0.25">
      <c r="A82" s="329"/>
      <c r="B82" s="330"/>
      <c r="C82" s="66" t="s">
        <v>106</v>
      </c>
      <c r="D82" s="67"/>
      <c r="E82" s="59">
        <f>E74+E81</f>
        <v>243</v>
      </c>
      <c r="F82" s="59">
        <f t="shared" ref="F82:I82" si="49">F74+F81</f>
        <v>243</v>
      </c>
      <c r="G82" s="59">
        <f>G74+G81</f>
        <v>243</v>
      </c>
      <c r="H82" s="59">
        <f t="shared" si="49"/>
        <v>243</v>
      </c>
      <c r="I82" s="59">
        <f t="shared" si="49"/>
        <v>243</v>
      </c>
      <c r="J82" s="71" t="s">
        <v>104</v>
      </c>
      <c r="K82" s="71" t="s">
        <v>104</v>
      </c>
      <c r="L82" s="71" t="s">
        <v>104</v>
      </c>
      <c r="M82" s="203" t="s">
        <v>104</v>
      </c>
      <c r="N82" s="203">
        <f t="shared" ref="N82:R82" si="50">SUM(N74:N81)</f>
        <v>11170836.717439581</v>
      </c>
      <c r="O82" s="203">
        <f t="shared" si="50"/>
        <v>6932745.4800000004</v>
      </c>
      <c r="P82" s="203">
        <f t="shared" si="50"/>
        <v>2344943.8474395797</v>
      </c>
      <c r="Q82" s="203"/>
      <c r="R82" s="203">
        <f t="shared" si="50"/>
        <v>1893147.39</v>
      </c>
      <c r="S82" s="203"/>
      <c r="T82" s="203">
        <f>N82</f>
        <v>11170836.717439581</v>
      </c>
      <c r="U82" s="203">
        <f>T82</f>
        <v>11170836.717439581</v>
      </c>
    </row>
    <row r="83" spans="1:21" ht="90" x14ac:dyDescent="0.25">
      <c r="A83" s="329"/>
      <c r="B83" s="330" t="s">
        <v>239</v>
      </c>
      <c r="C83" s="61" t="s">
        <v>100</v>
      </c>
      <c r="D83" s="62" t="s">
        <v>101</v>
      </c>
      <c r="E83" s="59">
        <v>224</v>
      </c>
      <c r="F83" s="59">
        <v>224</v>
      </c>
      <c r="G83" s="59">
        <v>224</v>
      </c>
      <c r="H83" s="59">
        <v>224</v>
      </c>
      <c r="I83" s="59">
        <v>224</v>
      </c>
      <c r="J83" s="107">
        <f>SUM(K83:M83)</f>
        <v>53409.174475060005</v>
      </c>
      <c r="K83" s="107">
        <f>34346.05+1622.42</f>
        <v>35968.47</v>
      </c>
      <c r="L83" s="70">
        <f>4001.99*2.411294</f>
        <v>9649.9744750599984</v>
      </c>
      <c r="M83" s="202">
        <v>7790.73</v>
      </c>
      <c r="N83" s="203">
        <f>SUM(O83:R83)</f>
        <v>11963655.082413439</v>
      </c>
      <c r="O83" s="203">
        <f>G83*K83</f>
        <v>8056937.2800000003</v>
      </c>
      <c r="P83" s="203">
        <f>G83*L83</f>
        <v>2161594.2824134398</v>
      </c>
      <c r="Q83" s="203"/>
      <c r="R83" s="46">
        <f>G83*M83</f>
        <v>1745123.52</v>
      </c>
      <c r="S83" s="46"/>
      <c r="T83" s="46">
        <f t="shared" si="9"/>
        <v>11963655.082413441</v>
      </c>
      <c r="U83" s="46">
        <f t="shared" si="6"/>
        <v>11963655.082413441</v>
      </c>
    </row>
    <row r="84" spans="1:21" ht="90" x14ac:dyDescent="0.25">
      <c r="A84" s="329"/>
      <c r="B84" s="330"/>
      <c r="C84" s="63" t="s">
        <v>163</v>
      </c>
      <c r="D84" s="64" t="s">
        <v>101</v>
      </c>
      <c r="E84" s="59" t="s">
        <v>104</v>
      </c>
      <c r="F84" s="59" t="s">
        <v>104</v>
      </c>
      <c r="G84" s="59" t="s">
        <v>104</v>
      </c>
      <c r="H84" s="59" t="s">
        <v>104</v>
      </c>
      <c r="I84" s="59" t="s">
        <v>104</v>
      </c>
      <c r="J84" s="59" t="s">
        <v>104</v>
      </c>
      <c r="K84" s="59" t="s">
        <v>104</v>
      </c>
      <c r="L84" s="59" t="s">
        <v>104</v>
      </c>
      <c r="M84" s="123" t="s">
        <v>104</v>
      </c>
      <c r="N84" s="203"/>
      <c r="O84" s="203"/>
      <c r="P84" s="123" t="s">
        <v>104</v>
      </c>
      <c r="Q84" s="123"/>
      <c r="R84" s="123" t="s">
        <v>104</v>
      </c>
      <c r="S84" s="123"/>
      <c r="T84" s="46"/>
      <c r="U84" s="46"/>
    </row>
    <row r="85" spans="1:21" x14ac:dyDescent="0.25">
      <c r="A85" s="329"/>
      <c r="B85" s="330"/>
      <c r="C85" s="63" t="s">
        <v>171</v>
      </c>
      <c r="D85" s="64" t="s">
        <v>101</v>
      </c>
      <c r="E85" s="60">
        <v>1</v>
      </c>
      <c r="F85" s="60">
        <v>1</v>
      </c>
      <c r="G85" s="60">
        <v>1</v>
      </c>
      <c r="H85" s="60">
        <v>1</v>
      </c>
      <c r="I85" s="60">
        <v>1</v>
      </c>
      <c r="J85" s="75">
        <f t="shared" ref="J85:J86" si="51">K85</f>
        <v>69362.66</v>
      </c>
      <c r="K85" s="75">
        <v>69362.66</v>
      </c>
      <c r="L85" s="59" t="s">
        <v>104</v>
      </c>
      <c r="M85" s="123" t="s">
        <v>104</v>
      </c>
      <c r="N85" s="203">
        <f t="shared" ref="N85:N86" si="52">O85</f>
        <v>69362.66</v>
      </c>
      <c r="O85" s="203">
        <f>G85*K85</f>
        <v>69362.66</v>
      </c>
      <c r="P85" s="123" t="s">
        <v>104</v>
      </c>
      <c r="Q85" s="123"/>
      <c r="R85" s="123" t="s">
        <v>104</v>
      </c>
      <c r="S85" s="123"/>
      <c r="T85" s="46">
        <f>H85*K85</f>
        <v>69362.66</v>
      </c>
      <c r="U85" s="46">
        <f>I85*K85</f>
        <v>69362.66</v>
      </c>
    </row>
    <row r="86" spans="1:21" x14ac:dyDescent="0.25">
      <c r="A86" s="329"/>
      <c r="B86" s="330"/>
      <c r="C86" s="63" t="s">
        <v>165</v>
      </c>
      <c r="D86" s="64" t="s">
        <v>101</v>
      </c>
      <c r="E86" s="60"/>
      <c r="F86" s="60"/>
      <c r="G86" s="59"/>
      <c r="H86" s="60"/>
      <c r="I86" s="60"/>
      <c r="J86" s="75">
        <f t="shared" si="51"/>
        <v>92468.25</v>
      </c>
      <c r="K86" s="75">
        <v>92468.25</v>
      </c>
      <c r="L86" s="59" t="s">
        <v>104</v>
      </c>
      <c r="M86" s="123" t="s">
        <v>104</v>
      </c>
      <c r="N86" s="203">
        <f t="shared" si="52"/>
        <v>0</v>
      </c>
      <c r="O86" s="203">
        <f t="shared" ref="O86:O88" si="53">G86*K86</f>
        <v>0</v>
      </c>
      <c r="P86" s="123" t="s">
        <v>104</v>
      </c>
      <c r="Q86" s="123"/>
      <c r="R86" s="123" t="s">
        <v>104</v>
      </c>
      <c r="S86" s="123"/>
      <c r="T86" s="46">
        <f t="shared" ref="T86:T87" si="54">H86*K86</f>
        <v>0</v>
      </c>
      <c r="U86" s="46">
        <f t="shared" ref="U86:U87" si="55">I86*K86</f>
        <v>0</v>
      </c>
    </row>
    <row r="87" spans="1:21" x14ac:dyDescent="0.25">
      <c r="A87" s="329"/>
      <c r="B87" s="330"/>
      <c r="C87" s="63" t="s">
        <v>168</v>
      </c>
      <c r="D87" s="64" t="s">
        <v>101</v>
      </c>
      <c r="E87" s="60">
        <v>6</v>
      </c>
      <c r="F87" s="60">
        <v>6</v>
      </c>
      <c r="G87" s="60">
        <v>6</v>
      </c>
      <c r="H87" s="60">
        <v>6</v>
      </c>
      <c r="I87" s="60">
        <v>6</v>
      </c>
      <c r="J87" s="75">
        <f>K87</f>
        <v>23553.439999999999</v>
      </c>
      <c r="K87" s="75">
        <v>23553.439999999999</v>
      </c>
      <c r="L87" s="59" t="s">
        <v>104</v>
      </c>
      <c r="M87" s="123" t="s">
        <v>104</v>
      </c>
      <c r="N87" s="203">
        <f>O87</f>
        <v>141320.63999999998</v>
      </c>
      <c r="O87" s="203">
        <f t="shared" si="53"/>
        <v>141320.63999999998</v>
      </c>
      <c r="P87" s="123" t="s">
        <v>104</v>
      </c>
      <c r="Q87" s="123"/>
      <c r="R87" s="123" t="s">
        <v>104</v>
      </c>
      <c r="S87" s="123"/>
      <c r="T87" s="46">
        <f t="shared" si="54"/>
        <v>141320.63999999998</v>
      </c>
      <c r="U87" s="46">
        <f t="shared" si="55"/>
        <v>141320.63999999998</v>
      </c>
    </row>
    <row r="88" spans="1:21" ht="120" x14ac:dyDescent="0.25">
      <c r="A88" s="329"/>
      <c r="B88" s="330"/>
      <c r="C88" s="61" t="s">
        <v>105</v>
      </c>
      <c r="D88" s="64" t="s">
        <v>101</v>
      </c>
      <c r="E88" s="60">
        <v>3</v>
      </c>
      <c r="F88" s="60">
        <v>3</v>
      </c>
      <c r="G88" s="60">
        <v>3</v>
      </c>
      <c r="H88" s="60">
        <v>3</v>
      </c>
      <c r="I88" s="60">
        <v>3</v>
      </c>
      <c r="J88" s="75">
        <f>SUM(K88:M88)</f>
        <v>170470.75447506004</v>
      </c>
      <c r="K88" s="75">
        <f>151407.63+1622.42</f>
        <v>153030.05000000002</v>
      </c>
      <c r="L88" s="72">
        <f>4001.99*2.411294</f>
        <v>9649.9744750599984</v>
      </c>
      <c r="M88" s="202">
        <v>7790.73</v>
      </c>
      <c r="N88" s="201">
        <f>SUM(O88:R88)</f>
        <v>511412.26342518005</v>
      </c>
      <c r="O88" s="203">
        <f t="shared" si="53"/>
        <v>459090.15</v>
      </c>
      <c r="P88" s="201">
        <f>G88*L88</f>
        <v>28949.923425179994</v>
      </c>
      <c r="Q88" s="201"/>
      <c r="R88" s="46">
        <f>G88*M88</f>
        <v>23372.19</v>
      </c>
      <c r="S88" s="46"/>
      <c r="T88" s="46">
        <f t="shared" si="9"/>
        <v>511412.26342518011</v>
      </c>
      <c r="U88" s="46">
        <f t="shared" si="6"/>
        <v>511412.26342518011</v>
      </c>
    </row>
    <row r="89" spans="1:21" x14ac:dyDescent="0.25">
      <c r="A89" s="329"/>
      <c r="B89" s="192"/>
      <c r="C89" s="66" t="s">
        <v>106</v>
      </c>
      <c r="D89" s="64"/>
      <c r="E89" s="60">
        <f>E83+E88</f>
        <v>227</v>
      </c>
      <c r="F89" s="60">
        <f t="shared" ref="F89:I89" si="56">F83+F88</f>
        <v>227</v>
      </c>
      <c r="G89" s="60">
        <f t="shared" si="56"/>
        <v>227</v>
      </c>
      <c r="H89" s="60">
        <f t="shared" si="56"/>
        <v>227</v>
      </c>
      <c r="I89" s="60">
        <f t="shared" si="56"/>
        <v>227</v>
      </c>
      <c r="J89" s="73" t="s">
        <v>104</v>
      </c>
      <c r="K89" s="73" t="s">
        <v>104</v>
      </c>
      <c r="L89" s="74" t="s">
        <v>104</v>
      </c>
      <c r="M89" s="207" t="s">
        <v>104</v>
      </c>
      <c r="N89" s="207">
        <f t="shared" ref="N89:U89" si="57">SUM(N83:N88)</f>
        <v>12685750.64583862</v>
      </c>
      <c r="O89" s="207">
        <f t="shared" si="57"/>
        <v>8726710.7300000004</v>
      </c>
      <c r="P89" s="207">
        <f t="shared" si="57"/>
        <v>2190544.2058386197</v>
      </c>
      <c r="Q89" s="207"/>
      <c r="R89" s="207">
        <f t="shared" si="57"/>
        <v>1768495.71</v>
      </c>
      <c r="S89" s="207"/>
      <c r="T89" s="207">
        <f t="shared" si="57"/>
        <v>12685750.645838622</v>
      </c>
      <c r="U89" s="207">
        <f t="shared" si="57"/>
        <v>12685750.645838622</v>
      </c>
    </row>
    <row r="90" spans="1:21" ht="90" x14ac:dyDescent="0.25">
      <c r="A90" s="329"/>
      <c r="B90" s="330" t="s">
        <v>240</v>
      </c>
      <c r="C90" s="61" t="s">
        <v>100</v>
      </c>
      <c r="D90" s="62" t="s">
        <v>101</v>
      </c>
      <c r="E90" s="60">
        <v>69</v>
      </c>
      <c r="F90" s="60">
        <v>69</v>
      </c>
      <c r="G90" s="60">
        <v>69</v>
      </c>
      <c r="H90" s="60">
        <v>69</v>
      </c>
      <c r="I90" s="60">
        <v>69</v>
      </c>
      <c r="J90" s="107">
        <f>SUM(K90:M90)</f>
        <v>60511.614475060007</v>
      </c>
      <c r="K90" s="107">
        <f>41105.12+1965.79</f>
        <v>43070.91</v>
      </c>
      <c r="L90" s="70">
        <f>4001.99*2.411294</f>
        <v>9649.9744750599984</v>
      </c>
      <c r="M90" s="202">
        <v>7790.73</v>
      </c>
      <c r="N90" s="201">
        <f>SUM(O90:R90)</f>
        <v>4175301.10977914</v>
      </c>
      <c r="O90" s="201">
        <f>G90*K90</f>
        <v>2971892.79</v>
      </c>
      <c r="P90" s="201">
        <f>G90*L90-0.289</f>
        <v>665847.94977913995</v>
      </c>
      <c r="Q90" s="201"/>
      <c r="R90" s="46">
        <f>G90*M90</f>
        <v>537560.37</v>
      </c>
      <c r="S90" s="46"/>
      <c r="T90" s="46">
        <f>N90</f>
        <v>4175301.10977914</v>
      </c>
      <c r="U90" s="46">
        <f>T90</f>
        <v>4175301.10977914</v>
      </c>
    </row>
    <row r="91" spans="1:21" ht="90" x14ac:dyDescent="0.25">
      <c r="A91" s="329"/>
      <c r="B91" s="330"/>
      <c r="C91" s="63" t="s">
        <v>163</v>
      </c>
      <c r="D91" s="64" t="s">
        <v>101</v>
      </c>
      <c r="E91" s="59" t="s">
        <v>104</v>
      </c>
      <c r="F91" s="59" t="s">
        <v>104</v>
      </c>
      <c r="G91" s="59" t="s">
        <v>104</v>
      </c>
      <c r="H91" s="59" t="s">
        <v>104</v>
      </c>
      <c r="I91" s="59" t="s">
        <v>104</v>
      </c>
      <c r="J91" s="59" t="s">
        <v>104</v>
      </c>
      <c r="K91" s="59" t="s">
        <v>104</v>
      </c>
      <c r="L91" s="59" t="s">
        <v>104</v>
      </c>
      <c r="M91" s="123" t="s">
        <v>104</v>
      </c>
      <c r="N91" s="203"/>
      <c r="O91" s="203"/>
      <c r="P91" s="123" t="s">
        <v>104</v>
      </c>
      <c r="Q91" s="123"/>
      <c r="R91" s="123" t="s">
        <v>104</v>
      </c>
      <c r="S91" s="123"/>
      <c r="T91" s="46"/>
      <c r="U91" s="46"/>
    </row>
    <row r="92" spans="1:21" x14ac:dyDescent="0.25">
      <c r="A92" s="329"/>
      <c r="B92" s="330"/>
      <c r="C92" s="63" t="s">
        <v>165</v>
      </c>
      <c r="D92" s="64" t="s">
        <v>101</v>
      </c>
      <c r="E92" s="60"/>
      <c r="F92" s="60"/>
      <c r="G92" s="59">
        <f t="shared" ref="G92:G94" si="58">((E92*8)+(F92*4))/12</f>
        <v>0</v>
      </c>
      <c r="H92" s="60"/>
      <c r="I92" s="60"/>
      <c r="J92" s="75">
        <f>K92</f>
        <v>92468.25</v>
      </c>
      <c r="K92" s="75">
        <v>92468.25</v>
      </c>
      <c r="L92" s="59" t="s">
        <v>104</v>
      </c>
      <c r="M92" s="123" t="s">
        <v>104</v>
      </c>
      <c r="N92" s="203">
        <f>O92</f>
        <v>0</v>
      </c>
      <c r="O92" s="203">
        <f>G92*K92</f>
        <v>0</v>
      </c>
      <c r="P92" s="123" t="s">
        <v>104</v>
      </c>
      <c r="Q92" s="123"/>
      <c r="R92" s="123" t="s">
        <v>104</v>
      </c>
      <c r="S92" s="123"/>
      <c r="T92" s="46">
        <f>H92*K92</f>
        <v>0</v>
      </c>
      <c r="U92" s="46">
        <f>I92*K92</f>
        <v>0</v>
      </c>
    </row>
    <row r="93" spans="1:21" x14ac:dyDescent="0.25">
      <c r="A93" s="329"/>
      <c r="B93" s="330"/>
      <c r="C93" s="63" t="s">
        <v>168</v>
      </c>
      <c r="D93" s="64" t="s">
        <v>101</v>
      </c>
      <c r="E93" s="60"/>
      <c r="F93" s="60"/>
      <c r="G93" s="59">
        <f t="shared" si="58"/>
        <v>0</v>
      </c>
      <c r="H93" s="60"/>
      <c r="I93" s="60"/>
      <c r="J93" s="75">
        <f>K93</f>
        <v>23553.439999999999</v>
      </c>
      <c r="K93" s="75">
        <v>23553.439999999999</v>
      </c>
      <c r="L93" s="59" t="s">
        <v>104</v>
      </c>
      <c r="M93" s="123" t="s">
        <v>104</v>
      </c>
      <c r="N93" s="203">
        <f>O93</f>
        <v>0</v>
      </c>
      <c r="O93" s="203">
        <f>G93*K93</f>
        <v>0</v>
      </c>
      <c r="P93" s="123" t="s">
        <v>104</v>
      </c>
      <c r="Q93" s="123"/>
      <c r="R93" s="123" t="s">
        <v>104</v>
      </c>
      <c r="S93" s="123"/>
      <c r="T93" s="46">
        <f>H93*K93</f>
        <v>0</v>
      </c>
      <c r="U93" s="46">
        <f>I93*K93</f>
        <v>0</v>
      </c>
    </row>
    <row r="94" spans="1:21" ht="120" x14ac:dyDescent="0.25">
      <c r="A94" s="329"/>
      <c r="B94" s="330"/>
      <c r="C94" s="61" t="s">
        <v>105</v>
      </c>
      <c r="D94" s="64" t="s">
        <v>101</v>
      </c>
      <c r="E94" s="60"/>
      <c r="F94" s="60"/>
      <c r="G94" s="59">
        <f t="shared" si="58"/>
        <v>0</v>
      </c>
      <c r="H94" s="60"/>
      <c r="I94" s="60"/>
      <c r="J94" s="75">
        <f>SUM(K94:M94)</f>
        <v>200808.84447506003</v>
      </c>
      <c r="K94" s="75">
        <f>181402.35+1965.79</f>
        <v>183368.14</v>
      </c>
      <c r="L94" s="72">
        <f>4001.99*2.411294</f>
        <v>9649.9744750599984</v>
      </c>
      <c r="M94" s="202">
        <v>7790.73</v>
      </c>
      <c r="N94" s="201"/>
      <c r="O94" s="203">
        <f>G94*K94</f>
        <v>0</v>
      </c>
      <c r="P94" s="201"/>
      <c r="Q94" s="201"/>
      <c r="R94" s="201"/>
      <c r="S94" s="201"/>
      <c r="T94" s="46">
        <f t="shared" si="9"/>
        <v>0</v>
      </c>
      <c r="U94" s="46">
        <f t="shared" si="6"/>
        <v>0</v>
      </c>
    </row>
    <row r="95" spans="1:21" x14ac:dyDescent="0.25">
      <c r="A95" s="329"/>
      <c r="B95" s="192"/>
      <c r="C95" s="66" t="s">
        <v>106</v>
      </c>
      <c r="D95" s="64"/>
      <c r="E95" s="60">
        <f>E90+E94</f>
        <v>69</v>
      </c>
      <c r="F95" s="60">
        <f t="shared" ref="F95:I95" si="59">F90+F94</f>
        <v>69</v>
      </c>
      <c r="G95" s="60">
        <f t="shared" si="59"/>
        <v>69</v>
      </c>
      <c r="H95" s="60">
        <f t="shared" si="59"/>
        <v>69</v>
      </c>
      <c r="I95" s="60">
        <f t="shared" si="59"/>
        <v>69</v>
      </c>
      <c r="J95" s="73" t="s">
        <v>104</v>
      </c>
      <c r="K95" s="73" t="s">
        <v>104</v>
      </c>
      <c r="L95" s="74" t="s">
        <v>104</v>
      </c>
      <c r="M95" s="207" t="s">
        <v>104</v>
      </c>
      <c r="N95" s="207">
        <f t="shared" ref="N95:U95" si="60">SUM(N90:N94)</f>
        <v>4175301.10977914</v>
      </c>
      <c r="O95" s="207">
        <f t="shared" si="60"/>
        <v>2971892.79</v>
      </c>
      <c r="P95" s="207">
        <f t="shared" si="60"/>
        <v>665847.94977913995</v>
      </c>
      <c r="Q95" s="207"/>
      <c r="R95" s="207">
        <f t="shared" si="60"/>
        <v>537560.37</v>
      </c>
      <c r="S95" s="207"/>
      <c r="T95" s="207">
        <f t="shared" si="60"/>
        <v>4175301.10977914</v>
      </c>
      <c r="U95" s="207">
        <f t="shared" si="60"/>
        <v>4175301.10977914</v>
      </c>
    </row>
    <row r="96" spans="1:21" ht="100.15" customHeight="1" x14ac:dyDescent="0.25">
      <c r="A96" s="329"/>
      <c r="B96" s="137" t="s">
        <v>241</v>
      </c>
      <c r="C96" s="61" t="s">
        <v>187</v>
      </c>
      <c r="D96" s="64" t="s">
        <v>101</v>
      </c>
      <c r="E96" s="60">
        <v>921</v>
      </c>
      <c r="F96" s="60">
        <v>921</v>
      </c>
      <c r="G96" s="60">
        <v>921</v>
      </c>
      <c r="H96" s="60">
        <v>921</v>
      </c>
      <c r="I96" s="60">
        <v>921</v>
      </c>
      <c r="J96" s="75">
        <f>K96</f>
        <v>3268.55</v>
      </c>
      <c r="K96" s="75">
        <v>3268.55</v>
      </c>
      <c r="L96" s="72" t="s">
        <v>104</v>
      </c>
      <c r="M96" s="206" t="s">
        <v>104</v>
      </c>
      <c r="N96" s="201">
        <f>SUM(O96:R96)</f>
        <v>3010334.0000000005</v>
      </c>
      <c r="O96" s="201">
        <f>K96*G96-0.55</f>
        <v>3010334.0000000005</v>
      </c>
      <c r="P96" s="201" t="s">
        <v>104</v>
      </c>
      <c r="Q96" s="201"/>
      <c r="R96" s="201" t="s">
        <v>104</v>
      </c>
      <c r="S96" s="201"/>
      <c r="T96" s="46">
        <f>N96</f>
        <v>3010334.0000000005</v>
      </c>
      <c r="U96" s="46">
        <f t="shared" ref="U96:U102" si="61">T96</f>
        <v>3010334.0000000005</v>
      </c>
    </row>
    <row r="97" spans="1:24" x14ac:dyDescent="0.25">
      <c r="A97" s="329"/>
      <c r="B97" s="69"/>
      <c r="C97" s="66" t="s">
        <v>106</v>
      </c>
      <c r="D97" s="69"/>
      <c r="E97" s="60">
        <f>SUM(E96:E96)</f>
        <v>921</v>
      </c>
      <c r="F97" s="60">
        <f>SUM(F96:F96)</f>
        <v>921</v>
      </c>
      <c r="G97" s="60">
        <f>SUM(G96:G96)</f>
        <v>921</v>
      </c>
      <c r="H97" s="60">
        <f>SUM(H96:H96)</f>
        <v>921</v>
      </c>
      <c r="I97" s="60">
        <f>SUM(I96:I96)</f>
        <v>921</v>
      </c>
      <c r="J97" s="73" t="s">
        <v>104</v>
      </c>
      <c r="K97" s="73" t="s">
        <v>104</v>
      </c>
      <c r="L97" s="74" t="s">
        <v>104</v>
      </c>
      <c r="M97" s="207">
        <f t="shared" ref="M97:R97" si="62">SUM(M96:M96)</f>
        <v>0</v>
      </c>
      <c r="N97" s="207">
        <f t="shared" si="62"/>
        <v>3010334.0000000005</v>
      </c>
      <c r="O97" s="207">
        <f>SUM(O96:O96)</f>
        <v>3010334.0000000005</v>
      </c>
      <c r="P97" s="207">
        <f t="shared" si="62"/>
        <v>0</v>
      </c>
      <c r="Q97" s="207"/>
      <c r="R97" s="207">
        <f t="shared" si="62"/>
        <v>0</v>
      </c>
      <c r="S97" s="207"/>
      <c r="T97" s="46">
        <f>N97</f>
        <v>3010334.0000000005</v>
      </c>
      <c r="U97" s="46">
        <f t="shared" si="61"/>
        <v>3010334.0000000005</v>
      </c>
    </row>
    <row r="98" spans="1:24" x14ac:dyDescent="0.25">
      <c r="A98" s="329"/>
      <c r="B98" s="69" t="s">
        <v>312</v>
      </c>
      <c r="C98" s="184" t="s">
        <v>226</v>
      </c>
      <c r="D98" s="69"/>
      <c r="E98" s="60"/>
      <c r="F98" s="60"/>
      <c r="G98" s="60"/>
      <c r="H98" s="60"/>
      <c r="I98" s="60"/>
      <c r="J98" s="73"/>
      <c r="K98" s="73"/>
      <c r="L98" s="74"/>
      <c r="M98" s="207"/>
      <c r="N98" s="207">
        <f>P98</f>
        <v>98261</v>
      </c>
      <c r="O98" s="207"/>
      <c r="P98" s="207">
        <v>98261</v>
      </c>
      <c r="Q98" s="207"/>
      <c r="R98" s="207"/>
      <c r="S98" s="207"/>
      <c r="T98" s="46">
        <f>P98</f>
        <v>98261</v>
      </c>
      <c r="U98" s="46">
        <f t="shared" si="61"/>
        <v>98261</v>
      </c>
    </row>
    <row r="99" spans="1:24" x14ac:dyDescent="0.25">
      <c r="A99" s="329"/>
      <c r="B99" s="89" t="s">
        <v>225</v>
      </c>
      <c r="C99" s="184" t="s">
        <v>219</v>
      </c>
      <c r="D99" s="64" t="s">
        <v>101</v>
      </c>
      <c r="E99" s="60">
        <v>12</v>
      </c>
      <c r="F99" s="60">
        <v>12</v>
      </c>
      <c r="G99" s="60">
        <v>12</v>
      </c>
      <c r="H99" s="60">
        <v>12</v>
      </c>
      <c r="I99" s="60">
        <v>12</v>
      </c>
      <c r="J99" s="73"/>
      <c r="K99" s="73"/>
      <c r="L99" s="74"/>
      <c r="M99" s="207"/>
      <c r="N99" s="207">
        <f>S99</f>
        <v>1362189</v>
      </c>
      <c r="O99" s="207"/>
      <c r="P99" s="207"/>
      <c r="Q99" s="207"/>
      <c r="R99" s="207"/>
      <c r="S99" s="207">
        <v>1362189</v>
      </c>
      <c r="T99" s="46">
        <f>S99</f>
        <v>1362189</v>
      </c>
      <c r="U99" s="46">
        <f t="shared" si="61"/>
        <v>1362189</v>
      </c>
    </row>
    <row r="100" spans="1:24" x14ac:dyDescent="0.25">
      <c r="A100" s="329"/>
      <c r="B100" s="89" t="s">
        <v>225</v>
      </c>
      <c r="C100" s="184" t="s">
        <v>226</v>
      </c>
      <c r="D100" s="64" t="s">
        <v>101</v>
      </c>
      <c r="E100" s="60">
        <v>1</v>
      </c>
      <c r="F100" s="60">
        <v>1</v>
      </c>
      <c r="G100" s="60">
        <v>1</v>
      </c>
      <c r="H100" s="60">
        <v>1</v>
      </c>
      <c r="I100" s="60">
        <v>1</v>
      </c>
      <c r="J100" s="73"/>
      <c r="K100" s="73"/>
      <c r="L100" s="74"/>
      <c r="M100" s="207"/>
      <c r="N100" s="207">
        <f>Q100</f>
        <v>164828</v>
      </c>
      <c r="O100" s="207"/>
      <c r="P100" s="207"/>
      <c r="Q100" s="207">
        <f>159348+5480</f>
        <v>164828</v>
      </c>
      <c r="R100" s="207"/>
      <c r="S100" s="207"/>
      <c r="T100" s="156">
        <v>159348</v>
      </c>
      <c r="U100" s="156">
        <f t="shared" si="61"/>
        <v>159348</v>
      </c>
      <c r="V100" s="85">
        <f>Q100-T100</f>
        <v>5480</v>
      </c>
    </row>
    <row r="101" spans="1:24" x14ac:dyDescent="0.25">
      <c r="A101" s="329"/>
      <c r="B101" s="89" t="s">
        <v>311</v>
      </c>
      <c r="C101" s="184" t="s">
        <v>219</v>
      </c>
      <c r="D101" s="64"/>
      <c r="E101" s="60"/>
      <c r="F101" s="60"/>
      <c r="G101" s="60"/>
      <c r="H101" s="60"/>
      <c r="I101" s="60"/>
      <c r="J101" s="73"/>
      <c r="K101" s="73"/>
      <c r="L101" s="74"/>
      <c r="M101" s="207"/>
      <c r="N101" s="207">
        <f>O101+P101+Q101+R101+S101</f>
        <v>117049</v>
      </c>
      <c r="O101" s="207"/>
      <c r="P101" s="207"/>
      <c r="Q101" s="207"/>
      <c r="R101" s="207"/>
      <c r="S101" s="212">
        <v>117049</v>
      </c>
      <c r="T101" s="46"/>
      <c r="U101" s="46"/>
    </row>
    <row r="102" spans="1:24" x14ac:dyDescent="0.25">
      <c r="A102" s="329"/>
      <c r="B102" s="89" t="s">
        <v>279</v>
      </c>
      <c r="C102" s="184" t="s">
        <v>226</v>
      </c>
      <c r="D102" s="64"/>
      <c r="E102" s="60"/>
      <c r="F102" s="60"/>
      <c r="G102" s="60"/>
      <c r="H102" s="60"/>
      <c r="I102" s="60"/>
      <c r="J102" s="73"/>
      <c r="K102" s="73"/>
      <c r="L102" s="74"/>
      <c r="M102" s="207"/>
      <c r="N102" s="207">
        <f>O102+P102+Q102+R102+S102</f>
        <v>0</v>
      </c>
      <c r="O102" s="207"/>
      <c r="P102" s="207"/>
      <c r="Q102" s="207"/>
      <c r="R102" s="207"/>
      <c r="S102" s="207"/>
      <c r="T102" s="46">
        <f>O102</f>
        <v>0</v>
      </c>
      <c r="U102" s="46">
        <f t="shared" si="61"/>
        <v>0</v>
      </c>
    </row>
    <row r="103" spans="1:24" x14ac:dyDescent="0.25">
      <c r="A103" s="329"/>
      <c r="B103" s="101" t="s">
        <v>112</v>
      </c>
      <c r="C103" s="101"/>
      <c r="D103" s="69"/>
      <c r="E103" s="102">
        <f t="shared" ref="E103:F103" si="63">E82+E89+E95</f>
        <v>539</v>
      </c>
      <c r="F103" s="102">
        <f t="shared" si="63"/>
        <v>539</v>
      </c>
      <c r="G103" s="102">
        <f>G82+G89+G95</f>
        <v>539</v>
      </c>
      <c r="H103" s="102">
        <f t="shared" ref="H103:I103" si="64">H82+H89+H95</f>
        <v>539</v>
      </c>
      <c r="I103" s="102">
        <f t="shared" si="64"/>
        <v>539</v>
      </c>
      <c r="J103" s="104"/>
      <c r="K103" s="104"/>
      <c r="L103" s="103"/>
      <c r="M103" s="138"/>
      <c r="N103" s="138">
        <f>SUM(O103:S103)</f>
        <v>32784549.473057337</v>
      </c>
      <c r="O103" s="138">
        <f>O82+O89+O95+O97+O102</f>
        <v>21641683</v>
      </c>
      <c r="P103" s="138">
        <f>P82+P89+P95+P97+P98+P99+P100</f>
        <v>5299597.0030573392</v>
      </c>
      <c r="Q103" s="138">
        <f t="shared" ref="Q103" si="65">Q82+Q89+Q95+Q97+Q98+Q99+Q100</f>
        <v>164828</v>
      </c>
      <c r="R103" s="138">
        <f>R82+R89+R95+R97+R98+R99+R100+R101</f>
        <v>4199203.47</v>
      </c>
      <c r="S103" s="138">
        <f>S82+S89+S95+S97+S98+S99+S100+S101</f>
        <v>1479238</v>
      </c>
      <c r="T103" s="138">
        <f>T82+T89+T95+T97+T98+T99+T100+T101+T102</f>
        <v>32662020.473057345</v>
      </c>
      <c r="U103" s="138">
        <f>U82+U89+U95+U97+U98+U99+U100+U101+U102</f>
        <v>32662020.473057345</v>
      </c>
      <c r="V103" s="80">
        <v>4157205.33</v>
      </c>
      <c r="W103" s="85">
        <f>V103-R103</f>
        <v>-41998.139999999665</v>
      </c>
      <c r="X103" s="80">
        <f>W103/I103</f>
        <v>-77.918627087197891</v>
      </c>
    </row>
    <row r="104" spans="1:24" ht="90" x14ac:dyDescent="0.25">
      <c r="A104" s="329" t="s">
        <v>115</v>
      </c>
      <c r="B104" s="330" t="s">
        <v>238</v>
      </c>
      <c r="C104" s="61" t="s">
        <v>100</v>
      </c>
      <c r="D104" s="62" t="s">
        <v>101</v>
      </c>
      <c r="E104" s="59">
        <v>206</v>
      </c>
      <c r="F104" s="59">
        <v>206</v>
      </c>
      <c r="G104" s="59">
        <v>206</v>
      </c>
      <c r="H104" s="59">
        <v>206</v>
      </c>
      <c r="I104" s="59">
        <v>206</v>
      </c>
      <c r="J104" s="107">
        <f>SUM(K104:M104)</f>
        <v>38349.724475059993</v>
      </c>
      <c r="K104" s="107">
        <f>19579.7+1329.32</f>
        <v>20909.02</v>
      </c>
      <c r="L104" s="70">
        <f>4001.99*2.411294</f>
        <v>9649.9744750599984</v>
      </c>
      <c r="M104" s="202">
        <v>7790.73</v>
      </c>
      <c r="N104" s="203">
        <f>SUM(O104:R104)</f>
        <v>7900043.9618623601</v>
      </c>
      <c r="O104" s="203">
        <f>G104*K104+0.63</f>
        <v>4307258.75</v>
      </c>
      <c r="P104" s="203">
        <f>G104*L104+0.09</f>
        <v>1987894.8318623598</v>
      </c>
      <c r="Q104" s="203"/>
      <c r="R104" s="46">
        <f>G104*M104</f>
        <v>1604890.38</v>
      </c>
      <c r="S104" s="46"/>
      <c r="T104" s="46">
        <f>N104</f>
        <v>7900043.9618623601</v>
      </c>
      <c r="U104" s="46">
        <f>T104</f>
        <v>7900043.9618623601</v>
      </c>
    </row>
    <row r="105" spans="1:24" ht="90" x14ac:dyDescent="0.25">
      <c r="A105" s="329"/>
      <c r="B105" s="330"/>
      <c r="C105" s="63" t="s">
        <v>163</v>
      </c>
      <c r="D105" s="64" t="s">
        <v>101</v>
      </c>
      <c r="E105" s="59" t="s">
        <v>104</v>
      </c>
      <c r="F105" s="59" t="s">
        <v>104</v>
      </c>
      <c r="G105" s="59" t="s">
        <v>104</v>
      </c>
      <c r="H105" s="59" t="s">
        <v>104</v>
      </c>
      <c r="I105" s="59" t="s">
        <v>104</v>
      </c>
      <c r="J105" s="59" t="s">
        <v>104</v>
      </c>
      <c r="K105" s="59" t="s">
        <v>104</v>
      </c>
      <c r="L105" s="59" t="s">
        <v>104</v>
      </c>
      <c r="M105" s="123" t="s">
        <v>104</v>
      </c>
      <c r="N105" s="203"/>
      <c r="O105" s="203"/>
      <c r="P105" s="123" t="s">
        <v>104</v>
      </c>
      <c r="Q105" s="123"/>
      <c r="R105" s="123" t="s">
        <v>104</v>
      </c>
      <c r="S105" s="123"/>
      <c r="T105" s="46"/>
      <c r="U105" s="46"/>
    </row>
    <row r="106" spans="1:24" x14ac:dyDescent="0.25">
      <c r="A106" s="329"/>
      <c r="B106" s="330"/>
      <c r="C106" s="63" t="s">
        <v>164</v>
      </c>
      <c r="D106" s="64" t="s">
        <v>101</v>
      </c>
      <c r="E106" s="59"/>
      <c r="F106" s="59"/>
      <c r="G106" s="59"/>
      <c r="H106" s="59"/>
      <c r="I106" s="59"/>
      <c r="J106" s="75">
        <f>K106</f>
        <v>25589.72</v>
      </c>
      <c r="K106" s="71">
        <v>25589.72</v>
      </c>
      <c r="L106" s="59" t="s">
        <v>104</v>
      </c>
      <c r="M106" s="123" t="s">
        <v>104</v>
      </c>
      <c r="N106" s="203">
        <f t="shared" ref="N106:N108" si="66">O106</f>
        <v>0</v>
      </c>
      <c r="O106" s="203">
        <f>G106*K106</f>
        <v>0</v>
      </c>
      <c r="P106" s="123" t="s">
        <v>104</v>
      </c>
      <c r="Q106" s="123"/>
      <c r="R106" s="123" t="s">
        <v>104</v>
      </c>
      <c r="S106" s="123"/>
      <c r="T106" s="46">
        <f t="shared" ref="T106:T108" si="67">H106*K106</f>
        <v>0</v>
      </c>
      <c r="U106" s="46">
        <f t="shared" ref="U106:U108" si="68">I106*K106</f>
        <v>0</v>
      </c>
    </row>
    <row r="107" spans="1:24" x14ac:dyDescent="0.25">
      <c r="A107" s="329"/>
      <c r="B107" s="330"/>
      <c r="C107" s="63" t="s">
        <v>169</v>
      </c>
      <c r="D107" s="64" t="s">
        <v>101</v>
      </c>
      <c r="E107" s="59">
        <v>9</v>
      </c>
      <c r="F107" s="59">
        <v>9</v>
      </c>
      <c r="G107" s="59">
        <v>9</v>
      </c>
      <c r="H107" s="59">
        <v>9</v>
      </c>
      <c r="I107" s="59">
        <v>9</v>
      </c>
      <c r="J107" s="75">
        <f>K107</f>
        <v>69362.66</v>
      </c>
      <c r="K107" s="71">
        <v>69362.66</v>
      </c>
      <c r="L107" s="59" t="s">
        <v>104</v>
      </c>
      <c r="M107" s="123" t="s">
        <v>104</v>
      </c>
      <c r="N107" s="203">
        <f t="shared" si="66"/>
        <v>624263.94000000006</v>
      </c>
      <c r="O107" s="203">
        <f t="shared" ref="O107:O112" si="69">G107*K107</f>
        <v>624263.94000000006</v>
      </c>
      <c r="P107" s="123" t="s">
        <v>104</v>
      </c>
      <c r="Q107" s="123"/>
      <c r="R107" s="123" t="s">
        <v>104</v>
      </c>
      <c r="S107" s="123"/>
      <c r="T107" s="46">
        <f t="shared" si="67"/>
        <v>624263.94000000006</v>
      </c>
      <c r="U107" s="46">
        <f t="shared" si="68"/>
        <v>624263.94000000006</v>
      </c>
    </row>
    <row r="108" spans="1:24" x14ac:dyDescent="0.25">
      <c r="A108" s="329"/>
      <c r="B108" s="330"/>
      <c r="C108" s="63" t="s">
        <v>165</v>
      </c>
      <c r="D108" s="64" t="s">
        <v>101</v>
      </c>
      <c r="E108" s="59">
        <v>2</v>
      </c>
      <c r="F108" s="59">
        <v>2</v>
      </c>
      <c r="G108" s="59">
        <v>2</v>
      </c>
      <c r="H108" s="59">
        <v>2</v>
      </c>
      <c r="I108" s="59">
        <v>2</v>
      </c>
      <c r="J108" s="75">
        <f>K108</f>
        <v>92468.25</v>
      </c>
      <c r="K108" s="71">
        <v>92468.25</v>
      </c>
      <c r="L108" s="59" t="s">
        <v>104</v>
      </c>
      <c r="M108" s="123" t="s">
        <v>104</v>
      </c>
      <c r="N108" s="203">
        <f t="shared" si="66"/>
        <v>184936.5</v>
      </c>
      <c r="O108" s="203">
        <f t="shared" si="69"/>
        <v>184936.5</v>
      </c>
      <c r="P108" s="123" t="s">
        <v>104</v>
      </c>
      <c r="Q108" s="123"/>
      <c r="R108" s="123" t="s">
        <v>104</v>
      </c>
      <c r="S108" s="123"/>
      <c r="T108" s="46">
        <f t="shared" si="67"/>
        <v>184936.5</v>
      </c>
      <c r="U108" s="46">
        <f t="shared" si="68"/>
        <v>184936.5</v>
      </c>
    </row>
    <row r="109" spans="1:24" x14ac:dyDescent="0.25">
      <c r="A109" s="329"/>
      <c r="B109" s="330"/>
      <c r="C109" s="63" t="s">
        <v>166</v>
      </c>
      <c r="D109" s="64" t="s">
        <v>101</v>
      </c>
      <c r="E109" s="59">
        <v>24</v>
      </c>
      <c r="F109" s="59">
        <v>24</v>
      </c>
      <c r="G109" s="59">
        <v>24</v>
      </c>
      <c r="H109" s="59">
        <v>24</v>
      </c>
      <c r="I109" s="59">
        <v>24</v>
      </c>
      <c r="J109" s="75">
        <f>K109</f>
        <v>66361.320000000007</v>
      </c>
      <c r="K109" s="75">
        <v>66361.320000000007</v>
      </c>
      <c r="L109" s="59" t="s">
        <v>104</v>
      </c>
      <c r="M109" s="123" t="s">
        <v>104</v>
      </c>
      <c r="N109" s="203">
        <f>O109</f>
        <v>1592671.6800000002</v>
      </c>
      <c r="O109" s="203">
        <f t="shared" si="69"/>
        <v>1592671.6800000002</v>
      </c>
      <c r="P109" s="123" t="s">
        <v>104</v>
      </c>
      <c r="Q109" s="123"/>
      <c r="R109" s="123" t="s">
        <v>104</v>
      </c>
      <c r="S109" s="123"/>
      <c r="T109" s="46">
        <f>H109*K109</f>
        <v>1592671.6800000002</v>
      </c>
      <c r="U109" s="46">
        <f>I109*K109</f>
        <v>1592671.6800000002</v>
      </c>
    </row>
    <row r="110" spans="1:24" x14ac:dyDescent="0.25">
      <c r="A110" s="329"/>
      <c r="B110" s="330"/>
      <c r="C110" s="63" t="s">
        <v>167</v>
      </c>
      <c r="D110" s="64" t="s">
        <v>101</v>
      </c>
      <c r="E110" s="59">
        <v>1</v>
      </c>
      <c r="F110" s="59">
        <v>1</v>
      </c>
      <c r="G110" s="59">
        <v>1</v>
      </c>
      <c r="H110" s="59">
        <v>1</v>
      </c>
      <c r="I110" s="59">
        <v>1</v>
      </c>
      <c r="J110" s="75">
        <f>K110</f>
        <v>174890.83</v>
      </c>
      <c r="K110" s="75">
        <v>174890.83</v>
      </c>
      <c r="L110" s="59" t="s">
        <v>104</v>
      </c>
      <c r="M110" s="123" t="s">
        <v>104</v>
      </c>
      <c r="N110" s="203">
        <f>O110</f>
        <v>174890.83</v>
      </c>
      <c r="O110" s="203">
        <f t="shared" si="69"/>
        <v>174890.83</v>
      </c>
      <c r="P110" s="123" t="s">
        <v>104</v>
      </c>
      <c r="Q110" s="123"/>
      <c r="R110" s="123" t="s">
        <v>104</v>
      </c>
      <c r="S110" s="123"/>
      <c r="T110" s="46">
        <f>H110*K110</f>
        <v>174890.83</v>
      </c>
      <c r="U110" s="46">
        <f>I110*K110</f>
        <v>174890.83</v>
      </c>
    </row>
    <row r="111" spans="1:24" x14ac:dyDescent="0.25">
      <c r="A111" s="329"/>
      <c r="B111" s="330"/>
      <c r="C111" s="63" t="s">
        <v>170</v>
      </c>
      <c r="D111" s="64" t="s">
        <v>101</v>
      </c>
      <c r="E111" s="59">
        <v>1</v>
      </c>
      <c r="F111" s="59">
        <v>1</v>
      </c>
      <c r="G111" s="59">
        <v>1</v>
      </c>
      <c r="H111" s="59">
        <v>1</v>
      </c>
      <c r="I111" s="59">
        <v>1</v>
      </c>
      <c r="J111" s="75">
        <f t="shared" ref="J111:J112" si="70">K111</f>
        <v>99648.29</v>
      </c>
      <c r="K111" s="75">
        <v>99648.29</v>
      </c>
      <c r="L111" s="59" t="s">
        <v>104</v>
      </c>
      <c r="M111" s="123" t="s">
        <v>104</v>
      </c>
      <c r="N111" s="203">
        <f t="shared" ref="N111:N112" si="71">O111</f>
        <v>99648.29</v>
      </c>
      <c r="O111" s="203">
        <f t="shared" si="69"/>
        <v>99648.29</v>
      </c>
      <c r="P111" s="123" t="s">
        <v>104</v>
      </c>
      <c r="Q111" s="123"/>
      <c r="R111" s="123" t="s">
        <v>104</v>
      </c>
      <c r="S111" s="123"/>
      <c r="T111" s="46">
        <f t="shared" ref="T111:T112" si="72">H111*K111</f>
        <v>99648.29</v>
      </c>
      <c r="U111" s="46">
        <f t="shared" ref="U111:U112" si="73">I111*K111</f>
        <v>99648.29</v>
      </c>
    </row>
    <row r="112" spans="1:24" x14ac:dyDescent="0.25">
      <c r="A112" s="329"/>
      <c r="B112" s="330"/>
      <c r="C112" s="63" t="s">
        <v>168</v>
      </c>
      <c r="D112" s="64" t="s">
        <v>101</v>
      </c>
      <c r="E112" s="59">
        <v>1</v>
      </c>
      <c r="F112" s="59">
        <v>1</v>
      </c>
      <c r="G112" s="59">
        <v>1</v>
      </c>
      <c r="H112" s="59">
        <v>1</v>
      </c>
      <c r="I112" s="59">
        <v>1</v>
      </c>
      <c r="J112" s="75">
        <f t="shared" si="70"/>
        <v>23553.439999999999</v>
      </c>
      <c r="K112" s="75">
        <v>23553.439999999999</v>
      </c>
      <c r="L112" s="59" t="s">
        <v>104</v>
      </c>
      <c r="M112" s="123" t="s">
        <v>104</v>
      </c>
      <c r="N112" s="203">
        <f t="shared" si="71"/>
        <v>23553.439999999999</v>
      </c>
      <c r="O112" s="203">
        <f t="shared" si="69"/>
        <v>23553.439999999999</v>
      </c>
      <c r="P112" s="123" t="s">
        <v>104</v>
      </c>
      <c r="Q112" s="123"/>
      <c r="R112" s="123" t="s">
        <v>104</v>
      </c>
      <c r="S112" s="123"/>
      <c r="T112" s="46">
        <f t="shared" si="72"/>
        <v>23553.439999999999</v>
      </c>
      <c r="U112" s="46">
        <f t="shared" si="73"/>
        <v>23553.439999999999</v>
      </c>
    </row>
    <row r="113" spans="1:21" ht="120" x14ac:dyDescent="0.25">
      <c r="A113" s="329"/>
      <c r="B113" s="330"/>
      <c r="C113" s="61" t="s">
        <v>105</v>
      </c>
      <c r="D113" s="64" t="s">
        <v>101</v>
      </c>
      <c r="E113" s="59">
        <v>5</v>
      </c>
      <c r="F113" s="59">
        <v>5</v>
      </c>
      <c r="G113" s="59">
        <v>5</v>
      </c>
      <c r="H113" s="59">
        <v>5</v>
      </c>
      <c r="I113" s="59">
        <v>5</v>
      </c>
      <c r="J113" s="75">
        <f>SUM(K113:M113)</f>
        <v>140182.94447506001</v>
      </c>
      <c r="K113" s="75">
        <f>121412.92+1329.32</f>
        <v>122742.24</v>
      </c>
      <c r="L113" s="72">
        <f>4001.99*2.411294</f>
        <v>9649.9744750599984</v>
      </c>
      <c r="M113" s="202">
        <v>7790.73</v>
      </c>
      <c r="N113" s="203">
        <f>SUM(O113:R113)</f>
        <v>700914.72237530013</v>
      </c>
      <c r="O113" s="203">
        <f>G113*K113</f>
        <v>613711.20000000007</v>
      </c>
      <c r="P113" s="203">
        <f>G113*L113</f>
        <v>48249.872375299994</v>
      </c>
      <c r="Q113" s="203"/>
      <c r="R113" s="46">
        <f>G113*M113</f>
        <v>38953.649999999994</v>
      </c>
      <c r="S113" s="46"/>
      <c r="T113" s="46">
        <f t="shared" si="9"/>
        <v>700914.72237530001</v>
      </c>
      <c r="U113" s="46">
        <f t="shared" si="6"/>
        <v>700914.72237530001</v>
      </c>
    </row>
    <row r="114" spans="1:21" x14ac:dyDescent="0.25">
      <c r="A114" s="329"/>
      <c r="B114" s="330"/>
      <c r="C114" s="66" t="s">
        <v>106</v>
      </c>
      <c r="D114" s="67"/>
      <c r="E114" s="59">
        <f>E104+E113</f>
        <v>211</v>
      </c>
      <c r="F114" s="59">
        <f t="shared" ref="F114:I114" si="74">F104+F113</f>
        <v>211</v>
      </c>
      <c r="G114" s="59">
        <f t="shared" si="74"/>
        <v>211</v>
      </c>
      <c r="H114" s="59">
        <f t="shared" si="74"/>
        <v>211</v>
      </c>
      <c r="I114" s="59">
        <f t="shared" si="74"/>
        <v>211</v>
      </c>
      <c r="J114" s="71" t="s">
        <v>104</v>
      </c>
      <c r="K114" s="71" t="s">
        <v>104</v>
      </c>
      <c r="L114" s="71" t="s">
        <v>104</v>
      </c>
      <c r="M114" s="203" t="s">
        <v>104</v>
      </c>
      <c r="N114" s="203">
        <f>SUM(N104:N113)</f>
        <v>11300923.364237659</v>
      </c>
      <c r="O114" s="203">
        <f>SUM(O104:O113)</f>
        <v>7620934.6300000018</v>
      </c>
      <c r="P114" s="203">
        <f>SUM(P104:P113)</f>
        <v>2036144.7042376597</v>
      </c>
      <c r="Q114" s="203"/>
      <c r="R114" s="203">
        <f t="shared" ref="R114" si="75">SUM(R104:R113)</f>
        <v>1643844.0299999998</v>
      </c>
      <c r="S114" s="203"/>
      <c r="T114" s="203">
        <f>N114</f>
        <v>11300923.364237659</v>
      </c>
      <c r="U114" s="203">
        <f>T114</f>
        <v>11300923.364237659</v>
      </c>
    </row>
    <row r="115" spans="1:21" ht="90" x14ac:dyDescent="0.25">
      <c r="A115" s="329"/>
      <c r="B115" s="330" t="s">
        <v>239</v>
      </c>
      <c r="C115" s="61" t="s">
        <v>100</v>
      </c>
      <c r="D115" s="62" t="s">
        <v>101</v>
      </c>
      <c r="E115" s="59">
        <v>238</v>
      </c>
      <c r="F115" s="59">
        <v>238</v>
      </c>
      <c r="G115" s="59">
        <v>238</v>
      </c>
      <c r="H115" s="59">
        <v>238</v>
      </c>
      <c r="I115" s="59">
        <v>238</v>
      </c>
      <c r="J115" s="107">
        <f>SUM(K115:M115)</f>
        <v>53409.174475060005</v>
      </c>
      <c r="K115" s="107">
        <f>34346.05+1622.42</f>
        <v>35968.47</v>
      </c>
      <c r="L115" s="70">
        <f>4001.99*2.411294</f>
        <v>9649.9744750599984</v>
      </c>
      <c r="M115" s="202">
        <v>7790.73</v>
      </c>
      <c r="N115" s="203">
        <f>SUM(O115:R115)</f>
        <v>12711383.52506428</v>
      </c>
      <c r="O115" s="203">
        <f>G115*K115</f>
        <v>8560495.8599999994</v>
      </c>
      <c r="P115" s="203">
        <f>G115*L115</f>
        <v>2296693.9250642797</v>
      </c>
      <c r="Q115" s="203"/>
      <c r="R115" s="46">
        <f>G115*M115</f>
        <v>1854193.74</v>
      </c>
      <c r="S115" s="46"/>
      <c r="T115" s="46">
        <f t="shared" si="9"/>
        <v>12711383.52506428</v>
      </c>
      <c r="U115" s="46">
        <f t="shared" si="6"/>
        <v>12711383.52506428</v>
      </c>
    </row>
    <row r="116" spans="1:21" ht="90" x14ac:dyDescent="0.25">
      <c r="A116" s="329"/>
      <c r="B116" s="330"/>
      <c r="C116" s="63" t="s">
        <v>163</v>
      </c>
      <c r="D116" s="64" t="s">
        <v>101</v>
      </c>
      <c r="E116" s="59" t="s">
        <v>104</v>
      </c>
      <c r="F116" s="59" t="s">
        <v>104</v>
      </c>
      <c r="G116" s="59" t="s">
        <v>104</v>
      </c>
      <c r="H116" s="59" t="s">
        <v>104</v>
      </c>
      <c r="I116" s="59" t="s">
        <v>104</v>
      </c>
      <c r="J116" s="59" t="s">
        <v>104</v>
      </c>
      <c r="K116" s="59" t="s">
        <v>104</v>
      </c>
      <c r="L116" s="59" t="s">
        <v>104</v>
      </c>
      <c r="M116" s="123" t="s">
        <v>104</v>
      </c>
      <c r="N116" s="203"/>
      <c r="O116" s="203"/>
      <c r="P116" s="123" t="s">
        <v>104</v>
      </c>
      <c r="Q116" s="123"/>
      <c r="R116" s="123" t="s">
        <v>104</v>
      </c>
      <c r="S116" s="123"/>
      <c r="T116" s="46"/>
      <c r="U116" s="46"/>
    </row>
    <row r="117" spans="1:21" x14ac:dyDescent="0.25">
      <c r="A117" s="329"/>
      <c r="B117" s="330"/>
      <c r="C117" s="63" t="s">
        <v>164</v>
      </c>
      <c r="D117" s="64" t="s">
        <v>101</v>
      </c>
      <c r="E117" s="60">
        <v>2</v>
      </c>
      <c r="F117" s="60">
        <v>2</v>
      </c>
      <c r="G117" s="60">
        <v>2</v>
      </c>
      <c r="H117" s="60">
        <v>2</v>
      </c>
      <c r="I117" s="60">
        <v>2</v>
      </c>
      <c r="J117" s="75">
        <f>K117</f>
        <v>25589.72</v>
      </c>
      <c r="K117" s="75">
        <v>25589.72</v>
      </c>
      <c r="L117" s="59" t="s">
        <v>104</v>
      </c>
      <c r="M117" s="123" t="s">
        <v>104</v>
      </c>
      <c r="N117" s="203">
        <f>O117</f>
        <v>51179.44</v>
      </c>
      <c r="O117" s="203">
        <f>G117*K117</f>
        <v>51179.44</v>
      </c>
      <c r="P117" s="123" t="s">
        <v>104</v>
      </c>
      <c r="Q117" s="123"/>
      <c r="R117" s="123" t="s">
        <v>104</v>
      </c>
      <c r="S117" s="123"/>
      <c r="T117" s="46">
        <f>H117*K117</f>
        <v>51179.44</v>
      </c>
      <c r="U117" s="46">
        <f t="shared" ref="U117:U121" si="76">I117*K117</f>
        <v>51179.44</v>
      </c>
    </row>
    <row r="118" spans="1:21" x14ac:dyDescent="0.25">
      <c r="A118" s="329"/>
      <c r="B118" s="330"/>
      <c r="C118" s="63" t="s">
        <v>165</v>
      </c>
      <c r="D118" s="64" t="s">
        <v>101</v>
      </c>
      <c r="E118" s="60">
        <v>2</v>
      </c>
      <c r="F118" s="60">
        <v>2</v>
      </c>
      <c r="G118" s="60">
        <v>2</v>
      </c>
      <c r="H118" s="60">
        <v>2</v>
      </c>
      <c r="I118" s="60">
        <v>2</v>
      </c>
      <c r="J118" s="75">
        <f t="shared" ref="J118:J121" si="77">K118</f>
        <v>92468.25</v>
      </c>
      <c r="K118" s="75">
        <v>92468.25</v>
      </c>
      <c r="L118" s="59" t="s">
        <v>104</v>
      </c>
      <c r="M118" s="123" t="s">
        <v>104</v>
      </c>
      <c r="N118" s="203">
        <f t="shared" ref="N118:N121" si="78">O118</f>
        <v>184936.5</v>
      </c>
      <c r="O118" s="203">
        <f t="shared" ref="O118:O121" si="79">G118*K118</f>
        <v>184936.5</v>
      </c>
      <c r="P118" s="123" t="s">
        <v>104</v>
      </c>
      <c r="Q118" s="123"/>
      <c r="R118" s="123" t="s">
        <v>104</v>
      </c>
      <c r="S118" s="123"/>
      <c r="T118" s="46">
        <f t="shared" ref="T118:T121" si="80">H118*K118</f>
        <v>184936.5</v>
      </c>
      <c r="U118" s="46">
        <f t="shared" si="76"/>
        <v>184936.5</v>
      </c>
    </row>
    <row r="119" spans="1:21" x14ac:dyDescent="0.25">
      <c r="A119" s="329"/>
      <c r="B119" s="330"/>
      <c r="C119" s="63" t="s">
        <v>167</v>
      </c>
      <c r="D119" s="64" t="s">
        <v>101</v>
      </c>
      <c r="E119" s="60">
        <v>2</v>
      </c>
      <c r="F119" s="60">
        <v>2</v>
      </c>
      <c r="G119" s="60">
        <v>2</v>
      </c>
      <c r="H119" s="60">
        <v>2</v>
      </c>
      <c r="I119" s="60">
        <v>2</v>
      </c>
      <c r="J119" s="75">
        <f t="shared" si="77"/>
        <v>266106.15000000002</v>
      </c>
      <c r="K119" s="75">
        <v>266106.15000000002</v>
      </c>
      <c r="L119" s="59"/>
      <c r="M119" s="123"/>
      <c r="N119" s="203">
        <f t="shared" si="78"/>
        <v>532212.30000000005</v>
      </c>
      <c r="O119" s="203">
        <f t="shared" si="79"/>
        <v>532212.30000000005</v>
      </c>
      <c r="P119" s="123" t="s">
        <v>104</v>
      </c>
      <c r="Q119" s="123"/>
      <c r="R119" s="123"/>
      <c r="S119" s="123"/>
      <c r="T119" s="46">
        <f t="shared" si="80"/>
        <v>532212.30000000005</v>
      </c>
      <c r="U119" s="46">
        <f t="shared" si="76"/>
        <v>532212.30000000005</v>
      </c>
    </row>
    <row r="120" spans="1:21" x14ac:dyDescent="0.25">
      <c r="A120" s="329"/>
      <c r="B120" s="330"/>
      <c r="C120" s="63" t="s">
        <v>170</v>
      </c>
      <c r="D120" s="64" t="s">
        <v>101</v>
      </c>
      <c r="E120" s="60">
        <v>1</v>
      </c>
      <c r="F120" s="60">
        <v>1</v>
      </c>
      <c r="G120" s="60">
        <v>1</v>
      </c>
      <c r="H120" s="60">
        <v>1</v>
      </c>
      <c r="I120" s="60">
        <v>1</v>
      </c>
      <c r="J120" s="75">
        <f t="shared" si="77"/>
        <v>32769.75</v>
      </c>
      <c r="K120" s="75">
        <v>32769.75</v>
      </c>
      <c r="L120" s="59"/>
      <c r="M120" s="123"/>
      <c r="N120" s="203">
        <f t="shared" si="78"/>
        <v>32769.75</v>
      </c>
      <c r="O120" s="203">
        <f t="shared" si="79"/>
        <v>32769.75</v>
      </c>
      <c r="P120" s="123" t="s">
        <v>104</v>
      </c>
      <c r="Q120" s="123"/>
      <c r="R120" s="123"/>
      <c r="S120" s="123"/>
      <c r="T120" s="46">
        <f t="shared" si="80"/>
        <v>32769.75</v>
      </c>
      <c r="U120" s="46">
        <f t="shared" si="76"/>
        <v>32769.75</v>
      </c>
    </row>
    <row r="121" spans="1:21" x14ac:dyDescent="0.25">
      <c r="A121" s="329"/>
      <c r="B121" s="330"/>
      <c r="C121" s="63" t="s">
        <v>168</v>
      </c>
      <c r="D121" s="64" t="s">
        <v>101</v>
      </c>
      <c r="E121" s="60">
        <v>1</v>
      </c>
      <c r="F121" s="60">
        <v>1</v>
      </c>
      <c r="G121" s="60">
        <v>1</v>
      </c>
      <c r="H121" s="60">
        <v>1</v>
      </c>
      <c r="I121" s="60">
        <v>1</v>
      </c>
      <c r="J121" s="75">
        <f t="shared" si="77"/>
        <v>23553.439999999999</v>
      </c>
      <c r="K121" s="75">
        <v>23553.439999999999</v>
      </c>
      <c r="L121" s="59" t="s">
        <v>104</v>
      </c>
      <c r="M121" s="123" t="s">
        <v>104</v>
      </c>
      <c r="N121" s="203">
        <f t="shared" si="78"/>
        <v>23553.439999999999</v>
      </c>
      <c r="O121" s="203">
        <f t="shared" si="79"/>
        <v>23553.439999999999</v>
      </c>
      <c r="P121" s="123" t="s">
        <v>104</v>
      </c>
      <c r="Q121" s="123"/>
      <c r="R121" s="123" t="s">
        <v>104</v>
      </c>
      <c r="S121" s="123"/>
      <c r="T121" s="46">
        <f t="shared" si="80"/>
        <v>23553.439999999999</v>
      </c>
      <c r="U121" s="46">
        <f t="shared" si="76"/>
        <v>23553.439999999999</v>
      </c>
    </row>
    <row r="122" spans="1:21" ht="120" x14ac:dyDescent="0.25">
      <c r="A122" s="329"/>
      <c r="B122" s="330"/>
      <c r="C122" s="61" t="s">
        <v>105</v>
      </c>
      <c r="D122" s="64" t="s">
        <v>101</v>
      </c>
      <c r="E122" s="60">
        <v>1</v>
      </c>
      <c r="F122" s="60">
        <v>1</v>
      </c>
      <c r="G122" s="60">
        <v>1</v>
      </c>
      <c r="H122" s="60">
        <v>1</v>
      </c>
      <c r="I122" s="60">
        <v>1</v>
      </c>
      <c r="J122" s="75">
        <f>SUM(K122:M122)</f>
        <v>170470.75447506004</v>
      </c>
      <c r="K122" s="75">
        <f>151407.63+1622.42</f>
        <v>153030.05000000002</v>
      </c>
      <c r="L122" s="72">
        <f>4001.99*2.411294</f>
        <v>9649.9744750599984</v>
      </c>
      <c r="M122" s="202">
        <v>7790.73</v>
      </c>
      <c r="N122" s="201">
        <f>SUM(O122:R122)</f>
        <v>170470.75447506004</v>
      </c>
      <c r="O122" s="201">
        <f>G122*K122</f>
        <v>153030.05000000002</v>
      </c>
      <c r="P122" s="201">
        <f>G122*L122</f>
        <v>9649.9744750599984</v>
      </c>
      <c r="Q122" s="201"/>
      <c r="R122" s="46">
        <f>G122*M122</f>
        <v>7790.73</v>
      </c>
      <c r="S122" s="46"/>
      <c r="T122" s="46">
        <f t="shared" si="9"/>
        <v>170470.75447506004</v>
      </c>
      <c r="U122" s="46">
        <f t="shared" si="6"/>
        <v>170470.75447506004</v>
      </c>
    </row>
    <row r="123" spans="1:21" x14ac:dyDescent="0.25">
      <c r="A123" s="329"/>
      <c r="B123" s="192"/>
      <c r="C123" s="66" t="s">
        <v>106</v>
      </c>
      <c r="D123" s="64"/>
      <c r="E123" s="60">
        <f>E115+E122</f>
        <v>239</v>
      </c>
      <c r="F123" s="60">
        <f t="shared" ref="F123:I123" si="81">F115+F122</f>
        <v>239</v>
      </c>
      <c r="G123" s="60">
        <f t="shared" si="81"/>
        <v>239</v>
      </c>
      <c r="H123" s="60">
        <f t="shared" si="81"/>
        <v>239</v>
      </c>
      <c r="I123" s="60">
        <f t="shared" si="81"/>
        <v>239</v>
      </c>
      <c r="J123" s="73" t="s">
        <v>104</v>
      </c>
      <c r="K123" s="73" t="s">
        <v>104</v>
      </c>
      <c r="L123" s="73" t="s">
        <v>104</v>
      </c>
      <c r="M123" s="201" t="s">
        <v>104</v>
      </c>
      <c r="N123" s="207">
        <f>SUM(N115:N122)</f>
        <v>13706505.709539341</v>
      </c>
      <c r="O123" s="207">
        <f>SUM(O115:O122)</f>
        <v>9538177.3399999999</v>
      </c>
      <c r="P123" s="207">
        <f>SUM(P115:P122)</f>
        <v>2306343.8995393398</v>
      </c>
      <c r="Q123" s="207"/>
      <c r="R123" s="207">
        <f t="shared" ref="R123:U123" si="82">SUM(R115:R122)</f>
        <v>1861984.47</v>
      </c>
      <c r="S123" s="207"/>
      <c r="T123" s="207">
        <f t="shared" si="82"/>
        <v>13706505.709539341</v>
      </c>
      <c r="U123" s="207">
        <f t="shared" si="82"/>
        <v>13706505.709539341</v>
      </c>
    </row>
    <row r="124" spans="1:21" ht="90" x14ac:dyDescent="0.25">
      <c r="A124" s="329"/>
      <c r="B124" s="330" t="s">
        <v>240</v>
      </c>
      <c r="C124" s="61" t="s">
        <v>100</v>
      </c>
      <c r="D124" s="62" t="s">
        <v>101</v>
      </c>
      <c r="E124" s="60">
        <v>33</v>
      </c>
      <c r="F124" s="60">
        <v>33</v>
      </c>
      <c r="G124" s="60">
        <v>33</v>
      </c>
      <c r="H124" s="60">
        <v>33</v>
      </c>
      <c r="I124" s="60">
        <v>33</v>
      </c>
      <c r="J124" s="107">
        <f>SUM(K124:M124)</f>
        <v>60511.614475060007</v>
      </c>
      <c r="K124" s="107">
        <f>41105.12+1965.79</f>
        <v>43070.91</v>
      </c>
      <c r="L124" s="70">
        <f>4001.99*2.411294</f>
        <v>9649.9744750599984</v>
      </c>
      <c r="M124" s="202">
        <v>7790.73</v>
      </c>
      <c r="N124" s="201">
        <f>SUM(O124:R124)</f>
        <v>1996883.51767698</v>
      </c>
      <c r="O124" s="201">
        <f>G124*K124</f>
        <v>1421340.03</v>
      </c>
      <c r="P124" s="201">
        <f>G124*L124+0.24</f>
        <v>318449.39767697995</v>
      </c>
      <c r="Q124" s="201"/>
      <c r="R124" s="46">
        <f>G124*M124</f>
        <v>257094.09</v>
      </c>
      <c r="S124" s="46"/>
      <c r="T124" s="46">
        <f>N124</f>
        <v>1996883.51767698</v>
      </c>
      <c r="U124" s="46">
        <f>T124</f>
        <v>1996883.51767698</v>
      </c>
    </row>
    <row r="125" spans="1:21" ht="90" x14ac:dyDescent="0.25">
      <c r="A125" s="329"/>
      <c r="B125" s="330"/>
      <c r="C125" s="63" t="s">
        <v>163</v>
      </c>
      <c r="D125" s="64" t="s">
        <v>101</v>
      </c>
      <c r="E125" s="59" t="s">
        <v>104</v>
      </c>
      <c r="F125" s="59" t="s">
        <v>104</v>
      </c>
      <c r="G125" s="59" t="s">
        <v>104</v>
      </c>
      <c r="H125" s="59" t="s">
        <v>104</v>
      </c>
      <c r="I125" s="59" t="s">
        <v>104</v>
      </c>
      <c r="J125" s="59" t="s">
        <v>104</v>
      </c>
      <c r="K125" s="59" t="s">
        <v>104</v>
      </c>
      <c r="L125" s="59" t="s">
        <v>104</v>
      </c>
      <c r="M125" s="123" t="s">
        <v>104</v>
      </c>
      <c r="N125" s="203"/>
      <c r="O125" s="203"/>
      <c r="P125" s="123" t="s">
        <v>104</v>
      </c>
      <c r="Q125" s="123"/>
      <c r="R125" s="123" t="s">
        <v>104</v>
      </c>
      <c r="S125" s="123"/>
      <c r="T125" s="46"/>
      <c r="U125" s="46"/>
    </row>
    <row r="126" spans="1:21" x14ac:dyDescent="0.25">
      <c r="A126" s="329"/>
      <c r="B126" s="330"/>
      <c r="C126" s="63" t="s">
        <v>165</v>
      </c>
      <c r="D126" s="64" t="s">
        <v>101</v>
      </c>
      <c r="E126" s="60">
        <v>0</v>
      </c>
      <c r="F126" s="60"/>
      <c r="G126" s="59">
        <f t="shared" ref="G126:G127" si="83">((E126*8)+(F126*4))/12</f>
        <v>0</v>
      </c>
      <c r="H126" s="60">
        <v>0</v>
      </c>
      <c r="I126" s="60">
        <v>0</v>
      </c>
      <c r="J126" s="75">
        <f>K126</f>
        <v>92468.25</v>
      </c>
      <c r="K126" s="75">
        <v>92468.25</v>
      </c>
      <c r="L126" s="59" t="s">
        <v>104</v>
      </c>
      <c r="M126" s="123" t="s">
        <v>104</v>
      </c>
      <c r="N126" s="203">
        <f>O126</f>
        <v>0</v>
      </c>
      <c r="O126" s="203">
        <f>G126*K126</f>
        <v>0</v>
      </c>
      <c r="P126" s="123" t="s">
        <v>104</v>
      </c>
      <c r="Q126" s="123"/>
      <c r="R126" s="123" t="s">
        <v>104</v>
      </c>
      <c r="S126" s="123"/>
      <c r="T126" s="46">
        <f>H126*K126</f>
        <v>0</v>
      </c>
      <c r="U126" s="46">
        <f>I126*K126</f>
        <v>0</v>
      </c>
    </row>
    <row r="127" spans="1:21" ht="120" x14ac:dyDescent="0.25">
      <c r="A127" s="329"/>
      <c r="B127" s="330"/>
      <c r="C127" s="61" t="s">
        <v>105</v>
      </c>
      <c r="D127" s="64" t="s">
        <v>101</v>
      </c>
      <c r="E127" s="60"/>
      <c r="F127" s="60">
        <v>0</v>
      </c>
      <c r="G127" s="157">
        <f t="shared" si="83"/>
        <v>0</v>
      </c>
      <c r="H127" s="60">
        <v>0</v>
      </c>
      <c r="I127" s="60">
        <v>0</v>
      </c>
      <c r="J127" s="75">
        <f>SUM(K127:M127)</f>
        <v>200808.84447506003</v>
      </c>
      <c r="K127" s="75">
        <f>181402.35+1965.79</f>
        <v>183368.14</v>
      </c>
      <c r="L127" s="72">
        <f>4001.99*2.411294</f>
        <v>9649.9744750599984</v>
      </c>
      <c r="M127" s="202">
        <v>7790.73</v>
      </c>
      <c r="N127" s="201"/>
      <c r="O127" s="201">
        <f>K127*G127</f>
        <v>0</v>
      </c>
      <c r="P127" s="201">
        <f>L127*G127</f>
        <v>0</v>
      </c>
      <c r="Q127" s="201"/>
      <c r="R127" s="201"/>
      <c r="S127" s="201"/>
      <c r="T127" s="46">
        <f t="shared" si="9"/>
        <v>0</v>
      </c>
      <c r="U127" s="46">
        <f t="shared" si="6"/>
        <v>0</v>
      </c>
    </row>
    <row r="128" spans="1:21" x14ac:dyDescent="0.25">
      <c r="A128" s="329"/>
      <c r="B128" s="192"/>
      <c r="C128" s="66" t="s">
        <v>106</v>
      </c>
      <c r="D128" s="64"/>
      <c r="E128" s="60">
        <f>E124+E127</f>
        <v>33</v>
      </c>
      <c r="F128" s="60">
        <f t="shared" ref="F128:I128" si="84">F124+F127</f>
        <v>33</v>
      </c>
      <c r="G128" s="60">
        <f t="shared" si="84"/>
        <v>33</v>
      </c>
      <c r="H128" s="60">
        <f t="shared" si="84"/>
        <v>33</v>
      </c>
      <c r="I128" s="60">
        <f t="shared" si="84"/>
        <v>33</v>
      </c>
      <c r="J128" s="73" t="s">
        <v>104</v>
      </c>
      <c r="K128" s="73" t="s">
        <v>104</v>
      </c>
      <c r="L128" s="73" t="s">
        <v>104</v>
      </c>
      <c r="M128" s="201" t="s">
        <v>104</v>
      </c>
      <c r="N128" s="207">
        <f>SUM(N124:N127)</f>
        <v>1996883.51767698</v>
      </c>
      <c r="O128" s="207">
        <f>SUM(O124:O127)</f>
        <v>1421340.03</v>
      </c>
      <c r="P128" s="207">
        <f>SUM(P124:P127)</f>
        <v>318449.39767697995</v>
      </c>
      <c r="Q128" s="207"/>
      <c r="R128" s="207">
        <f t="shared" ref="R128:U128" si="85">SUM(R124:R127)</f>
        <v>257094.09</v>
      </c>
      <c r="S128" s="207"/>
      <c r="T128" s="207">
        <f t="shared" si="85"/>
        <v>1996883.51767698</v>
      </c>
      <c r="U128" s="207">
        <f t="shared" si="85"/>
        <v>1996883.51767698</v>
      </c>
    </row>
    <row r="129" spans="1:24" ht="102" customHeight="1" x14ac:dyDescent="0.25">
      <c r="A129" s="329"/>
      <c r="B129" s="137" t="s">
        <v>241</v>
      </c>
      <c r="C129" s="61" t="s">
        <v>187</v>
      </c>
      <c r="D129" s="64" t="s">
        <v>101</v>
      </c>
      <c r="E129" s="60">
        <v>450</v>
      </c>
      <c r="F129" s="60">
        <v>450</v>
      </c>
      <c r="G129" s="60">
        <v>450</v>
      </c>
      <c r="H129" s="60">
        <v>450</v>
      </c>
      <c r="I129" s="60">
        <v>450</v>
      </c>
      <c r="J129" s="75">
        <f>K129</f>
        <v>3268.55</v>
      </c>
      <c r="K129" s="75">
        <v>3268.55</v>
      </c>
      <c r="L129" s="73" t="s">
        <v>104</v>
      </c>
      <c r="M129" s="201" t="s">
        <v>104</v>
      </c>
      <c r="N129" s="201">
        <f>SUM(O129:R129)</f>
        <v>1470847</v>
      </c>
      <c r="O129" s="201">
        <f>G129*K129-0.5</f>
        <v>1470847</v>
      </c>
      <c r="P129" s="201" t="s">
        <v>104</v>
      </c>
      <c r="Q129" s="201"/>
      <c r="R129" s="201" t="s">
        <v>104</v>
      </c>
      <c r="S129" s="201"/>
      <c r="T129" s="46">
        <f>N129</f>
        <v>1470847</v>
      </c>
      <c r="U129" s="46">
        <f t="shared" ref="U129:U135" si="86">T129</f>
        <v>1470847</v>
      </c>
    </row>
    <row r="130" spans="1:24" x14ac:dyDescent="0.25">
      <c r="A130" s="329"/>
      <c r="B130" s="69"/>
      <c r="C130" s="66" t="s">
        <v>106</v>
      </c>
      <c r="D130" s="69"/>
      <c r="E130" s="60">
        <f>SUM(E129:E129)</f>
        <v>450</v>
      </c>
      <c r="F130" s="60">
        <f>SUM(F129:F129)</f>
        <v>450</v>
      </c>
      <c r="G130" s="60">
        <f>SUM(G129:G129)</f>
        <v>450</v>
      </c>
      <c r="H130" s="60">
        <f>SUM(H129:H129)</f>
        <v>450</v>
      </c>
      <c r="I130" s="60">
        <f>SUM(I129:I129)</f>
        <v>450</v>
      </c>
      <c r="J130" s="73" t="s">
        <v>104</v>
      </c>
      <c r="K130" s="73" t="s">
        <v>104</v>
      </c>
      <c r="L130" s="73" t="s">
        <v>104</v>
      </c>
      <c r="M130" s="207">
        <f t="shared" ref="M130:R130" si="87">SUM(M129:M129)</f>
        <v>0</v>
      </c>
      <c r="N130" s="207">
        <f>SUM(N129:N129)</f>
        <v>1470847</v>
      </c>
      <c r="O130" s="207">
        <f t="shared" si="87"/>
        <v>1470847</v>
      </c>
      <c r="P130" s="207">
        <f t="shared" si="87"/>
        <v>0</v>
      </c>
      <c r="Q130" s="207"/>
      <c r="R130" s="207">
        <f t="shared" si="87"/>
        <v>0</v>
      </c>
      <c r="S130" s="207"/>
      <c r="T130" s="46">
        <f>N130</f>
        <v>1470847</v>
      </c>
      <c r="U130" s="46">
        <f t="shared" si="86"/>
        <v>1470847</v>
      </c>
      <c r="V130" s="85">
        <f>T114+T123+T128+T130+T131+T132</f>
        <v>30589544.591453977</v>
      </c>
    </row>
    <row r="131" spans="1:24" x14ac:dyDescent="0.25">
      <c r="A131" s="329"/>
      <c r="B131" s="69" t="s">
        <v>312</v>
      </c>
      <c r="C131" s="184" t="s">
        <v>226</v>
      </c>
      <c r="D131" s="69"/>
      <c r="E131" s="60"/>
      <c r="F131" s="60"/>
      <c r="G131" s="60"/>
      <c r="H131" s="60"/>
      <c r="I131" s="60"/>
      <c r="J131" s="73"/>
      <c r="K131" s="73"/>
      <c r="L131" s="73"/>
      <c r="M131" s="207"/>
      <c r="N131" s="207">
        <f>P131</f>
        <v>88052</v>
      </c>
      <c r="O131" s="207"/>
      <c r="P131" s="207">
        <v>88052</v>
      </c>
      <c r="Q131" s="207"/>
      <c r="R131" s="207"/>
      <c r="S131" s="207"/>
      <c r="T131" s="46">
        <f>P131</f>
        <v>88052</v>
      </c>
      <c r="U131" s="46">
        <f t="shared" si="86"/>
        <v>88052</v>
      </c>
      <c r="V131" s="85">
        <f>N114+N123+N128+N130+N131</f>
        <v>28563211.591453977</v>
      </c>
    </row>
    <row r="132" spans="1:24" x14ac:dyDescent="0.25">
      <c r="A132" s="329"/>
      <c r="B132" s="89" t="s">
        <v>225</v>
      </c>
      <c r="C132" s="184" t="s">
        <v>219</v>
      </c>
      <c r="D132" s="64" t="s">
        <v>101</v>
      </c>
      <c r="E132" s="60"/>
      <c r="F132" s="60"/>
      <c r="G132" s="60">
        <v>14</v>
      </c>
      <c r="H132" s="60">
        <v>14</v>
      </c>
      <c r="I132" s="60">
        <v>14</v>
      </c>
      <c r="J132" s="73"/>
      <c r="K132" s="73"/>
      <c r="L132" s="73"/>
      <c r="M132" s="207"/>
      <c r="N132" s="207">
        <f>S132</f>
        <v>2026333</v>
      </c>
      <c r="O132" s="207"/>
      <c r="P132" s="207"/>
      <c r="Q132" s="207"/>
      <c r="R132" s="207"/>
      <c r="S132" s="207">
        <v>2026333</v>
      </c>
      <c r="T132" s="46">
        <f>S132</f>
        <v>2026333</v>
      </c>
      <c r="U132" s="46">
        <f t="shared" si="86"/>
        <v>2026333</v>
      </c>
    </row>
    <row r="133" spans="1:24" x14ac:dyDescent="0.25">
      <c r="A133" s="329"/>
      <c r="B133" s="89" t="s">
        <v>225</v>
      </c>
      <c r="C133" s="184" t="s">
        <v>226</v>
      </c>
      <c r="D133" s="64" t="s">
        <v>101</v>
      </c>
      <c r="E133" s="60"/>
      <c r="F133" s="60"/>
      <c r="G133" s="60"/>
      <c r="H133" s="60"/>
      <c r="I133" s="60"/>
      <c r="J133" s="73"/>
      <c r="K133" s="73"/>
      <c r="L133" s="73"/>
      <c r="M133" s="207"/>
      <c r="N133" s="207">
        <f t="shared" ref="N133:N134" si="88">S133</f>
        <v>0</v>
      </c>
      <c r="O133" s="207"/>
      <c r="P133" s="207"/>
      <c r="Q133" s="207"/>
      <c r="R133" s="207"/>
      <c r="S133" s="207"/>
      <c r="T133" s="46">
        <f>Q133</f>
        <v>0</v>
      </c>
      <c r="U133" s="46">
        <f t="shared" si="86"/>
        <v>0</v>
      </c>
    </row>
    <row r="134" spans="1:24" x14ac:dyDescent="0.25">
      <c r="A134" s="329"/>
      <c r="B134" s="89" t="s">
        <v>311</v>
      </c>
      <c r="C134" s="184" t="s">
        <v>219</v>
      </c>
      <c r="D134" s="64" t="s">
        <v>101</v>
      </c>
      <c r="E134" s="60"/>
      <c r="F134" s="60"/>
      <c r="G134" s="60">
        <v>14</v>
      </c>
      <c r="H134" s="60">
        <v>14</v>
      </c>
      <c r="I134" s="60">
        <v>14</v>
      </c>
      <c r="J134" s="73"/>
      <c r="K134" s="73"/>
      <c r="L134" s="73"/>
      <c r="M134" s="207"/>
      <c r="N134" s="207">
        <f t="shared" si="88"/>
        <v>200669</v>
      </c>
      <c r="O134" s="207"/>
      <c r="P134" s="207"/>
      <c r="Q134" s="207"/>
      <c r="R134" s="207"/>
      <c r="S134" s="212">
        <v>200669</v>
      </c>
      <c r="T134" s="46"/>
      <c r="U134" s="46"/>
    </row>
    <row r="135" spans="1:24" x14ac:dyDescent="0.25">
      <c r="A135" s="329"/>
      <c r="B135" s="89" t="s">
        <v>279</v>
      </c>
      <c r="C135" s="184" t="s">
        <v>226</v>
      </c>
      <c r="D135" s="64"/>
      <c r="E135" s="60"/>
      <c r="F135" s="60"/>
      <c r="G135" s="60"/>
      <c r="H135" s="60"/>
      <c r="I135" s="60"/>
      <c r="J135" s="73"/>
      <c r="K135" s="73"/>
      <c r="L135" s="73"/>
      <c r="M135" s="207"/>
      <c r="N135" s="207">
        <f>O135</f>
        <v>351966</v>
      </c>
      <c r="O135" s="207">
        <v>351966</v>
      </c>
      <c r="P135" s="207"/>
      <c r="Q135" s="207"/>
      <c r="R135" s="207"/>
      <c r="S135" s="207"/>
      <c r="T135" s="46">
        <f>O135</f>
        <v>351966</v>
      </c>
      <c r="U135" s="46">
        <f t="shared" si="86"/>
        <v>351966</v>
      </c>
    </row>
    <row r="136" spans="1:24" x14ac:dyDescent="0.25">
      <c r="A136" s="329"/>
      <c r="B136" s="101" t="s">
        <v>112</v>
      </c>
      <c r="C136" s="101"/>
      <c r="D136" s="69"/>
      <c r="E136" s="102">
        <f t="shared" ref="E136:F136" si="89">E114+E123+E128</f>
        <v>483</v>
      </c>
      <c r="F136" s="102">
        <f t="shared" si="89"/>
        <v>483</v>
      </c>
      <c r="G136" s="102">
        <f>G114+G123+G128</f>
        <v>483</v>
      </c>
      <c r="H136" s="102">
        <f t="shared" ref="H136:I136" si="90">H114+H123+H128</f>
        <v>483</v>
      </c>
      <c r="I136" s="102">
        <f t="shared" si="90"/>
        <v>483</v>
      </c>
      <c r="J136" s="104"/>
      <c r="K136" s="104"/>
      <c r="L136" s="103"/>
      <c r="M136" s="138"/>
      <c r="N136" s="138">
        <f>SUM(O136:S136)</f>
        <v>31142179.591453984</v>
      </c>
      <c r="O136" s="278">
        <f>O114+O123+O128+O130+O135</f>
        <v>20403265.000000004</v>
      </c>
      <c r="P136" s="138">
        <f>P114+P123+P128+P130+P131+P132+P133</f>
        <v>4748990.0014539799</v>
      </c>
      <c r="Q136" s="138">
        <f t="shared" ref="Q136" si="91">Q114+Q123+Q128+Q130+Q131+Q132+Q133</f>
        <v>0</v>
      </c>
      <c r="R136" s="138">
        <f>R114+R123+R128+R130+R131+R132+R133+R134</f>
        <v>3762922.59</v>
      </c>
      <c r="S136" s="138">
        <f>S114+S123+S128+S130+S131+S132+S133+S134</f>
        <v>2227002</v>
      </c>
      <c r="T136" s="138">
        <f>T114+T123+T128+T130+T131+T132+T133+T134+T135</f>
        <v>30941510.591453977</v>
      </c>
      <c r="U136" s="138">
        <f>U114+U123+U128+U130+U131+U132+U133+U134+U135</f>
        <v>30941510.591453977</v>
      </c>
      <c r="V136" s="80">
        <v>3763225.23</v>
      </c>
      <c r="W136" s="85">
        <f>V136-R136</f>
        <v>302.64000000013039</v>
      </c>
      <c r="X136" s="80">
        <f>W136/I136</f>
        <v>0.62658385093194702</v>
      </c>
    </row>
    <row r="137" spans="1:24" ht="90" x14ac:dyDescent="0.25">
      <c r="A137" s="329" t="s">
        <v>116</v>
      </c>
      <c r="B137" s="331" t="s">
        <v>238</v>
      </c>
      <c r="C137" s="61" t="s">
        <v>100</v>
      </c>
      <c r="D137" s="62" t="s">
        <v>101</v>
      </c>
      <c r="E137" s="59">
        <v>316</v>
      </c>
      <c r="F137" s="59">
        <v>316</v>
      </c>
      <c r="G137" s="59">
        <v>316</v>
      </c>
      <c r="H137" s="59">
        <v>316</v>
      </c>
      <c r="I137" s="59">
        <v>316</v>
      </c>
      <c r="J137" s="107">
        <f>SUM(K137:M137)</f>
        <v>38349.724475059993</v>
      </c>
      <c r="K137" s="107">
        <f>19579.7+1329.32</f>
        <v>20909.02</v>
      </c>
      <c r="L137" s="70">
        <f>4001.99*2.411294</f>
        <v>9649.9744750599984</v>
      </c>
      <c r="M137" s="202">
        <v>7790.73</v>
      </c>
      <c r="N137" s="203">
        <f>SUM(O137:R137)</f>
        <v>12118519.61411896</v>
      </c>
      <c r="O137" s="203">
        <f>G137*K137+6.62</f>
        <v>6607256.9400000004</v>
      </c>
      <c r="P137" s="203">
        <f>G137*L137+0.06</f>
        <v>3049391.9941189596</v>
      </c>
      <c r="Q137" s="203"/>
      <c r="R137" s="46">
        <f>G137*M137</f>
        <v>2461870.6799999997</v>
      </c>
      <c r="S137" s="46"/>
      <c r="T137" s="46">
        <f>N137</f>
        <v>12118519.61411896</v>
      </c>
      <c r="U137" s="46">
        <f>T137</f>
        <v>12118519.61411896</v>
      </c>
    </row>
    <row r="138" spans="1:24" ht="90" x14ac:dyDescent="0.25">
      <c r="A138" s="329"/>
      <c r="B138" s="332"/>
      <c r="C138" s="63" t="s">
        <v>163</v>
      </c>
      <c r="D138" s="64" t="s">
        <v>101</v>
      </c>
      <c r="E138" s="59" t="s">
        <v>104</v>
      </c>
      <c r="F138" s="59" t="s">
        <v>104</v>
      </c>
      <c r="G138" s="59" t="s">
        <v>104</v>
      </c>
      <c r="H138" s="59" t="s">
        <v>104</v>
      </c>
      <c r="I138" s="59" t="s">
        <v>104</v>
      </c>
      <c r="J138" s="59" t="s">
        <v>104</v>
      </c>
      <c r="K138" s="59" t="s">
        <v>104</v>
      </c>
      <c r="L138" s="59" t="s">
        <v>104</v>
      </c>
      <c r="M138" s="123" t="s">
        <v>104</v>
      </c>
      <c r="N138" s="203"/>
      <c r="O138" s="203"/>
      <c r="P138" s="123" t="s">
        <v>104</v>
      </c>
      <c r="Q138" s="123"/>
      <c r="R138" s="123" t="s">
        <v>104</v>
      </c>
      <c r="S138" s="123"/>
      <c r="T138" s="46"/>
      <c r="U138" s="46"/>
    </row>
    <row r="139" spans="1:24" x14ac:dyDescent="0.25">
      <c r="A139" s="329"/>
      <c r="B139" s="332"/>
      <c r="C139" s="63" t="s">
        <v>171</v>
      </c>
      <c r="D139" s="64" t="s">
        <v>101</v>
      </c>
      <c r="E139" s="59">
        <v>1</v>
      </c>
      <c r="F139" s="59">
        <v>1</v>
      </c>
      <c r="G139" s="59">
        <v>1</v>
      </c>
      <c r="H139" s="59">
        <v>1</v>
      </c>
      <c r="I139" s="59">
        <v>1</v>
      </c>
      <c r="J139" s="75">
        <f t="shared" ref="J139:J144" si="92">K139</f>
        <v>69362.66</v>
      </c>
      <c r="K139" s="71">
        <v>69362.66</v>
      </c>
      <c r="L139" s="59"/>
      <c r="M139" s="123"/>
      <c r="N139" s="203">
        <f t="shared" ref="N139:N140" si="93">O139</f>
        <v>69362.66</v>
      </c>
      <c r="O139" s="203">
        <f>G139*K139</f>
        <v>69362.66</v>
      </c>
      <c r="P139" s="123" t="s">
        <v>104</v>
      </c>
      <c r="Q139" s="123"/>
      <c r="R139" s="123"/>
      <c r="S139" s="123"/>
      <c r="T139" s="46">
        <f t="shared" ref="T139:T144" si="94">H139*K139</f>
        <v>69362.66</v>
      </c>
      <c r="U139" s="46">
        <f t="shared" ref="U139:U140" si="95">I139*K139</f>
        <v>69362.66</v>
      </c>
    </row>
    <row r="140" spans="1:24" x14ac:dyDescent="0.25">
      <c r="A140" s="329"/>
      <c r="B140" s="332"/>
      <c r="C140" s="63" t="s">
        <v>169</v>
      </c>
      <c r="D140" s="64" t="s">
        <v>101</v>
      </c>
      <c r="E140" s="59">
        <v>3</v>
      </c>
      <c r="F140" s="59">
        <v>3</v>
      </c>
      <c r="G140" s="59">
        <v>3</v>
      </c>
      <c r="H140" s="59">
        <v>3</v>
      </c>
      <c r="I140" s="59">
        <v>3</v>
      </c>
      <c r="J140" s="75">
        <f t="shared" si="92"/>
        <v>69362.66</v>
      </c>
      <c r="K140" s="71">
        <v>69362.66</v>
      </c>
      <c r="L140" s="59" t="s">
        <v>104</v>
      </c>
      <c r="M140" s="123" t="s">
        <v>104</v>
      </c>
      <c r="N140" s="203">
        <f t="shared" si="93"/>
        <v>208087.98</v>
      </c>
      <c r="O140" s="203">
        <f t="shared" ref="O140:O144" si="96">G140*K140</f>
        <v>208087.98</v>
      </c>
      <c r="P140" s="123" t="s">
        <v>104</v>
      </c>
      <c r="Q140" s="123"/>
      <c r="R140" s="123" t="s">
        <v>104</v>
      </c>
      <c r="S140" s="123"/>
      <c r="T140" s="46">
        <f t="shared" si="94"/>
        <v>208087.98</v>
      </c>
      <c r="U140" s="46">
        <f t="shared" si="95"/>
        <v>208087.98</v>
      </c>
    </row>
    <row r="141" spans="1:24" x14ac:dyDescent="0.25">
      <c r="A141" s="329"/>
      <c r="B141" s="332"/>
      <c r="C141" s="63" t="s">
        <v>166</v>
      </c>
      <c r="D141" s="64" t="s">
        <v>101</v>
      </c>
      <c r="E141" s="59">
        <v>2</v>
      </c>
      <c r="F141" s="59">
        <v>2</v>
      </c>
      <c r="G141" s="59">
        <v>2</v>
      </c>
      <c r="H141" s="59">
        <v>2</v>
      </c>
      <c r="I141" s="59">
        <v>2</v>
      </c>
      <c r="J141" s="75">
        <f t="shared" si="92"/>
        <v>66361.320000000007</v>
      </c>
      <c r="K141" s="75">
        <v>66361.320000000007</v>
      </c>
      <c r="L141" s="59" t="s">
        <v>104</v>
      </c>
      <c r="M141" s="123" t="s">
        <v>104</v>
      </c>
      <c r="N141" s="203">
        <f>O141</f>
        <v>132722.64000000001</v>
      </c>
      <c r="O141" s="203">
        <f t="shared" si="96"/>
        <v>132722.64000000001</v>
      </c>
      <c r="P141" s="123" t="s">
        <v>104</v>
      </c>
      <c r="Q141" s="123"/>
      <c r="R141" s="123" t="s">
        <v>104</v>
      </c>
      <c r="S141" s="123"/>
      <c r="T141" s="46">
        <f t="shared" si="94"/>
        <v>132722.64000000001</v>
      </c>
      <c r="U141" s="46">
        <f>I141*K141</f>
        <v>132722.64000000001</v>
      </c>
    </row>
    <row r="142" spans="1:24" x14ac:dyDescent="0.25">
      <c r="A142" s="329"/>
      <c r="B142" s="332"/>
      <c r="C142" s="63" t="s">
        <v>190</v>
      </c>
      <c r="D142" s="64" t="s">
        <v>101</v>
      </c>
      <c r="E142" s="59">
        <v>1</v>
      </c>
      <c r="F142" s="59">
        <v>1</v>
      </c>
      <c r="G142" s="59">
        <v>1</v>
      </c>
      <c r="H142" s="59">
        <v>1</v>
      </c>
      <c r="I142" s="59">
        <v>1</v>
      </c>
      <c r="J142" s="75">
        <f t="shared" si="92"/>
        <v>178794.98</v>
      </c>
      <c r="K142" s="75">
        <v>178794.98</v>
      </c>
      <c r="L142" s="59" t="s">
        <v>104</v>
      </c>
      <c r="M142" s="123" t="s">
        <v>104</v>
      </c>
      <c r="N142" s="203">
        <f>O142</f>
        <v>178794.98</v>
      </c>
      <c r="O142" s="203">
        <f t="shared" si="96"/>
        <v>178794.98</v>
      </c>
      <c r="P142" s="123" t="s">
        <v>104</v>
      </c>
      <c r="Q142" s="123"/>
      <c r="R142" s="123" t="s">
        <v>104</v>
      </c>
      <c r="S142" s="123"/>
      <c r="T142" s="46">
        <f t="shared" si="94"/>
        <v>178794.98</v>
      </c>
      <c r="U142" s="46">
        <f>I142*K142</f>
        <v>178794.98</v>
      </c>
    </row>
    <row r="143" spans="1:24" x14ac:dyDescent="0.25">
      <c r="A143" s="329"/>
      <c r="B143" s="332"/>
      <c r="C143" s="63" t="s">
        <v>170</v>
      </c>
      <c r="D143" s="64" t="s">
        <v>101</v>
      </c>
      <c r="E143" s="59"/>
      <c r="F143" s="59"/>
      <c r="G143" s="59"/>
      <c r="H143" s="59"/>
      <c r="I143" s="59"/>
      <c r="J143" s="75">
        <f t="shared" si="92"/>
        <v>99648.29</v>
      </c>
      <c r="K143" s="75">
        <v>99648.29</v>
      </c>
      <c r="L143" s="59" t="s">
        <v>104</v>
      </c>
      <c r="M143" s="123" t="s">
        <v>104</v>
      </c>
      <c r="N143" s="203">
        <f>O143</f>
        <v>0</v>
      </c>
      <c r="O143" s="203">
        <f t="shared" si="96"/>
        <v>0</v>
      </c>
      <c r="P143" s="123" t="s">
        <v>104</v>
      </c>
      <c r="Q143" s="123"/>
      <c r="R143" s="123" t="s">
        <v>104</v>
      </c>
      <c r="S143" s="123"/>
      <c r="T143" s="46">
        <f t="shared" si="94"/>
        <v>0</v>
      </c>
      <c r="U143" s="46">
        <f>I143*K143</f>
        <v>0</v>
      </c>
    </row>
    <row r="144" spans="1:24" x14ac:dyDescent="0.25">
      <c r="A144" s="329"/>
      <c r="B144" s="332"/>
      <c r="C144" s="63" t="s">
        <v>168</v>
      </c>
      <c r="D144" s="64" t="s">
        <v>101</v>
      </c>
      <c r="E144" s="59"/>
      <c r="F144" s="59"/>
      <c r="G144" s="59"/>
      <c r="H144" s="59"/>
      <c r="I144" s="59"/>
      <c r="J144" s="75">
        <f t="shared" si="92"/>
        <v>23553.439999999999</v>
      </c>
      <c r="K144" s="75">
        <v>23553.439999999999</v>
      </c>
      <c r="L144" s="59" t="s">
        <v>104</v>
      </c>
      <c r="M144" s="123" t="s">
        <v>104</v>
      </c>
      <c r="N144" s="203">
        <f>O144</f>
        <v>0</v>
      </c>
      <c r="O144" s="203">
        <f t="shared" si="96"/>
        <v>0</v>
      </c>
      <c r="P144" s="123" t="s">
        <v>104</v>
      </c>
      <c r="Q144" s="123"/>
      <c r="R144" s="123" t="s">
        <v>104</v>
      </c>
      <c r="S144" s="123"/>
      <c r="T144" s="46">
        <f t="shared" si="94"/>
        <v>0</v>
      </c>
      <c r="U144" s="46">
        <f>I144*K144</f>
        <v>0</v>
      </c>
    </row>
    <row r="145" spans="1:21" ht="120" x14ac:dyDescent="0.25">
      <c r="A145" s="329"/>
      <c r="B145" s="332"/>
      <c r="C145" s="61" t="s">
        <v>105</v>
      </c>
      <c r="D145" s="64" t="s">
        <v>101</v>
      </c>
      <c r="E145" s="59">
        <v>2</v>
      </c>
      <c r="F145" s="59">
        <v>2</v>
      </c>
      <c r="G145" s="59">
        <v>2</v>
      </c>
      <c r="H145" s="59">
        <v>2</v>
      </c>
      <c r="I145" s="59">
        <v>2</v>
      </c>
      <c r="J145" s="75">
        <f>SUM(K145:M145)</f>
        <v>140182.94447506001</v>
      </c>
      <c r="K145" s="75">
        <f>121412.92+1329.32</f>
        <v>122742.24</v>
      </c>
      <c r="L145" s="72">
        <f>4001.99*2.411294</f>
        <v>9649.9744750599984</v>
      </c>
      <c r="M145" s="202">
        <v>7790.73</v>
      </c>
      <c r="N145" s="203">
        <f>SUM(O145:R145)</f>
        <v>280365.88895012002</v>
      </c>
      <c r="O145" s="203">
        <f>G145*K145</f>
        <v>245484.48</v>
      </c>
      <c r="P145" s="203">
        <f>G145*L145</f>
        <v>19299.948950119997</v>
      </c>
      <c r="Q145" s="203"/>
      <c r="R145" s="46">
        <f>G145*M145</f>
        <v>15581.46</v>
      </c>
      <c r="S145" s="46"/>
      <c r="T145" s="46">
        <f t="shared" ref="T145:T161" si="97">H145*J145</f>
        <v>280365.88895012002</v>
      </c>
      <c r="U145" s="46">
        <f t="shared" ref="U145:U161" si="98">I145*J145</f>
        <v>280365.88895012002</v>
      </c>
    </row>
    <row r="146" spans="1:21" ht="105" x14ac:dyDescent="0.25">
      <c r="A146" s="329"/>
      <c r="B146" s="332"/>
      <c r="C146" s="61" t="s">
        <v>117</v>
      </c>
      <c r="D146" s="64" t="s">
        <v>101</v>
      </c>
      <c r="E146" s="59">
        <v>0</v>
      </c>
      <c r="F146" s="59">
        <v>0</v>
      </c>
      <c r="G146" s="157">
        <f t="shared" ref="G146:G161" si="99">((E146*8)+(F146*4))/12</f>
        <v>0</v>
      </c>
      <c r="H146" s="59">
        <v>0</v>
      </c>
      <c r="I146" s="59">
        <v>0</v>
      </c>
      <c r="J146" s="75">
        <f>K146</f>
        <v>21480.1</v>
      </c>
      <c r="K146" s="75">
        <v>21480.1</v>
      </c>
      <c r="L146" s="72" t="s">
        <v>104</v>
      </c>
      <c r="M146" s="206" t="s">
        <v>104</v>
      </c>
      <c r="N146" s="203">
        <f>SUM(O146:R146)</f>
        <v>0</v>
      </c>
      <c r="O146" s="203">
        <f>G146*K146</f>
        <v>0</v>
      </c>
      <c r="P146" s="203"/>
      <c r="Q146" s="203"/>
      <c r="R146" s="203"/>
      <c r="S146" s="203"/>
      <c r="T146" s="46">
        <f t="shared" si="97"/>
        <v>0</v>
      </c>
      <c r="U146" s="46">
        <f t="shared" si="98"/>
        <v>0</v>
      </c>
    </row>
    <row r="147" spans="1:21" x14ac:dyDescent="0.25">
      <c r="A147" s="329"/>
      <c r="B147" s="333"/>
      <c r="C147" s="66" t="s">
        <v>106</v>
      </c>
      <c r="D147" s="67"/>
      <c r="E147" s="59">
        <f>E137+E145</f>
        <v>318</v>
      </c>
      <c r="F147" s="59">
        <f>F137+F145</f>
        <v>318</v>
      </c>
      <c r="G147" s="59">
        <f>G137+G145</f>
        <v>318</v>
      </c>
      <c r="H147" s="59">
        <f>H137+H145</f>
        <v>318</v>
      </c>
      <c r="I147" s="59">
        <f>I137+I145</f>
        <v>318</v>
      </c>
      <c r="J147" s="71" t="s">
        <v>104</v>
      </c>
      <c r="K147" s="71" t="s">
        <v>104</v>
      </c>
      <c r="L147" s="71" t="s">
        <v>104</v>
      </c>
      <c r="M147" s="203" t="s">
        <v>104</v>
      </c>
      <c r="N147" s="203">
        <f>SUM(N137:N146)</f>
        <v>12987853.763069082</v>
      </c>
      <c r="O147" s="203">
        <f>SUM(O137:O146)</f>
        <v>7441709.6800000016</v>
      </c>
      <c r="P147" s="203">
        <f>SUM(P137:P146)</f>
        <v>3068691.9430690794</v>
      </c>
      <c r="Q147" s="203"/>
      <c r="R147" s="203">
        <f>SUM(R137:R146)</f>
        <v>2477452.1399999997</v>
      </c>
      <c r="S147" s="203"/>
      <c r="T147" s="203">
        <f>SUM(T137:T146)</f>
        <v>12987853.763069082</v>
      </c>
      <c r="U147" s="203">
        <f>SUM(U137:U146)</f>
        <v>12987853.763069082</v>
      </c>
    </row>
    <row r="148" spans="1:21" ht="90" x14ac:dyDescent="0.25">
      <c r="A148" s="329"/>
      <c r="B148" s="331" t="s">
        <v>239</v>
      </c>
      <c r="C148" s="61" t="s">
        <v>100</v>
      </c>
      <c r="D148" s="62" t="s">
        <v>101</v>
      </c>
      <c r="E148" s="59">
        <v>196</v>
      </c>
      <c r="F148" s="59">
        <v>196</v>
      </c>
      <c r="G148" s="59">
        <v>196</v>
      </c>
      <c r="H148" s="59">
        <v>196</v>
      </c>
      <c r="I148" s="59">
        <v>196</v>
      </c>
      <c r="J148" s="107">
        <f>SUM(K148:M148)</f>
        <v>53409.174475060005</v>
      </c>
      <c r="K148" s="107">
        <f>34346.05+1622.42</f>
        <v>35968.47</v>
      </c>
      <c r="L148" s="70">
        <f>4001.99*2.411294</f>
        <v>9649.9744750599984</v>
      </c>
      <c r="M148" s="202">
        <v>7790.73</v>
      </c>
      <c r="N148" s="203">
        <f>SUM(O148:R148)</f>
        <v>10468198.197111759</v>
      </c>
      <c r="O148" s="203">
        <f>G148*K148</f>
        <v>7049820.1200000001</v>
      </c>
      <c r="P148" s="203">
        <f>G148*L148</f>
        <v>1891394.9971117596</v>
      </c>
      <c r="Q148" s="203"/>
      <c r="R148" s="46">
        <f>G148*M148</f>
        <v>1526983.0799999998</v>
      </c>
      <c r="S148" s="46"/>
      <c r="T148" s="46">
        <f t="shared" si="97"/>
        <v>10468198.197111761</v>
      </c>
      <c r="U148" s="46">
        <f t="shared" si="98"/>
        <v>10468198.197111761</v>
      </c>
    </row>
    <row r="149" spans="1:21" ht="105" x14ac:dyDescent="0.25">
      <c r="A149" s="329"/>
      <c r="B149" s="332"/>
      <c r="C149" s="61" t="s">
        <v>118</v>
      </c>
      <c r="D149" s="62" t="s">
        <v>101</v>
      </c>
      <c r="E149" s="59">
        <v>206</v>
      </c>
      <c r="F149" s="59">
        <v>206</v>
      </c>
      <c r="G149" s="59">
        <v>206</v>
      </c>
      <c r="H149" s="59">
        <v>206</v>
      </c>
      <c r="I149" s="59">
        <v>206</v>
      </c>
      <c r="J149" s="107">
        <f>SUM(K149:M149)</f>
        <v>56845.984475060002</v>
      </c>
      <c r="K149" s="107">
        <f>37782.86+1622.42</f>
        <v>39405.279999999999</v>
      </c>
      <c r="L149" s="70">
        <f>4001.99*2.411294</f>
        <v>9649.9744750599984</v>
      </c>
      <c r="M149" s="202">
        <v>7790.73</v>
      </c>
      <c r="N149" s="203">
        <f>SUM(O149:R149)</f>
        <v>11710272.801862359</v>
      </c>
      <c r="O149" s="203">
        <f>G149*K149</f>
        <v>8117487.6799999997</v>
      </c>
      <c r="P149" s="203">
        <f>G149*L149</f>
        <v>1987894.7418623597</v>
      </c>
      <c r="Q149" s="203"/>
      <c r="R149" s="46">
        <f>G149*M149</f>
        <v>1604890.38</v>
      </c>
      <c r="S149" s="46"/>
      <c r="T149" s="46">
        <f t="shared" si="97"/>
        <v>11710272.801862361</v>
      </c>
      <c r="U149" s="46">
        <f t="shared" si="98"/>
        <v>11710272.801862361</v>
      </c>
    </row>
    <row r="150" spans="1:21" ht="90" x14ac:dyDescent="0.25">
      <c r="A150" s="329"/>
      <c r="B150" s="332"/>
      <c r="C150" s="63" t="s">
        <v>102</v>
      </c>
      <c r="D150" s="64" t="s">
        <v>101</v>
      </c>
      <c r="E150" s="59" t="s">
        <v>104</v>
      </c>
      <c r="F150" s="59" t="s">
        <v>104</v>
      </c>
      <c r="G150" s="59" t="s">
        <v>104</v>
      </c>
      <c r="H150" s="59" t="s">
        <v>104</v>
      </c>
      <c r="I150" s="59" t="s">
        <v>104</v>
      </c>
      <c r="J150" s="59" t="s">
        <v>104</v>
      </c>
      <c r="K150" s="59" t="s">
        <v>104</v>
      </c>
      <c r="L150" s="59" t="s">
        <v>104</v>
      </c>
      <c r="M150" s="123" t="s">
        <v>104</v>
      </c>
      <c r="N150" s="203"/>
      <c r="O150" s="203"/>
      <c r="P150" s="123" t="s">
        <v>104</v>
      </c>
      <c r="Q150" s="123"/>
      <c r="R150" s="123" t="s">
        <v>104</v>
      </c>
      <c r="S150" s="123"/>
      <c r="T150" s="46"/>
      <c r="U150" s="46"/>
    </row>
    <row r="151" spans="1:21" x14ac:dyDescent="0.25">
      <c r="A151" s="329"/>
      <c r="B151" s="332"/>
      <c r="C151" s="63" t="s">
        <v>171</v>
      </c>
      <c r="D151" s="64" t="s">
        <v>101</v>
      </c>
      <c r="E151" s="60">
        <v>1</v>
      </c>
      <c r="F151" s="60">
        <v>1</v>
      </c>
      <c r="G151" s="60">
        <v>1</v>
      </c>
      <c r="H151" s="60">
        <v>1</v>
      </c>
      <c r="I151" s="60">
        <v>1</v>
      </c>
      <c r="J151" s="75">
        <f>K151</f>
        <v>69362.66</v>
      </c>
      <c r="K151" s="75">
        <v>69362.66</v>
      </c>
      <c r="L151" s="59" t="s">
        <v>104</v>
      </c>
      <c r="M151" s="123" t="s">
        <v>104</v>
      </c>
      <c r="N151" s="203">
        <f>O151</f>
        <v>69362.66</v>
      </c>
      <c r="O151" s="203">
        <f>G151*K151</f>
        <v>69362.66</v>
      </c>
      <c r="P151" s="123" t="s">
        <v>104</v>
      </c>
      <c r="Q151" s="123"/>
      <c r="R151" s="123" t="s">
        <v>104</v>
      </c>
      <c r="S151" s="123"/>
      <c r="T151" s="46">
        <f>H151*K151</f>
        <v>69362.66</v>
      </c>
      <c r="U151" s="46">
        <f>I151*K151</f>
        <v>69362.66</v>
      </c>
    </row>
    <row r="152" spans="1:21" x14ac:dyDescent="0.25">
      <c r="A152" s="329"/>
      <c r="B152" s="332"/>
      <c r="C152" s="63" t="s">
        <v>164</v>
      </c>
      <c r="D152" s="64" t="s">
        <v>101</v>
      </c>
      <c r="E152" s="60"/>
      <c r="F152" s="60"/>
      <c r="G152" s="59"/>
      <c r="H152" s="60"/>
      <c r="I152" s="60"/>
      <c r="J152" s="75">
        <f>K152</f>
        <v>25589.72</v>
      </c>
      <c r="K152" s="75">
        <v>25589.72</v>
      </c>
      <c r="L152" s="59" t="s">
        <v>104</v>
      </c>
      <c r="M152" s="123" t="s">
        <v>104</v>
      </c>
      <c r="N152" s="203">
        <f>O152</f>
        <v>0</v>
      </c>
      <c r="O152" s="203">
        <f t="shared" ref="O152:O153" si="100">G152*K152</f>
        <v>0</v>
      </c>
      <c r="P152" s="123" t="s">
        <v>104</v>
      </c>
      <c r="Q152" s="123"/>
      <c r="R152" s="123" t="s">
        <v>104</v>
      </c>
      <c r="S152" s="123"/>
      <c r="T152" s="46">
        <f>H152*K152</f>
        <v>0</v>
      </c>
      <c r="U152" s="46">
        <f>I152*K152</f>
        <v>0</v>
      </c>
    </row>
    <row r="153" spans="1:21" x14ac:dyDescent="0.25">
      <c r="A153" s="329"/>
      <c r="B153" s="332"/>
      <c r="C153" s="63" t="s">
        <v>168</v>
      </c>
      <c r="D153" s="64" t="s">
        <v>101</v>
      </c>
      <c r="E153" s="60">
        <v>3</v>
      </c>
      <c r="F153" s="60">
        <v>3</v>
      </c>
      <c r="G153" s="60">
        <v>3</v>
      </c>
      <c r="H153" s="60">
        <v>3</v>
      </c>
      <c r="I153" s="60">
        <v>3</v>
      </c>
      <c r="J153" s="75">
        <f>K153</f>
        <v>23553.439999999999</v>
      </c>
      <c r="K153" s="75">
        <v>23553.439999999999</v>
      </c>
      <c r="L153" s="59" t="s">
        <v>104</v>
      </c>
      <c r="M153" s="123" t="s">
        <v>104</v>
      </c>
      <c r="N153" s="203">
        <f>O153</f>
        <v>70660.319999999992</v>
      </c>
      <c r="O153" s="203">
        <f t="shared" si="100"/>
        <v>70660.319999999992</v>
      </c>
      <c r="P153" s="123" t="s">
        <v>104</v>
      </c>
      <c r="Q153" s="123"/>
      <c r="R153" s="123" t="s">
        <v>104</v>
      </c>
      <c r="S153" s="123"/>
      <c r="T153" s="46">
        <f>H153*K153</f>
        <v>70660.319999999992</v>
      </c>
      <c r="U153" s="46">
        <f>I153*K153</f>
        <v>70660.319999999992</v>
      </c>
    </row>
    <row r="154" spans="1:21" ht="120" x14ac:dyDescent="0.25">
      <c r="A154" s="329"/>
      <c r="B154" s="332"/>
      <c r="C154" s="61" t="s">
        <v>105</v>
      </c>
      <c r="D154" s="64" t="s">
        <v>101</v>
      </c>
      <c r="E154" s="60">
        <v>1</v>
      </c>
      <c r="F154" s="60">
        <v>1</v>
      </c>
      <c r="G154" s="60">
        <v>1</v>
      </c>
      <c r="H154" s="60">
        <v>1</v>
      </c>
      <c r="I154" s="60">
        <v>1</v>
      </c>
      <c r="J154" s="75">
        <f>SUM(K154:M154)</f>
        <v>170470.75447506004</v>
      </c>
      <c r="K154" s="75">
        <f>151407.63+1622.42</f>
        <v>153030.05000000002</v>
      </c>
      <c r="L154" s="72">
        <f>4001.99*2.411294</f>
        <v>9649.9744750599984</v>
      </c>
      <c r="M154" s="202">
        <v>7790.73</v>
      </c>
      <c r="N154" s="201">
        <f>SUM(O154:R154)</f>
        <v>170470.75447506004</v>
      </c>
      <c r="O154" s="201">
        <f>G154*K154</f>
        <v>153030.05000000002</v>
      </c>
      <c r="P154" s="201">
        <f>G154*L154</f>
        <v>9649.9744750599984</v>
      </c>
      <c r="Q154" s="201"/>
      <c r="R154" s="201">
        <f>E154*M154</f>
        <v>7790.73</v>
      </c>
      <c r="S154" s="201"/>
      <c r="T154" s="46">
        <f t="shared" si="97"/>
        <v>170470.75447506004</v>
      </c>
      <c r="U154" s="46">
        <f t="shared" si="98"/>
        <v>170470.75447506004</v>
      </c>
    </row>
    <row r="155" spans="1:21" ht="105" x14ac:dyDescent="0.25">
      <c r="A155" s="329"/>
      <c r="B155" s="332"/>
      <c r="C155" s="61" t="s">
        <v>117</v>
      </c>
      <c r="D155" s="64" t="s">
        <v>101</v>
      </c>
      <c r="E155" s="60">
        <v>0</v>
      </c>
      <c r="F155" s="60">
        <v>0</v>
      </c>
      <c r="G155" s="59">
        <f t="shared" si="99"/>
        <v>0</v>
      </c>
      <c r="H155" s="60">
        <v>0</v>
      </c>
      <c r="I155" s="60">
        <v>0</v>
      </c>
      <c r="J155" s="75">
        <f>K155</f>
        <v>34010.129999999997</v>
      </c>
      <c r="K155" s="75">
        <v>34010.129999999997</v>
      </c>
      <c r="L155" s="72" t="s">
        <v>104</v>
      </c>
      <c r="M155" s="206" t="s">
        <v>104</v>
      </c>
      <c r="N155" s="201">
        <f>SUM(O155:R155)</f>
        <v>0</v>
      </c>
      <c r="O155" s="201">
        <f>G155*K155</f>
        <v>0</v>
      </c>
      <c r="P155" s="201"/>
      <c r="Q155" s="201"/>
      <c r="R155" s="201"/>
      <c r="S155" s="201"/>
      <c r="T155" s="46">
        <f t="shared" si="97"/>
        <v>0</v>
      </c>
      <c r="U155" s="46">
        <f t="shared" si="98"/>
        <v>0</v>
      </c>
    </row>
    <row r="156" spans="1:21" x14ac:dyDescent="0.25">
      <c r="A156" s="329"/>
      <c r="B156" s="333"/>
      <c r="C156" s="66" t="s">
        <v>106</v>
      </c>
      <c r="D156" s="64"/>
      <c r="E156" s="60">
        <f>E148++E149+E154</f>
        <v>403</v>
      </c>
      <c r="F156" s="60">
        <f>F148++F149+F154</f>
        <v>403</v>
      </c>
      <c r="G156" s="60">
        <f>G148++G149+G154</f>
        <v>403</v>
      </c>
      <c r="H156" s="60">
        <f>H148++H149+H154</f>
        <v>403</v>
      </c>
      <c r="I156" s="60">
        <f>I148++I149+I154</f>
        <v>403</v>
      </c>
      <c r="J156" s="73" t="s">
        <v>104</v>
      </c>
      <c r="K156" s="73" t="s">
        <v>104</v>
      </c>
      <c r="L156" s="74" t="s">
        <v>104</v>
      </c>
      <c r="M156" s="207" t="s">
        <v>104</v>
      </c>
      <c r="N156" s="207">
        <f>SUM(N148:N155)</f>
        <v>22488964.73344918</v>
      </c>
      <c r="O156" s="207">
        <f t="shared" ref="O156:U156" si="101">SUM(O148:O155)</f>
        <v>15460360.830000002</v>
      </c>
      <c r="P156" s="207">
        <f t="shared" si="101"/>
        <v>3888939.7134491797</v>
      </c>
      <c r="Q156" s="207"/>
      <c r="R156" s="207">
        <f t="shared" si="101"/>
        <v>3139664.19</v>
      </c>
      <c r="S156" s="207"/>
      <c r="T156" s="207">
        <f t="shared" si="101"/>
        <v>22488964.733449183</v>
      </c>
      <c r="U156" s="207">
        <f t="shared" si="101"/>
        <v>22488964.733449183</v>
      </c>
    </row>
    <row r="157" spans="1:21" ht="90" x14ac:dyDescent="0.25">
      <c r="A157" s="329"/>
      <c r="B157" s="331" t="s">
        <v>240</v>
      </c>
      <c r="C157" s="61" t="s">
        <v>100</v>
      </c>
      <c r="D157" s="62" t="s">
        <v>101</v>
      </c>
      <c r="E157" s="60">
        <v>51</v>
      </c>
      <c r="F157" s="60">
        <v>51</v>
      </c>
      <c r="G157" s="60">
        <v>51</v>
      </c>
      <c r="H157" s="60">
        <v>51</v>
      </c>
      <c r="I157" s="60">
        <v>51</v>
      </c>
      <c r="J157" s="107">
        <f>SUM(K157:M157)</f>
        <v>60511.614475060007</v>
      </c>
      <c r="K157" s="107">
        <f>41105.12+1965.79</f>
        <v>43070.91</v>
      </c>
      <c r="L157" s="70">
        <f>4001.99*2.411294</f>
        <v>9649.9744750599984</v>
      </c>
      <c r="M157" s="202">
        <v>7790.73</v>
      </c>
      <c r="N157" s="201">
        <f>SUM(O157:R157)</f>
        <v>3086092.3382280599</v>
      </c>
      <c r="O157" s="201">
        <f>G157*K157</f>
        <v>2196616.41</v>
      </c>
      <c r="P157" s="201">
        <f>G157*L157</f>
        <v>492148.69822805992</v>
      </c>
      <c r="Q157" s="201"/>
      <c r="R157" s="46">
        <f>G157*M157</f>
        <v>397327.23</v>
      </c>
      <c r="S157" s="46"/>
      <c r="T157" s="46">
        <f>H157*J157</f>
        <v>3086092.3382280604</v>
      </c>
      <c r="U157" s="46">
        <f t="shared" si="98"/>
        <v>3086092.3382280604</v>
      </c>
    </row>
    <row r="158" spans="1:21" ht="105" x14ac:dyDescent="0.25">
      <c r="A158" s="329"/>
      <c r="B158" s="332"/>
      <c r="C158" s="61" t="s">
        <v>172</v>
      </c>
      <c r="D158" s="62" t="s">
        <v>101</v>
      </c>
      <c r="E158" s="60">
        <v>53</v>
      </c>
      <c r="F158" s="60">
        <v>53</v>
      </c>
      <c r="G158" s="60">
        <v>53</v>
      </c>
      <c r="H158" s="60">
        <v>53</v>
      </c>
      <c r="I158" s="60">
        <v>53</v>
      </c>
      <c r="J158" s="107">
        <f>SUM(K158:M158)</f>
        <v>102807.06447505999</v>
      </c>
      <c r="K158" s="107">
        <f>83400.57+1965.79</f>
        <v>85366.36</v>
      </c>
      <c r="L158" s="70">
        <f>4001.99*2.411294</f>
        <v>9649.9744750599984</v>
      </c>
      <c r="M158" s="202">
        <v>7790.73</v>
      </c>
      <c r="N158" s="201">
        <f>SUM(O158:R158)</f>
        <v>5448773.8171781795</v>
      </c>
      <c r="O158" s="201">
        <f>G158*K158</f>
        <v>4524417.08</v>
      </c>
      <c r="P158" s="201">
        <f>G158*L158</f>
        <v>511448.64717817993</v>
      </c>
      <c r="Q158" s="201"/>
      <c r="R158" s="46">
        <f>G158*M158-0.6</f>
        <v>412908.09</v>
      </c>
      <c r="S158" s="46"/>
      <c r="T158" s="46">
        <f>N158</f>
        <v>5448773.8171781795</v>
      </c>
      <c r="U158" s="46">
        <f>T158</f>
        <v>5448773.8171781795</v>
      </c>
    </row>
    <row r="159" spans="1:21" ht="90" x14ac:dyDescent="0.25">
      <c r="A159" s="329"/>
      <c r="B159" s="332"/>
      <c r="C159" s="63" t="s">
        <v>102</v>
      </c>
      <c r="D159" s="64" t="s">
        <v>101</v>
      </c>
      <c r="E159" s="59" t="s">
        <v>104</v>
      </c>
      <c r="F159" s="59" t="s">
        <v>104</v>
      </c>
      <c r="G159" s="59" t="s">
        <v>104</v>
      </c>
      <c r="H159" s="59" t="s">
        <v>104</v>
      </c>
      <c r="I159" s="59" t="s">
        <v>104</v>
      </c>
      <c r="J159" s="59" t="s">
        <v>104</v>
      </c>
      <c r="K159" s="59" t="s">
        <v>104</v>
      </c>
      <c r="L159" s="59" t="s">
        <v>104</v>
      </c>
      <c r="M159" s="123" t="s">
        <v>104</v>
      </c>
      <c r="N159" s="203"/>
      <c r="O159" s="203"/>
      <c r="P159" s="123" t="s">
        <v>104</v>
      </c>
      <c r="Q159" s="123"/>
      <c r="R159" s="123" t="s">
        <v>104</v>
      </c>
      <c r="S159" s="123"/>
      <c r="T159" s="46"/>
      <c r="U159" s="46"/>
    </row>
    <row r="160" spans="1:21" x14ac:dyDescent="0.25">
      <c r="A160" s="329"/>
      <c r="B160" s="332"/>
      <c r="C160" s="63" t="s">
        <v>168</v>
      </c>
      <c r="D160" s="64" t="s">
        <v>101</v>
      </c>
      <c r="E160" s="60"/>
      <c r="F160" s="60"/>
      <c r="G160" s="59">
        <f t="shared" si="99"/>
        <v>0</v>
      </c>
      <c r="H160" s="60"/>
      <c r="I160" s="60"/>
      <c r="J160" s="75">
        <f>K160</f>
        <v>23553.439999999999</v>
      </c>
      <c r="K160" s="75">
        <v>23553.439999999999</v>
      </c>
      <c r="L160" s="59" t="s">
        <v>104</v>
      </c>
      <c r="M160" s="123" t="s">
        <v>104</v>
      </c>
      <c r="N160" s="203">
        <f>O160</f>
        <v>0</v>
      </c>
      <c r="O160" s="203">
        <f>G160*K160</f>
        <v>0</v>
      </c>
      <c r="P160" s="123" t="s">
        <v>104</v>
      </c>
      <c r="Q160" s="123"/>
      <c r="R160" s="123" t="s">
        <v>104</v>
      </c>
      <c r="S160" s="123"/>
      <c r="T160" s="46">
        <f>H160*K160</f>
        <v>0</v>
      </c>
      <c r="U160" s="46">
        <f>I160*K160</f>
        <v>0</v>
      </c>
    </row>
    <row r="161" spans="1:26" ht="120" x14ac:dyDescent="0.25">
      <c r="A161" s="329"/>
      <c r="B161" s="332"/>
      <c r="C161" s="61" t="s">
        <v>105</v>
      </c>
      <c r="D161" s="64" t="s">
        <v>101</v>
      </c>
      <c r="E161" s="60"/>
      <c r="F161" s="60"/>
      <c r="G161" s="59">
        <f t="shared" si="99"/>
        <v>0</v>
      </c>
      <c r="H161" s="60"/>
      <c r="I161" s="60"/>
      <c r="J161" s="75">
        <f>SUM(K161:M161)</f>
        <v>200808.84447506003</v>
      </c>
      <c r="K161" s="75">
        <f>181402.35+1965.79</f>
        <v>183368.14</v>
      </c>
      <c r="L161" s="72">
        <f>4001.99*2.411294</f>
        <v>9649.9744750599984</v>
      </c>
      <c r="M161" s="202">
        <v>7790.73</v>
      </c>
      <c r="N161" s="201"/>
      <c r="O161" s="201"/>
      <c r="P161" s="201"/>
      <c r="Q161" s="201"/>
      <c r="R161" s="201"/>
      <c r="S161" s="201"/>
      <c r="T161" s="46">
        <f t="shared" si="97"/>
        <v>0</v>
      </c>
      <c r="U161" s="46">
        <f t="shared" si="98"/>
        <v>0</v>
      </c>
    </row>
    <row r="162" spans="1:26" x14ac:dyDescent="0.25">
      <c r="A162" s="329"/>
      <c r="B162" s="333"/>
      <c r="C162" s="66" t="s">
        <v>106</v>
      </c>
      <c r="D162" s="64"/>
      <c r="E162" s="60">
        <f t="shared" ref="E162:F162" si="102">E157+E161+E158</f>
        <v>104</v>
      </c>
      <c r="F162" s="60">
        <f t="shared" si="102"/>
        <v>104</v>
      </c>
      <c r="G162" s="60">
        <f>G157+G161+G158</f>
        <v>104</v>
      </c>
      <c r="H162" s="60">
        <f t="shared" ref="H162:I162" si="103">H157+H161+H158</f>
        <v>104</v>
      </c>
      <c r="I162" s="60">
        <f t="shared" si="103"/>
        <v>104</v>
      </c>
      <c r="J162" s="73" t="s">
        <v>104</v>
      </c>
      <c r="K162" s="73" t="s">
        <v>104</v>
      </c>
      <c r="L162" s="74" t="s">
        <v>104</v>
      </c>
      <c r="M162" s="207" t="s">
        <v>104</v>
      </c>
      <c r="N162" s="207">
        <f>SUM(N157:N161)</f>
        <v>8534866.1554062404</v>
      </c>
      <c r="O162" s="207">
        <f t="shared" ref="O162:U162" si="104">SUM(O157:O161)</f>
        <v>6721033.4900000002</v>
      </c>
      <c r="P162" s="207">
        <f t="shared" si="104"/>
        <v>1003597.3454062399</v>
      </c>
      <c r="Q162" s="207"/>
      <c r="R162" s="207">
        <f t="shared" si="104"/>
        <v>810235.32000000007</v>
      </c>
      <c r="S162" s="207"/>
      <c r="T162" s="207">
        <f>SUM(T157:T161)</f>
        <v>8534866.1554062404</v>
      </c>
      <c r="U162" s="207">
        <f t="shared" si="104"/>
        <v>8534866.1554062404</v>
      </c>
      <c r="V162" s="85">
        <f>N165+N162+N156+N147+N167</f>
        <v>51578376.0019245</v>
      </c>
      <c r="W162" s="85">
        <f>V162-N171</f>
        <v>-661790.00000000745</v>
      </c>
    </row>
    <row r="163" spans="1:26" ht="102" customHeight="1" x14ac:dyDescent="0.25">
      <c r="A163" s="329"/>
      <c r="B163" s="137" t="s">
        <v>241</v>
      </c>
      <c r="C163" s="61" t="s">
        <v>260</v>
      </c>
      <c r="D163" s="64" t="s">
        <v>101</v>
      </c>
      <c r="E163" s="60">
        <v>1439</v>
      </c>
      <c r="F163" s="60">
        <v>1439</v>
      </c>
      <c r="G163" s="60">
        <v>1439</v>
      </c>
      <c r="H163" s="60">
        <v>1439</v>
      </c>
      <c r="I163" s="60">
        <v>1439</v>
      </c>
      <c r="J163" s="75">
        <f>K163</f>
        <v>3268.55</v>
      </c>
      <c r="K163" s="75">
        <v>3268.55</v>
      </c>
      <c r="L163" s="72" t="s">
        <v>104</v>
      </c>
      <c r="M163" s="206" t="s">
        <v>104</v>
      </c>
      <c r="N163" s="201">
        <f>SUM(O163:R163)</f>
        <v>4703443</v>
      </c>
      <c r="O163" s="201">
        <f>G163*K163-0.45</f>
        <v>4703443</v>
      </c>
      <c r="P163" s="201" t="s">
        <v>104</v>
      </c>
      <c r="Q163" s="201"/>
      <c r="R163" s="201" t="s">
        <v>104</v>
      </c>
      <c r="S163" s="201"/>
      <c r="T163" s="46">
        <f>N163-37</f>
        <v>4703406</v>
      </c>
      <c r="U163" s="46">
        <f>T163</f>
        <v>4703406</v>
      </c>
      <c r="X163" s="200">
        <f>G147+G156+G162</f>
        <v>825</v>
      </c>
    </row>
    <row r="164" spans="1:26" ht="128.44999999999999" customHeight="1" x14ac:dyDescent="0.25">
      <c r="A164" s="329"/>
      <c r="B164" s="137"/>
      <c r="C164" s="166" t="s">
        <v>259</v>
      </c>
      <c r="D164" s="167" t="s">
        <v>101</v>
      </c>
      <c r="E164" s="168"/>
      <c r="F164" s="168"/>
      <c r="G164" s="169">
        <v>495</v>
      </c>
      <c r="H164" s="169">
        <v>495</v>
      </c>
      <c r="I164" s="169">
        <v>495</v>
      </c>
      <c r="J164" s="171" t="s">
        <v>104</v>
      </c>
      <c r="K164" s="171" t="s">
        <v>104</v>
      </c>
      <c r="L164" s="212" t="s">
        <v>104</v>
      </c>
      <c r="M164" s="264">
        <v>5421.31</v>
      </c>
      <c r="N164" s="201">
        <f>R164</f>
        <v>2683548.35</v>
      </c>
      <c r="O164" s="201"/>
      <c r="P164" s="201"/>
      <c r="Q164" s="201"/>
      <c r="R164" s="201">
        <f>G164*M164-0.1</f>
        <v>2683548.35</v>
      </c>
      <c r="S164" s="201"/>
      <c r="T164" s="46">
        <f>N164</f>
        <v>2683548.35</v>
      </c>
      <c r="U164" s="46">
        <f>T164</f>
        <v>2683548.35</v>
      </c>
      <c r="X164" s="85">
        <f>V171-R164</f>
        <v>7251521.0500000007</v>
      </c>
      <c r="Y164" s="80">
        <f>X164/G171</f>
        <v>8789.7224848484857</v>
      </c>
      <c r="Z164" s="80">
        <f>Y164*X163</f>
        <v>7251521.0500000007</v>
      </c>
    </row>
    <row r="165" spans="1:26" x14ac:dyDescent="0.25">
      <c r="A165" s="329"/>
      <c r="B165" s="69"/>
      <c r="C165" s="66" t="s">
        <v>106</v>
      </c>
      <c r="D165" s="69"/>
      <c r="E165" s="60">
        <f>SUM(E163:E163)</f>
        <v>1439</v>
      </c>
      <c r="F165" s="60">
        <f>SUM(F163:F163)</f>
        <v>1439</v>
      </c>
      <c r="G165" s="60">
        <f>SUM(G163:G163)</f>
        <v>1439</v>
      </c>
      <c r="H165" s="60">
        <f>SUM(H163:H163)</f>
        <v>1439</v>
      </c>
      <c r="I165" s="60">
        <f>SUM(I163:I163)</f>
        <v>1439</v>
      </c>
      <c r="J165" s="73" t="s">
        <v>104</v>
      </c>
      <c r="K165" s="73" t="s">
        <v>104</v>
      </c>
      <c r="L165" s="74" t="s">
        <v>104</v>
      </c>
      <c r="M165" s="207">
        <f t="shared" ref="M165:P165" si="105">SUM(M163:M163)</f>
        <v>0</v>
      </c>
      <c r="N165" s="207">
        <f>SUM(N163:N164)</f>
        <v>7386991.3499999996</v>
      </c>
      <c r="O165" s="207">
        <f t="shared" si="105"/>
        <v>4703443</v>
      </c>
      <c r="P165" s="207">
        <f t="shared" si="105"/>
        <v>0</v>
      </c>
      <c r="Q165" s="207"/>
      <c r="R165" s="207">
        <f>SUM(R163:R164)</f>
        <v>2683548.35</v>
      </c>
      <c r="S165" s="207"/>
      <c r="T165" s="46">
        <f>N165</f>
        <v>7386991.3499999996</v>
      </c>
      <c r="U165" s="46">
        <f>U163+U164+37</f>
        <v>7386991.3499999996</v>
      </c>
      <c r="Z165" s="85">
        <f>Z164+R164</f>
        <v>9935069.4000000004</v>
      </c>
    </row>
    <row r="166" spans="1:26" x14ac:dyDescent="0.25">
      <c r="A166" s="329"/>
      <c r="B166" s="69" t="s">
        <v>312</v>
      </c>
      <c r="C166" s="66" t="s">
        <v>226</v>
      </c>
      <c r="D166" s="69"/>
      <c r="E166" s="60"/>
      <c r="F166" s="60"/>
      <c r="G166" s="60"/>
      <c r="H166" s="60"/>
      <c r="I166" s="60"/>
      <c r="J166" s="73"/>
      <c r="K166" s="73"/>
      <c r="L166" s="74"/>
      <c r="M166" s="207"/>
      <c r="N166" s="207">
        <f>P166</f>
        <v>150399</v>
      </c>
      <c r="O166" s="207"/>
      <c r="P166" s="207">
        <v>150399</v>
      </c>
      <c r="Q166" s="207"/>
      <c r="R166" s="207"/>
      <c r="S166" s="207"/>
      <c r="T166" s="46">
        <f>P166</f>
        <v>150399</v>
      </c>
      <c r="U166" s="46">
        <f>T166</f>
        <v>150399</v>
      </c>
      <c r="Z166" s="85"/>
    </row>
    <row r="167" spans="1:26" x14ac:dyDescent="0.25">
      <c r="A167" s="329"/>
      <c r="B167" s="89" t="s">
        <v>225</v>
      </c>
      <c r="C167" s="184" t="s">
        <v>219</v>
      </c>
      <c r="D167" s="64" t="s">
        <v>101</v>
      </c>
      <c r="E167" s="60"/>
      <c r="F167" s="60"/>
      <c r="G167" s="60">
        <v>4</v>
      </c>
      <c r="H167" s="60">
        <v>4</v>
      </c>
      <c r="I167" s="60">
        <v>4</v>
      </c>
      <c r="J167" s="73"/>
      <c r="K167" s="73"/>
      <c r="L167" s="74"/>
      <c r="M167" s="207"/>
      <c r="N167" s="207">
        <f>S167</f>
        <v>179700</v>
      </c>
      <c r="O167" s="207"/>
      <c r="P167" s="207"/>
      <c r="Q167" s="207"/>
      <c r="R167" s="207"/>
      <c r="S167" s="207">
        <v>179700</v>
      </c>
      <c r="T167" s="46">
        <f>S167</f>
        <v>179700</v>
      </c>
      <c r="U167" s="46">
        <f>T167</f>
        <v>179700</v>
      </c>
      <c r="V167" s="85"/>
    </row>
    <row r="168" spans="1:26" x14ac:dyDescent="0.25">
      <c r="A168" s="329"/>
      <c r="B168" s="89" t="s">
        <v>225</v>
      </c>
      <c r="C168" s="184" t="s">
        <v>226</v>
      </c>
      <c r="D168" s="64" t="s">
        <v>101</v>
      </c>
      <c r="E168" s="60"/>
      <c r="F168" s="60"/>
      <c r="G168" s="60"/>
      <c r="H168" s="60"/>
      <c r="I168" s="60"/>
      <c r="J168" s="73"/>
      <c r="K168" s="73"/>
      <c r="L168" s="74"/>
      <c r="M168" s="207"/>
      <c r="N168" s="207">
        <f t="shared" ref="N168:N169" si="106">S168</f>
        <v>0</v>
      </c>
      <c r="O168" s="207"/>
      <c r="P168" s="207"/>
      <c r="Q168" s="207"/>
      <c r="R168" s="207"/>
      <c r="S168" s="207"/>
      <c r="T168" s="46">
        <f>Q168</f>
        <v>0</v>
      </c>
      <c r="U168" s="46">
        <f>T168</f>
        <v>0</v>
      </c>
      <c r="V168" s="85"/>
    </row>
    <row r="169" spans="1:26" x14ac:dyDescent="0.25">
      <c r="A169" s="329"/>
      <c r="B169" s="89" t="s">
        <v>311</v>
      </c>
      <c r="C169" s="184" t="s">
        <v>219</v>
      </c>
      <c r="D169" s="64"/>
      <c r="E169" s="60"/>
      <c r="F169" s="60"/>
      <c r="G169" s="60"/>
      <c r="H169" s="60"/>
      <c r="I169" s="60"/>
      <c r="J169" s="73"/>
      <c r="K169" s="73"/>
      <c r="L169" s="74"/>
      <c r="M169" s="207"/>
      <c r="N169" s="207">
        <f t="shared" si="106"/>
        <v>2800</v>
      </c>
      <c r="O169" s="207"/>
      <c r="P169" s="207"/>
      <c r="Q169" s="207"/>
      <c r="R169" s="207"/>
      <c r="S169" s="212">
        <v>2800</v>
      </c>
      <c r="T169" s="46"/>
      <c r="U169" s="46"/>
      <c r="V169" s="85"/>
    </row>
    <row r="170" spans="1:26" x14ac:dyDescent="0.25">
      <c r="A170" s="329"/>
      <c r="B170" s="89" t="s">
        <v>279</v>
      </c>
      <c r="C170" s="184" t="s">
        <v>226</v>
      </c>
      <c r="D170" s="64"/>
      <c r="E170" s="60"/>
      <c r="F170" s="60"/>
      <c r="G170" s="60"/>
      <c r="H170" s="60"/>
      <c r="I170" s="60"/>
      <c r="J170" s="73"/>
      <c r="K170" s="73"/>
      <c r="L170" s="74"/>
      <c r="M170" s="207"/>
      <c r="N170" s="207">
        <f>O170</f>
        <v>508591</v>
      </c>
      <c r="O170" s="207">
        <v>508591</v>
      </c>
      <c r="P170" s="207"/>
      <c r="Q170" s="207"/>
      <c r="R170" s="207"/>
      <c r="S170" s="207"/>
      <c r="T170" s="46">
        <f>O170</f>
        <v>508591</v>
      </c>
      <c r="U170" s="46">
        <f>T170</f>
        <v>508591</v>
      </c>
    </row>
    <row r="171" spans="1:26" x14ac:dyDescent="0.25">
      <c r="A171" s="329"/>
      <c r="B171" s="101" t="s">
        <v>112</v>
      </c>
      <c r="C171" s="101"/>
      <c r="D171" s="69"/>
      <c r="E171" s="102">
        <f t="shared" ref="E171:F171" si="107">E147+E156+E162</f>
        <v>825</v>
      </c>
      <c r="F171" s="102">
        <f t="shared" si="107"/>
        <v>825</v>
      </c>
      <c r="G171" s="102">
        <f>G147+G156+G162</f>
        <v>825</v>
      </c>
      <c r="H171" s="102">
        <f>H147+H156+H162</f>
        <v>825</v>
      </c>
      <c r="I171" s="102">
        <f>I147+I156+I162</f>
        <v>825</v>
      </c>
      <c r="J171" s="104"/>
      <c r="K171" s="104"/>
      <c r="L171" s="103"/>
      <c r="M171" s="138"/>
      <c r="N171" s="138">
        <f>SUM(O171:S171)</f>
        <v>52240166.001924507</v>
      </c>
      <c r="O171" s="138">
        <f>O147+O156+O162+O165+O170</f>
        <v>34835138.000000007</v>
      </c>
      <c r="P171" s="138">
        <f>P147+P156+P162+P165+P166+P167+P168</f>
        <v>8111628.0019244989</v>
      </c>
      <c r="Q171" s="138">
        <f t="shared" ref="Q171" si="108">Q147+Q156+Q162+Q165+Q166+Q167+Q168</f>
        <v>0</v>
      </c>
      <c r="R171" s="138">
        <f>R147+R156+R162+R165+R166+R167+R168+R169</f>
        <v>9110900</v>
      </c>
      <c r="S171" s="138">
        <f>S147+S156+S162+S165+S166+S167+S168+S169</f>
        <v>182500</v>
      </c>
      <c r="T171" s="138">
        <f>T147+T156+T162+T165+T166+T167+T168+T169+T170</f>
        <v>52237366.001924507</v>
      </c>
      <c r="U171" s="138">
        <f>U147+U156+U162+U165+U166+U167+U168+U169+U170</f>
        <v>52237366.001924507</v>
      </c>
      <c r="V171" s="80">
        <f>9886289.4+48780</f>
        <v>9935069.4000000004</v>
      </c>
      <c r="W171" s="85">
        <f>V171-R171</f>
        <v>824169.40000000037</v>
      </c>
      <c r="X171" s="80">
        <f>W171/I171</f>
        <v>998.99321212121254</v>
      </c>
    </row>
    <row r="172" spans="1:26" ht="225" x14ac:dyDescent="0.25">
      <c r="A172" s="329" t="s">
        <v>119</v>
      </c>
      <c r="B172" s="330" t="s">
        <v>238</v>
      </c>
      <c r="C172" s="61" t="s">
        <v>120</v>
      </c>
      <c r="D172" s="62" t="s">
        <v>121</v>
      </c>
      <c r="E172" s="121" t="s">
        <v>192</v>
      </c>
      <c r="F172" s="121" t="s">
        <v>192</v>
      </c>
      <c r="G172" s="121" t="s">
        <v>192</v>
      </c>
      <c r="H172" s="121" t="s">
        <v>192</v>
      </c>
      <c r="I172" s="121" t="s">
        <v>192</v>
      </c>
      <c r="J172" s="107" t="s">
        <v>277</v>
      </c>
      <c r="K172" s="107" t="s">
        <v>313</v>
      </c>
      <c r="L172" s="70" t="s">
        <v>314</v>
      </c>
      <c r="M172" s="202" t="s">
        <v>330</v>
      </c>
      <c r="N172" s="203">
        <f>SUM(O172:R172)</f>
        <v>3509342.13982902</v>
      </c>
      <c r="O172" s="203">
        <f>(668575.57*3)+((1329.32*67)/12*8+(1329.32*67)/12*4)-0.44</f>
        <v>2094790.71</v>
      </c>
      <c r="P172" s="203">
        <f>((4001.99*2.411294*67)/12*8)+((4001.99*2.411294*67)/12*4)-0.44</f>
        <v>646547.84982901998</v>
      </c>
      <c r="Q172" s="203"/>
      <c r="R172" s="46">
        <f>((11462.74*67)/12*8)+((11462.74*67)/12*4)</f>
        <v>768003.58</v>
      </c>
      <c r="S172" s="46"/>
      <c r="T172" s="46">
        <f>N172</f>
        <v>3509342.13982902</v>
      </c>
      <c r="U172" s="46">
        <f>T172</f>
        <v>3509342.13982902</v>
      </c>
      <c r="V172" s="80">
        <f>N172/3</f>
        <v>1169780.7132763399</v>
      </c>
      <c r="W172" s="80">
        <f>12300.53*67</f>
        <v>824135.51</v>
      </c>
      <c r="X172" s="80">
        <f>1342.39+12011.78+(4001.99*2.3654)</f>
        <v>22820.477146000001</v>
      </c>
      <c r="Y172" s="80">
        <f>4001.99*2.3654</f>
        <v>9466.307146000001</v>
      </c>
    </row>
    <row r="173" spans="1:26" ht="225" x14ac:dyDescent="0.25">
      <c r="A173" s="329"/>
      <c r="B173" s="330"/>
      <c r="C173" s="61" t="s">
        <v>128</v>
      </c>
      <c r="D173" s="62" t="s">
        <v>121</v>
      </c>
      <c r="E173" s="121" t="s">
        <v>316</v>
      </c>
      <c r="F173" s="121" t="s">
        <v>316</v>
      </c>
      <c r="G173" s="121" t="s">
        <v>316</v>
      </c>
      <c r="H173" s="121" t="s">
        <v>316</v>
      </c>
      <c r="I173" s="121" t="s">
        <v>316</v>
      </c>
      <c r="J173" s="107" t="s">
        <v>278</v>
      </c>
      <c r="K173" s="107" t="s">
        <v>315</v>
      </c>
      <c r="L173" s="70" t="s">
        <v>314</v>
      </c>
      <c r="M173" s="202" t="s">
        <v>330</v>
      </c>
      <c r="N173" s="203">
        <f>SUM(O173:R173)</f>
        <v>1010426.7460760199</v>
      </c>
      <c r="O173" s="203">
        <f>(((628912.16*1)/12*8+(628912.16*1)/12*4)+((1329.32*17)/12*8+(1329.32*17)/12*4))</f>
        <v>651510.6</v>
      </c>
      <c r="P173" s="203">
        <f>((4001.99*2.411294*17)/12*8)+((4001.99*2.411294*17)/12*4)</f>
        <v>164049.56607601998</v>
      </c>
      <c r="Q173" s="203"/>
      <c r="R173" s="46">
        <f>((11462.74*17)/12*8)+((11462.74*17)/12*4)</f>
        <v>194866.58</v>
      </c>
      <c r="S173" s="46"/>
      <c r="T173" s="46">
        <f>N173</f>
        <v>1010426.7460760199</v>
      </c>
      <c r="U173" s="46">
        <f>T173</f>
        <v>1010426.7460760199</v>
      </c>
      <c r="W173" s="80">
        <f>12300.53*19</f>
        <v>233710.07</v>
      </c>
    </row>
    <row r="174" spans="1:26" ht="90" x14ac:dyDescent="0.25">
      <c r="A174" s="329"/>
      <c r="B174" s="330"/>
      <c r="C174" s="63" t="s">
        <v>102</v>
      </c>
      <c r="D174" s="64" t="s">
        <v>101</v>
      </c>
      <c r="E174" s="65"/>
      <c r="F174" s="65"/>
      <c r="G174" s="65"/>
      <c r="H174" s="65"/>
      <c r="I174" s="65"/>
      <c r="J174" s="150" t="s">
        <v>103</v>
      </c>
      <c r="K174" s="150" t="s">
        <v>103</v>
      </c>
      <c r="L174" s="150" t="s">
        <v>103</v>
      </c>
      <c r="M174" s="208" t="s">
        <v>103</v>
      </c>
      <c r="N174" s="203">
        <f t="shared" ref="N174:N178" si="109">SUM(O174:R174)</f>
        <v>0</v>
      </c>
      <c r="O174" s="208" t="s">
        <v>103</v>
      </c>
      <c r="P174" s="208" t="s">
        <v>103</v>
      </c>
      <c r="Q174" s="208"/>
      <c r="R174" s="208" t="s">
        <v>103</v>
      </c>
      <c r="S174" s="208"/>
      <c r="T174" s="46">
        <f t="shared" ref="T174:T178" si="110">N174</f>
        <v>0</v>
      </c>
      <c r="U174" s="46">
        <f t="shared" ref="U174:U178" si="111">T174</f>
        <v>0</v>
      </c>
    </row>
    <row r="175" spans="1:26" x14ac:dyDescent="0.25">
      <c r="A175" s="329"/>
      <c r="B175" s="330"/>
      <c r="C175" s="63" t="s">
        <v>166</v>
      </c>
      <c r="D175" s="64" t="s">
        <v>101</v>
      </c>
      <c r="E175" s="59">
        <v>5</v>
      </c>
      <c r="F175" s="59">
        <v>5</v>
      </c>
      <c r="G175" s="59">
        <v>5</v>
      </c>
      <c r="H175" s="59">
        <v>5</v>
      </c>
      <c r="I175" s="59">
        <v>5</v>
      </c>
      <c r="J175" s="75">
        <f>K175</f>
        <v>80183.77</v>
      </c>
      <c r="K175" s="75">
        <v>80183.77</v>
      </c>
      <c r="L175" s="72"/>
      <c r="M175" s="206"/>
      <c r="N175" s="203">
        <f t="shared" si="109"/>
        <v>400918.85000000003</v>
      </c>
      <c r="O175" s="203">
        <f>G175*K175</f>
        <v>400918.85000000003</v>
      </c>
      <c r="P175" s="203"/>
      <c r="Q175" s="203"/>
      <c r="R175" s="210"/>
      <c r="S175" s="210"/>
      <c r="T175" s="46">
        <f t="shared" si="110"/>
        <v>400918.85000000003</v>
      </c>
      <c r="U175" s="46">
        <f t="shared" si="111"/>
        <v>400918.85000000003</v>
      </c>
    </row>
    <row r="176" spans="1:26" x14ac:dyDescent="0.25">
      <c r="A176" s="329"/>
      <c r="B176" s="330"/>
      <c r="C176" s="63" t="s">
        <v>168</v>
      </c>
      <c r="D176" s="64" t="s">
        <v>101</v>
      </c>
      <c r="E176" s="59">
        <v>1</v>
      </c>
      <c r="F176" s="59">
        <v>1</v>
      </c>
      <c r="G176" s="59">
        <v>1</v>
      </c>
      <c r="H176" s="59">
        <v>1</v>
      </c>
      <c r="I176" s="59">
        <v>1</v>
      </c>
      <c r="J176" s="75">
        <f>K176</f>
        <v>28342.92</v>
      </c>
      <c r="K176" s="75">
        <v>28342.92</v>
      </c>
      <c r="L176" s="72"/>
      <c r="M176" s="206"/>
      <c r="N176" s="203">
        <f t="shared" si="109"/>
        <v>28342.92</v>
      </c>
      <c r="O176" s="203">
        <f>G176*K176</f>
        <v>28342.92</v>
      </c>
      <c r="P176" s="203"/>
      <c r="Q176" s="203"/>
      <c r="R176" s="210"/>
      <c r="S176" s="210"/>
      <c r="T176" s="46">
        <f t="shared" si="110"/>
        <v>28342.92</v>
      </c>
      <c r="U176" s="46">
        <f t="shared" si="111"/>
        <v>28342.92</v>
      </c>
    </row>
    <row r="177" spans="1:24" ht="120" x14ac:dyDescent="0.25">
      <c r="A177" s="329"/>
      <c r="B177" s="330"/>
      <c r="C177" s="61" t="s">
        <v>173</v>
      </c>
      <c r="D177" s="64" t="s">
        <v>101</v>
      </c>
      <c r="E177" s="59">
        <v>1</v>
      </c>
      <c r="F177" s="59">
        <v>1</v>
      </c>
      <c r="G177" s="59">
        <v>1</v>
      </c>
      <c r="H177" s="59">
        <v>1</v>
      </c>
      <c r="I177" s="59">
        <v>1</v>
      </c>
      <c r="J177" s="75">
        <f>K177</f>
        <v>182344.64</v>
      </c>
      <c r="K177" s="75">
        <f>181015.32+1329.32</f>
        <v>182344.64</v>
      </c>
      <c r="L177" s="70" t="s">
        <v>314</v>
      </c>
      <c r="M177" s="202" t="s">
        <v>330</v>
      </c>
      <c r="N177" s="203">
        <f t="shared" si="109"/>
        <v>203457.35447506001</v>
      </c>
      <c r="O177" s="203">
        <f>G177*K177</f>
        <v>182344.64</v>
      </c>
      <c r="P177" s="203">
        <f>G177*4001.99*2.411294</f>
        <v>9649.9744750599984</v>
      </c>
      <c r="Q177" s="203"/>
      <c r="R177" s="203">
        <f>G177*11462.74</f>
        <v>11462.74</v>
      </c>
      <c r="S177" s="210"/>
      <c r="T177" s="46">
        <f t="shared" si="110"/>
        <v>203457.35447506001</v>
      </c>
      <c r="U177" s="46">
        <f t="shared" si="111"/>
        <v>203457.35447506001</v>
      </c>
    </row>
    <row r="178" spans="1:24" ht="105" x14ac:dyDescent="0.25">
      <c r="A178" s="329"/>
      <c r="B178" s="330"/>
      <c r="C178" s="61" t="s">
        <v>174</v>
      </c>
      <c r="D178" s="64" t="s">
        <v>101</v>
      </c>
      <c r="E178" s="59"/>
      <c r="F178" s="59"/>
      <c r="G178" s="59">
        <f t="shared" ref="G178" si="112">((E178*8)+(F178*4))/12</f>
        <v>0</v>
      </c>
      <c r="H178" s="59"/>
      <c r="I178" s="59"/>
      <c r="J178" s="75">
        <f>K178</f>
        <v>25930.91</v>
      </c>
      <c r="K178" s="75">
        <v>25930.91</v>
      </c>
      <c r="L178" s="71" t="s">
        <v>104</v>
      </c>
      <c r="M178" s="203" t="s">
        <v>104</v>
      </c>
      <c r="N178" s="203">
        <f t="shared" si="109"/>
        <v>0</v>
      </c>
      <c r="O178" s="203">
        <f>G178*K178</f>
        <v>0</v>
      </c>
      <c r="P178" s="203" t="s">
        <v>104</v>
      </c>
      <c r="Q178" s="203"/>
      <c r="R178" s="210" t="s">
        <v>104</v>
      </c>
      <c r="S178" s="210"/>
      <c r="T178" s="46">
        <f t="shared" si="110"/>
        <v>0</v>
      </c>
      <c r="U178" s="46">
        <f t="shared" si="111"/>
        <v>0</v>
      </c>
    </row>
    <row r="179" spans="1:24" x14ac:dyDescent="0.25">
      <c r="A179" s="329"/>
      <c r="B179" s="330"/>
      <c r="C179" s="66" t="s">
        <v>106</v>
      </c>
      <c r="D179" s="67"/>
      <c r="E179" s="121" t="s">
        <v>317</v>
      </c>
      <c r="F179" s="121" t="s">
        <v>317</v>
      </c>
      <c r="G179" s="121" t="s">
        <v>317</v>
      </c>
      <c r="H179" s="121" t="s">
        <v>317</v>
      </c>
      <c r="I179" s="121" t="s">
        <v>317</v>
      </c>
      <c r="J179" s="71" t="s">
        <v>104</v>
      </c>
      <c r="K179" s="71" t="s">
        <v>104</v>
      </c>
      <c r="L179" s="71" t="s">
        <v>104</v>
      </c>
      <c r="M179" s="203" t="s">
        <v>104</v>
      </c>
      <c r="N179" s="203">
        <f>SUM(O179:R179)</f>
        <v>5152488.0103801005</v>
      </c>
      <c r="O179" s="203">
        <f>SUM(O172:O178)</f>
        <v>3357907.72</v>
      </c>
      <c r="P179" s="203">
        <f>SUM(P172:P178)</f>
        <v>820247.3903801</v>
      </c>
      <c r="Q179" s="203"/>
      <c r="R179" s="203">
        <f t="shared" ref="R179:U179" si="113">SUM(R172:R178)</f>
        <v>974332.89999999991</v>
      </c>
      <c r="S179" s="203"/>
      <c r="T179" s="203">
        <f>SUM(T172:T178)</f>
        <v>5152488.0103801005</v>
      </c>
      <c r="U179" s="203">
        <f t="shared" si="113"/>
        <v>5152488.0103801005</v>
      </c>
    </row>
    <row r="180" spans="1:24" ht="225" x14ac:dyDescent="0.25">
      <c r="A180" s="329"/>
      <c r="B180" s="330" t="s">
        <v>239</v>
      </c>
      <c r="C180" s="61" t="s">
        <v>120</v>
      </c>
      <c r="D180" s="62" t="s">
        <v>121</v>
      </c>
      <c r="E180" s="121" t="s">
        <v>318</v>
      </c>
      <c r="F180" s="121" t="s">
        <v>318</v>
      </c>
      <c r="G180" s="121" t="s">
        <v>318</v>
      </c>
      <c r="H180" s="121" t="s">
        <v>318</v>
      </c>
      <c r="I180" s="121" t="s">
        <v>318</v>
      </c>
      <c r="J180" s="107" t="s">
        <v>321</v>
      </c>
      <c r="K180" s="107" t="s">
        <v>322</v>
      </c>
      <c r="L180" s="70" t="s">
        <v>314</v>
      </c>
      <c r="M180" s="202" t="s">
        <v>330</v>
      </c>
      <c r="N180" s="203">
        <f t="shared" ref="N180:N181" si="114">SUM(O180:R180)</f>
        <v>4270554.9822043199</v>
      </c>
      <c r="O180" s="203">
        <f>(((877875.1*3)/12*8+(877875.1*3)/12*4)+((1622.42*72)/12*8+(1622.42*72)/12*4))</f>
        <v>2750439.54</v>
      </c>
      <c r="P180" s="203">
        <f>((4001.99*2.411294*72)/12*8)+((4001.99*2.411294*72)/12*4)</f>
        <v>694798.16220431984</v>
      </c>
      <c r="Q180" s="203"/>
      <c r="R180" s="203">
        <f>((11462.74*72)/12*8)+((11462.74*72)/12*4)</f>
        <v>825317.28</v>
      </c>
      <c r="S180" s="203"/>
      <c r="T180" s="46">
        <f>N180</f>
        <v>4270554.9822043199</v>
      </c>
      <c r="U180" s="46">
        <f>T180</f>
        <v>4270554.9822043199</v>
      </c>
      <c r="V180" s="124"/>
      <c r="W180" s="80">
        <f>12300.53*86</f>
        <v>1057845.58</v>
      </c>
    </row>
    <row r="181" spans="1:24" ht="225" x14ac:dyDescent="0.25">
      <c r="A181" s="329"/>
      <c r="B181" s="330"/>
      <c r="C181" s="61" t="s">
        <v>128</v>
      </c>
      <c r="D181" s="62" t="s">
        <v>121</v>
      </c>
      <c r="E181" s="79" t="s">
        <v>319</v>
      </c>
      <c r="F181" s="79" t="s">
        <v>319</v>
      </c>
      <c r="G181" s="79" t="s">
        <v>319</v>
      </c>
      <c r="H181" s="79" t="s">
        <v>319</v>
      </c>
      <c r="I181" s="79" t="s">
        <v>319</v>
      </c>
      <c r="J181" s="107" t="s">
        <v>323</v>
      </c>
      <c r="K181" s="107" t="s">
        <v>320</v>
      </c>
      <c r="L181" s="70" t="s">
        <v>314</v>
      </c>
      <c r="M181" s="202" t="s">
        <v>330</v>
      </c>
      <c r="N181" s="203">
        <f t="shared" si="114"/>
        <v>3362285.7569026398</v>
      </c>
      <c r="O181" s="203">
        <f>(((787313.28*3)/12*8+(787313.28*3)/12*4)+((1622.42*44)/12*8+(1622.42*44)/12*4))</f>
        <v>2433326.3199999998</v>
      </c>
      <c r="P181" s="203">
        <f>((4001.99*2.411294*44)/12*8)+((4001.99*2.411294*44)/12*4)</f>
        <v>424598.87690263992</v>
      </c>
      <c r="Q181" s="203"/>
      <c r="R181" s="203">
        <f>((11462.74*44)/12*8)+((11462.74*44)/12*4)</f>
        <v>504360.56000000006</v>
      </c>
      <c r="S181" s="203"/>
      <c r="T181" s="46">
        <f>N181</f>
        <v>3362285.7569026398</v>
      </c>
      <c r="U181" s="46">
        <f>T181</f>
        <v>3362285.7569026398</v>
      </c>
      <c r="W181" s="80">
        <f>12300.53*29</f>
        <v>356715.37</v>
      </c>
      <c r="X181" s="80">
        <f>1638.38+12011.78+(4001.99*2.3654)</f>
        <v>23116.467146000003</v>
      </c>
    </row>
    <row r="182" spans="1:24" ht="90" x14ac:dyDescent="0.25">
      <c r="A182" s="329"/>
      <c r="B182" s="330"/>
      <c r="C182" s="63" t="s">
        <v>163</v>
      </c>
      <c r="D182" s="64" t="s">
        <v>101</v>
      </c>
      <c r="E182" s="59" t="s">
        <v>104</v>
      </c>
      <c r="F182" s="59" t="s">
        <v>104</v>
      </c>
      <c r="G182" s="59" t="s">
        <v>104</v>
      </c>
      <c r="H182" s="59" t="s">
        <v>104</v>
      </c>
      <c r="I182" s="59" t="s">
        <v>104</v>
      </c>
      <c r="J182" s="59" t="s">
        <v>104</v>
      </c>
      <c r="K182" s="59" t="s">
        <v>104</v>
      </c>
      <c r="L182" s="59" t="s">
        <v>104</v>
      </c>
      <c r="M182" s="123" t="s">
        <v>104</v>
      </c>
      <c r="N182" s="203"/>
      <c r="O182" s="203"/>
      <c r="P182" s="123" t="s">
        <v>104</v>
      </c>
      <c r="Q182" s="123"/>
      <c r="R182" s="123" t="s">
        <v>104</v>
      </c>
      <c r="S182" s="123"/>
      <c r="T182" s="46"/>
      <c r="U182" s="46"/>
    </row>
    <row r="183" spans="1:24" x14ac:dyDescent="0.25">
      <c r="A183" s="329"/>
      <c r="B183" s="192"/>
      <c r="C183" s="63" t="s">
        <v>165</v>
      </c>
      <c r="D183" s="64"/>
      <c r="E183" s="60">
        <v>1</v>
      </c>
      <c r="F183" s="60">
        <v>1</v>
      </c>
      <c r="G183" s="60">
        <v>1</v>
      </c>
      <c r="H183" s="60">
        <v>1</v>
      </c>
      <c r="I183" s="60">
        <v>1</v>
      </c>
      <c r="J183" s="75">
        <f>K183</f>
        <v>112063.65</v>
      </c>
      <c r="K183" s="75">
        <v>112063.65</v>
      </c>
      <c r="L183" s="59" t="s">
        <v>104</v>
      </c>
      <c r="M183" s="123" t="s">
        <v>104</v>
      </c>
      <c r="N183" s="203">
        <f>O183</f>
        <v>112063.65</v>
      </c>
      <c r="O183" s="201">
        <f>G183*K183</f>
        <v>112063.65</v>
      </c>
      <c r="P183" s="123" t="s">
        <v>104</v>
      </c>
      <c r="Q183" s="123"/>
      <c r="R183" s="123" t="s">
        <v>104</v>
      </c>
      <c r="S183" s="123"/>
      <c r="T183" s="46">
        <f>H183*K183</f>
        <v>112063.65</v>
      </c>
      <c r="U183" s="46">
        <f>I183*K183</f>
        <v>112063.65</v>
      </c>
    </row>
    <row r="184" spans="1:24" x14ac:dyDescent="0.25">
      <c r="A184" s="329"/>
      <c r="B184" s="192"/>
      <c r="C184" s="63" t="s">
        <v>168</v>
      </c>
      <c r="D184" s="64"/>
      <c r="E184" s="60">
        <v>1</v>
      </c>
      <c r="F184" s="60">
        <v>1</v>
      </c>
      <c r="G184" s="60">
        <v>1</v>
      </c>
      <c r="H184" s="60">
        <v>1</v>
      </c>
      <c r="I184" s="60">
        <v>1</v>
      </c>
      <c r="J184" s="75">
        <f>K184</f>
        <v>28342.92</v>
      </c>
      <c r="K184" s="75">
        <v>28342.92</v>
      </c>
      <c r="L184" s="105" t="s">
        <v>104</v>
      </c>
      <c r="M184" s="123" t="s">
        <v>104</v>
      </c>
      <c r="N184" s="203">
        <f>O184</f>
        <v>28342.92</v>
      </c>
      <c r="O184" s="201">
        <f>G184*K184</f>
        <v>28342.92</v>
      </c>
      <c r="P184" s="123" t="s">
        <v>104</v>
      </c>
      <c r="Q184" s="123"/>
      <c r="R184" s="123" t="s">
        <v>104</v>
      </c>
      <c r="S184" s="123"/>
      <c r="T184" s="46">
        <f>H184*K184</f>
        <v>28342.92</v>
      </c>
      <c r="U184" s="46">
        <f>I184*K184</f>
        <v>28342.92</v>
      </c>
    </row>
    <row r="185" spans="1:24" ht="120" x14ac:dyDescent="0.25">
      <c r="A185" s="329"/>
      <c r="B185" s="192"/>
      <c r="C185" s="76" t="s">
        <v>173</v>
      </c>
      <c r="D185" s="64" t="s">
        <v>101</v>
      </c>
      <c r="E185" s="79"/>
      <c r="F185" s="79"/>
      <c r="G185" s="59"/>
      <c r="H185" s="79"/>
      <c r="I185" s="79"/>
      <c r="J185" s="75">
        <f>SUM(K185:M185)</f>
        <v>227533.04</v>
      </c>
      <c r="K185" s="75">
        <f>225910.62+1622.42</f>
        <v>227533.04</v>
      </c>
      <c r="L185" s="70" t="s">
        <v>314</v>
      </c>
      <c r="M185" s="202" t="s">
        <v>330</v>
      </c>
      <c r="N185" s="201">
        <f>SUM(O185:R185)</f>
        <v>0</v>
      </c>
      <c r="O185" s="201">
        <f>G185*K185</f>
        <v>0</v>
      </c>
      <c r="P185" s="201">
        <f>G185*4001.99*2.3654</f>
        <v>0</v>
      </c>
      <c r="Q185" s="201"/>
      <c r="R185" s="201">
        <f>G185*11462.74</f>
        <v>0</v>
      </c>
      <c r="S185" s="201"/>
      <c r="T185" s="46">
        <f>N185</f>
        <v>0</v>
      </c>
      <c r="U185" s="46">
        <f>T185</f>
        <v>0</v>
      </c>
    </row>
    <row r="186" spans="1:24" ht="105" x14ac:dyDescent="0.25">
      <c r="A186" s="329"/>
      <c r="B186" s="192"/>
      <c r="C186" s="61" t="s">
        <v>174</v>
      </c>
      <c r="D186" s="64" t="s">
        <v>101</v>
      </c>
      <c r="E186" s="79">
        <v>2</v>
      </c>
      <c r="F186" s="79">
        <v>2</v>
      </c>
      <c r="G186" s="79">
        <v>2</v>
      </c>
      <c r="H186" s="79">
        <v>2</v>
      </c>
      <c r="I186" s="79">
        <v>2</v>
      </c>
      <c r="J186" s="75">
        <f>K186</f>
        <v>41057.29</v>
      </c>
      <c r="K186" s="75">
        <f>41057.29</f>
        <v>41057.29</v>
      </c>
      <c r="L186" s="74"/>
      <c r="M186" s="207"/>
      <c r="N186" s="201">
        <f>O186</f>
        <v>82114.58</v>
      </c>
      <c r="O186" s="201">
        <f>G186*K186</f>
        <v>82114.58</v>
      </c>
      <c r="P186" s="201"/>
      <c r="Q186" s="201"/>
      <c r="R186" s="201"/>
      <c r="S186" s="201"/>
      <c r="T186" s="46">
        <f>H186*K186</f>
        <v>82114.58</v>
      </c>
      <c r="U186" s="46">
        <f>I186*K186</f>
        <v>82114.58</v>
      </c>
    </row>
    <row r="187" spans="1:24" x14ac:dyDescent="0.25">
      <c r="A187" s="329"/>
      <c r="B187" s="192"/>
      <c r="C187" s="66" t="s">
        <v>106</v>
      </c>
      <c r="D187" s="64"/>
      <c r="E187" s="77" t="s">
        <v>202</v>
      </c>
      <c r="F187" s="77" t="s">
        <v>202</v>
      </c>
      <c r="G187" s="77" t="s">
        <v>202</v>
      </c>
      <c r="H187" s="77" t="s">
        <v>202</v>
      </c>
      <c r="I187" s="77" t="s">
        <v>202</v>
      </c>
      <c r="J187" s="73" t="s">
        <v>104</v>
      </c>
      <c r="K187" s="73" t="s">
        <v>104</v>
      </c>
      <c r="L187" s="74" t="s">
        <v>104</v>
      </c>
      <c r="M187" s="207" t="s">
        <v>104</v>
      </c>
      <c r="N187" s="207">
        <f>SUM(O187:R187)</f>
        <v>7855361.8891069591</v>
      </c>
      <c r="O187" s="207">
        <f>SUM(O180:O186)</f>
        <v>5406287.0099999998</v>
      </c>
      <c r="P187" s="207">
        <f>SUM(P180:P186)</f>
        <v>1119397.0391069597</v>
      </c>
      <c r="Q187" s="207"/>
      <c r="R187" s="207">
        <f t="shared" ref="R187" si="115">SUM(R180:R186)</f>
        <v>1329677.8400000001</v>
      </c>
      <c r="S187" s="207"/>
      <c r="T187" s="207">
        <f>N187</f>
        <v>7855361.8891069591</v>
      </c>
      <c r="U187" s="207">
        <f>T187</f>
        <v>7855361.8891069591</v>
      </c>
    </row>
    <row r="188" spans="1:24" ht="225" x14ac:dyDescent="0.25">
      <c r="A188" s="329"/>
      <c r="B188" s="195" t="s">
        <v>240</v>
      </c>
      <c r="C188" s="61" t="s">
        <v>128</v>
      </c>
      <c r="D188" s="62" t="s">
        <v>121</v>
      </c>
      <c r="E188" s="121" t="s">
        <v>149</v>
      </c>
      <c r="F188" s="121" t="s">
        <v>149</v>
      </c>
      <c r="G188" s="121" t="s">
        <v>149</v>
      </c>
      <c r="H188" s="121" t="s">
        <v>149</v>
      </c>
      <c r="I188" s="121" t="s">
        <v>149</v>
      </c>
      <c r="J188" s="107" t="s">
        <v>257</v>
      </c>
      <c r="K188" s="107" t="s">
        <v>325</v>
      </c>
      <c r="L188" s="70" t="s">
        <v>324</v>
      </c>
      <c r="M188" s="202" t="s">
        <v>276</v>
      </c>
      <c r="N188" s="201">
        <f>SUM(O188:R188)</f>
        <v>2074632.4960760199</v>
      </c>
      <c r="O188" s="203">
        <f>(841148.96*2)+((1965.79*17)/12*8+(1965.79*17)/12*4)</f>
        <v>1715716.3499999999</v>
      </c>
      <c r="P188" s="201">
        <f>((17*4001.99*2.411294)/12*8)+((17*4001.99*2.411294)/12*4)</f>
        <v>164049.56607601998</v>
      </c>
      <c r="Q188" s="201"/>
      <c r="R188" s="46">
        <f>11462.74*17</f>
        <v>194866.58</v>
      </c>
      <c r="S188" s="46"/>
      <c r="T188" s="46">
        <f>N188</f>
        <v>2074632.4960760199</v>
      </c>
      <c r="U188" s="46">
        <f>N188</f>
        <v>2074632.4960760199</v>
      </c>
      <c r="W188" s="80">
        <f>12300.53*15</f>
        <v>184507.95</v>
      </c>
      <c r="X188" s="80">
        <f>1985.12+12011.78+(4001.99*2.3654)</f>
        <v>23463.207146000001</v>
      </c>
    </row>
    <row r="189" spans="1:24" ht="90" x14ac:dyDescent="0.25">
      <c r="A189" s="329"/>
      <c r="B189" s="192"/>
      <c r="C189" s="63" t="s">
        <v>163</v>
      </c>
      <c r="D189" s="64" t="s">
        <v>101</v>
      </c>
      <c r="E189" s="121"/>
      <c r="F189" s="121"/>
      <c r="G189" s="121"/>
      <c r="H189" s="121"/>
      <c r="I189" s="121"/>
      <c r="J189" s="107"/>
      <c r="K189" s="107"/>
      <c r="L189" s="70"/>
      <c r="M189" s="202"/>
      <c r="N189" s="201"/>
      <c r="O189" s="203"/>
      <c r="P189" s="201"/>
      <c r="Q189" s="201"/>
      <c r="R189" s="46"/>
      <c r="S189" s="46"/>
      <c r="T189" s="46"/>
      <c r="U189" s="46"/>
    </row>
    <row r="190" spans="1:24" x14ac:dyDescent="0.25">
      <c r="A190" s="329"/>
      <c r="B190" s="192"/>
      <c r="C190" s="63" t="s">
        <v>165</v>
      </c>
      <c r="D190" s="64" t="s">
        <v>101</v>
      </c>
      <c r="E190" s="121"/>
      <c r="F190" s="121"/>
      <c r="G190" s="59"/>
      <c r="H190" s="121"/>
      <c r="I190" s="121"/>
      <c r="J190" s="107">
        <f>K190</f>
        <v>112063.65</v>
      </c>
      <c r="K190" s="107">
        <v>112063.65</v>
      </c>
      <c r="L190" s="70"/>
      <c r="M190" s="202"/>
      <c r="N190" s="201">
        <f>O190</f>
        <v>0</v>
      </c>
      <c r="O190" s="203">
        <f>K190*G190</f>
        <v>0</v>
      </c>
      <c r="P190" s="201"/>
      <c r="Q190" s="201"/>
      <c r="R190" s="46"/>
      <c r="S190" s="46"/>
      <c r="T190" s="46">
        <f>G190*K190</f>
        <v>0</v>
      </c>
      <c r="U190" s="46">
        <f>T190</f>
        <v>0</v>
      </c>
    </row>
    <row r="191" spans="1:24" x14ac:dyDescent="0.25">
      <c r="A191" s="329"/>
      <c r="B191" s="192"/>
      <c r="C191" s="63" t="s">
        <v>168</v>
      </c>
      <c r="D191" s="64" t="s">
        <v>101</v>
      </c>
      <c r="E191" s="121">
        <v>1</v>
      </c>
      <c r="F191" s="121">
        <v>1</v>
      </c>
      <c r="G191" s="121">
        <v>1</v>
      </c>
      <c r="H191" s="121">
        <v>1</v>
      </c>
      <c r="I191" s="121">
        <v>1</v>
      </c>
      <c r="J191" s="107">
        <f>K191</f>
        <v>28342.92</v>
      </c>
      <c r="K191" s="107">
        <v>28342.92</v>
      </c>
      <c r="L191" s="70"/>
      <c r="M191" s="202"/>
      <c r="N191" s="201">
        <f>O191</f>
        <v>28342.92</v>
      </c>
      <c r="O191" s="203">
        <f>K191*G191</f>
        <v>28342.92</v>
      </c>
      <c r="P191" s="201"/>
      <c r="Q191" s="201"/>
      <c r="R191" s="46"/>
      <c r="S191" s="46"/>
      <c r="T191" s="46">
        <f>G191*K191</f>
        <v>28342.92</v>
      </c>
      <c r="U191" s="46">
        <f>T191</f>
        <v>28342.92</v>
      </c>
    </row>
    <row r="192" spans="1:24" x14ac:dyDescent="0.25">
      <c r="A192" s="329"/>
      <c r="B192" s="192"/>
      <c r="C192" s="66" t="s">
        <v>106</v>
      </c>
      <c r="D192" s="64"/>
      <c r="E192" s="121" t="str">
        <f>E188</f>
        <v>2\17</v>
      </c>
      <c r="F192" s="121" t="str">
        <f>F188</f>
        <v>2\17</v>
      </c>
      <c r="G192" s="121" t="str">
        <f>G188</f>
        <v>2\17</v>
      </c>
      <c r="H192" s="121" t="str">
        <f>H188</f>
        <v>2\17</v>
      </c>
      <c r="I192" s="121" t="str">
        <f>I188</f>
        <v>2\17</v>
      </c>
      <c r="J192" s="73" t="s">
        <v>104</v>
      </c>
      <c r="K192" s="73" t="s">
        <v>104</v>
      </c>
      <c r="L192" s="74" t="s">
        <v>104</v>
      </c>
      <c r="M192" s="207" t="s">
        <v>104</v>
      </c>
      <c r="N192" s="207">
        <f>SUM(N188:N191)</f>
        <v>2102975.4160760199</v>
      </c>
      <c r="O192" s="207">
        <f>SUM(O188:O191)</f>
        <v>1744059.2699999998</v>
      </c>
      <c r="P192" s="207">
        <f t="shared" ref="P192:U192" si="116">SUM(P188:P191)</f>
        <v>164049.56607601998</v>
      </c>
      <c r="Q192" s="207"/>
      <c r="R192" s="207">
        <f>SUM(R188:R191)</f>
        <v>194866.58</v>
      </c>
      <c r="S192" s="207"/>
      <c r="T192" s="207">
        <f t="shared" si="116"/>
        <v>2102975.4160760199</v>
      </c>
      <c r="U192" s="207">
        <f t="shared" si="116"/>
        <v>2102975.4160760199</v>
      </c>
    </row>
    <row r="193" spans="1:24" ht="102" customHeight="1" x14ac:dyDescent="0.25">
      <c r="A193" s="329"/>
      <c r="B193" s="137" t="s">
        <v>241</v>
      </c>
      <c r="C193" s="61" t="s">
        <v>186</v>
      </c>
      <c r="D193" s="64" t="s">
        <v>101</v>
      </c>
      <c r="E193" s="60">
        <v>299</v>
      </c>
      <c r="F193" s="60">
        <v>299</v>
      </c>
      <c r="G193" s="60">
        <v>299</v>
      </c>
      <c r="H193" s="60">
        <v>299</v>
      </c>
      <c r="I193" s="60">
        <v>299</v>
      </c>
      <c r="J193" s="75">
        <f>K193</f>
        <v>4982.75</v>
      </c>
      <c r="K193" s="75">
        <v>4982.75</v>
      </c>
      <c r="L193" s="72" t="s">
        <v>104</v>
      </c>
      <c r="M193" s="206" t="s">
        <v>104</v>
      </c>
      <c r="N193" s="201">
        <f>SUM(O193:R193)</f>
        <v>1489843</v>
      </c>
      <c r="O193" s="201">
        <f>K193*G193+0.75</f>
        <v>1489843</v>
      </c>
      <c r="P193" s="201" t="s">
        <v>104</v>
      </c>
      <c r="Q193" s="201"/>
      <c r="R193" s="201" t="s">
        <v>104</v>
      </c>
      <c r="S193" s="201"/>
      <c r="T193" s="46">
        <f>N193</f>
        <v>1489843</v>
      </c>
      <c r="U193" s="46">
        <f t="shared" ref="U193:U199" si="117">T193</f>
        <v>1489843</v>
      </c>
    </row>
    <row r="194" spans="1:24" x14ac:dyDescent="0.25">
      <c r="A194" s="329"/>
      <c r="B194" s="69"/>
      <c r="C194" s="66" t="s">
        <v>106</v>
      </c>
      <c r="D194" s="69"/>
      <c r="E194" s="60">
        <f>SUM(E193:E193)</f>
        <v>299</v>
      </c>
      <c r="F194" s="60">
        <f>SUM(F193:F193)</f>
        <v>299</v>
      </c>
      <c r="G194" s="60">
        <f>SUM(G193:G193)</f>
        <v>299</v>
      </c>
      <c r="H194" s="60">
        <f>SUM(H193:H193)</f>
        <v>299</v>
      </c>
      <c r="I194" s="60">
        <f>SUM(I193:I193)</f>
        <v>299</v>
      </c>
      <c r="J194" s="74" t="s">
        <v>104</v>
      </c>
      <c r="K194" s="74" t="s">
        <v>104</v>
      </c>
      <c r="L194" s="74" t="s">
        <v>104</v>
      </c>
      <c r="M194" s="207">
        <f t="shared" ref="M194:R194" si="118">SUM(M193:M193)</f>
        <v>0</v>
      </c>
      <c r="N194" s="207">
        <f t="shared" si="118"/>
        <v>1489843</v>
      </c>
      <c r="O194" s="207">
        <f t="shared" si="118"/>
        <v>1489843</v>
      </c>
      <c r="P194" s="207">
        <f t="shared" si="118"/>
        <v>0</v>
      </c>
      <c r="Q194" s="207"/>
      <c r="R194" s="207">
        <f t="shared" si="118"/>
        <v>0</v>
      </c>
      <c r="S194" s="207"/>
      <c r="T194" s="207">
        <f>N194</f>
        <v>1489843</v>
      </c>
      <c r="U194" s="46">
        <f t="shared" si="117"/>
        <v>1489843</v>
      </c>
    </row>
    <row r="195" spans="1:24" x14ac:dyDescent="0.25">
      <c r="A195" s="329"/>
      <c r="B195" s="69" t="s">
        <v>312</v>
      </c>
      <c r="C195" s="66" t="s">
        <v>226</v>
      </c>
      <c r="D195" s="69"/>
      <c r="E195" s="60"/>
      <c r="F195" s="60"/>
      <c r="G195" s="60"/>
      <c r="H195" s="60"/>
      <c r="I195" s="60"/>
      <c r="J195" s="74"/>
      <c r="K195" s="74"/>
      <c r="L195" s="74"/>
      <c r="M195" s="207"/>
      <c r="N195" s="207">
        <f>P195</f>
        <v>39742</v>
      </c>
      <c r="O195" s="207"/>
      <c r="P195" s="207">
        <v>39742</v>
      </c>
      <c r="Q195" s="207"/>
      <c r="R195" s="207"/>
      <c r="S195" s="207"/>
      <c r="T195" s="207">
        <f>P195</f>
        <v>39742</v>
      </c>
      <c r="U195" s="207">
        <f t="shared" si="117"/>
        <v>39742</v>
      </c>
    </row>
    <row r="196" spans="1:24" x14ac:dyDescent="0.25">
      <c r="A196" s="329"/>
      <c r="B196" s="89" t="s">
        <v>225</v>
      </c>
      <c r="C196" s="184" t="s">
        <v>219</v>
      </c>
      <c r="D196" s="64" t="s">
        <v>101</v>
      </c>
      <c r="E196" s="60">
        <v>11</v>
      </c>
      <c r="F196" s="60">
        <v>11</v>
      </c>
      <c r="G196" s="60">
        <v>11</v>
      </c>
      <c r="H196" s="60">
        <v>11</v>
      </c>
      <c r="I196" s="60">
        <v>11</v>
      </c>
      <c r="J196" s="74"/>
      <c r="K196" s="74"/>
      <c r="L196" s="74"/>
      <c r="M196" s="207"/>
      <c r="N196" s="207">
        <f>S196</f>
        <v>1880332</v>
      </c>
      <c r="O196" s="207"/>
      <c r="P196" s="207"/>
      <c r="Q196" s="207"/>
      <c r="R196" s="207"/>
      <c r="S196" s="207">
        <v>1880332</v>
      </c>
      <c r="T196" s="207">
        <f>S196</f>
        <v>1880332</v>
      </c>
      <c r="U196" s="207">
        <f t="shared" si="117"/>
        <v>1880332</v>
      </c>
    </row>
    <row r="197" spans="1:24" x14ac:dyDescent="0.25">
      <c r="A197" s="329"/>
      <c r="B197" s="89" t="s">
        <v>225</v>
      </c>
      <c r="C197" s="184" t="s">
        <v>226</v>
      </c>
      <c r="D197" s="64" t="s">
        <v>101</v>
      </c>
      <c r="E197" s="60"/>
      <c r="F197" s="60"/>
      <c r="G197" s="60"/>
      <c r="H197" s="60"/>
      <c r="I197" s="60"/>
      <c r="J197" s="74"/>
      <c r="K197" s="74"/>
      <c r="L197" s="74"/>
      <c r="M197" s="207"/>
      <c r="N197" s="207">
        <f t="shared" ref="N197:N198" si="119">S197</f>
        <v>0</v>
      </c>
      <c r="O197" s="207"/>
      <c r="P197" s="207"/>
      <c r="Q197" s="207">
        <v>21109</v>
      </c>
      <c r="R197" s="207"/>
      <c r="S197" s="207"/>
      <c r="T197" s="207"/>
      <c r="U197" s="207"/>
    </row>
    <row r="198" spans="1:24" x14ac:dyDescent="0.25">
      <c r="A198" s="329"/>
      <c r="B198" s="89" t="s">
        <v>311</v>
      </c>
      <c r="C198" s="184" t="s">
        <v>219</v>
      </c>
      <c r="D198" s="64"/>
      <c r="E198" s="60"/>
      <c r="F198" s="60"/>
      <c r="G198" s="60"/>
      <c r="H198" s="60"/>
      <c r="I198" s="60"/>
      <c r="J198" s="74"/>
      <c r="K198" s="74"/>
      <c r="L198" s="74"/>
      <c r="M198" s="207"/>
      <c r="N198" s="207">
        <f t="shared" si="119"/>
        <v>183935</v>
      </c>
      <c r="O198" s="207"/>
      <c r="P198" s="207"/>
      <c r="Q198" s="207"/>
      <c r="R198" s="207"/>
      <c r="S198" s="207">
        <v>183935</v>
      </c>
      <c r="T198" s="207"/>
      <c r="U198" s="207"/>
    </row>
    <row r="199" spans="1:24" x14ac:dyDescent="0.25">
      <c r="A199" s="329"/>
      <c r="B199" s="89" t="s">
        <v>279</v>
      </c>
      <c r="C199" s="184" t="s">
        <v>226</v>
      </c>
      <c r="D199" s="64"/>
      <c r="E199" s="60"/>
      <c r="F199" s="60"/>
      <c r="G199" s="60"/>
      <c r="H199" s="60"/>
      <c r="I199" s="60"/>
      <c r="J199" s="74"/>
      <c r="K199" s="74"/>
      <c r="L199" s="74"/>
      <c r="M199" s="207"/>
      <c r="N199" s="207">
        <f>O199</f>
        <v>42495</v>
      </c>
      <c r="O199" s="207">
        <v>42495</v>
      </c>
      <c r="P199" s="207"/>
      <c r="Q199" s="207"/>
      <c r="R199" s="207"/>
      <c r="S199" s="207"/>
      <c r="T199" s="207">
        <f>O199</f>
        <v>42495</v>
      </c>
      <c r="U199" s="207">
        <f t="shared" si="117"/>
        <v>42495</v>
      </c>
    </row>
    <row r="200" spans="1:24" x14ac:dyDescent="0.25">
      <c r="A200" s="329"/>
      <c r="B200" s="101" t="s">
        <v>112</v>
      </c>
      <c r="C200" s="101"/>
      <c r="D200" s="69"/>
      <c r="E200" s="103"/>
      <c r="F200" s="103"/>
      <c r="G200" s="102">
        <f>86+116+15</f>
        <v>217</v>
      </c>
      <c r="H200" s="102">
        <f>86+116+15</f>
        <v>217</v>
      </c>
      <c r="I200" s="102">
        <f>86+116+15</f>
        <v>217</v>
      </c>
      <c r="J200" s="103"/>
      <c r="K200" s="103"/>
      <c r="L200" s="103"/>
      <c r="M200" s="138"/>
      <c r="N200" s="138">
        <f>SUM(O200:S200)</f>
        <v>18768281.315563079</v>
      </c>
      <c r="O200" s="138">
        <f>O179+O187+O192+O194+O199</f>
        <v>12040592</v>
      </c>
      <c r="P200" s="138">
        <f>P179+P187+P192+P194+P195+P196+P197</f>
        <v>2143435.9955630796</v>
      </c>
      <c r="Q200" s="138">
        <f t="shared" ref="Q200" si="120">Q179+Q187+Q192+Q194+Q195+Q196+Q197</f>
        <v>21109</v>
      </c>
      <c r="R200" s="138">
        <f>R179+R187+R192+R194+R195+R196+R197+R198</f>
        <v>2498877.3200000003</v>
      </c>
      <c r="S200" s="138">
        <f>S179+S187+S192+S194+S195+S196+S197+S198</f>
        <v>2064267</v>
      </c>
      <c r="T200" s="138">
        <f>T179+T187+T192+T194+T195+T196+T197+T198+T199</f>
        <v>18563237.315563079</v>
      </c>
      <c r="U200" s="138">
        <f>U179+U187+U192+U194+U195+U196+U197+U198+U199</f>
        <v>18563237.315563079</v>
      </c>
      <c r="V200" s="80">
        <v>2478960.91</v>
      </c>
      <c r="W200" s="85">
        <f>V200-R200</f>
        <v>-19916.410000000149</v>
      </c>
      <c r="X200" s="80">
        <f>W200/I200</f>
        <v>-91.780691244240316</v>
      </c>
    </row>
    <row r="201" spans="1:24" ht="27" customHeight="1" x14ac:dyDescent="0.25">
      <c r="B201" s="335" t="s">
        <v>232</v>
      </c>
      <c r="C201" s="336"/>
      <c r="D201" s="336"/>
      <c r="E201" s="336"/>
      <c r="F201" s="336"/>
      <c r="G201" s="336"/>
      <c r="H201" s="336"/>
      <c r="I201" s="336"/>
      <c r="J201" s="336"/>
      <c r="K201" s="336"/>
      <c r="L201" s="336"/>
      <c r="M201" s="337"/>
      <c r="N201" s="235">
        <f t="shared" ref="N201:U201" si="121">N200+N171+N136+N103+N73+N44</f>
        <v>211135671.86466947</v>
      </c>
      <c r="O201" s="235">
        <f t="shared" si="121"/>
        <v>136083500</v>
      </c>
      <c r="P201" s="235">
        <f t="shared" si="121"/>
        <v>31866402.004669458</v>
      </c>
      <c r="Q201" s="235">
        <f t="shared" si="121"/>
        <v>791968</v>
      </c>
      <c r="R201" s="235">
        <f t="shared" si="121"/>
        <v>28733801.859999999</v>
      </c>
      <c r="S201" s="235">
        <f t="shared" si="121"/>
        <v>13660000</v>
      </c>
      <c r="T201" s="235">
        <f>T200+T171+T136+T103+T73+T44</f>
        <v>209999701.86466947</v>
      </c>
      <c r="U201" s="235">
        <f t="shared" si="121"/>
        <v>209999701.86466947</v>
      </c>
      <c r="X201" s="70" t="s">
        <v>254</v>
      </c>
    </row>
    <row r="202" spans="1:24" x14ac:dyDescent="0.25">
      <c r="A202" s="80" t="s">
        <v>234</v>
      </c>
    </row>
    <row r="203" spans="1:24" x14ac:dyDescent="0.25">
      <c r="A203" s="80" t="s">
        <v>178</v>
      </c>
      <c r="O203" s="211"/>
      <c r="T203" s="211"/>
    </row>
    <row r="204" spans="1:24" x14ac:dyDescent="0.25">
      <c r="O204" s="211"/>
      <c r="T204" s="211"/>
      <c r="X204" s="80">
        <f>12601.84959-590.0704652-587.990779</f>
        <v>11423.7883458</v>
      </c>
    </row>
    <row r="205" spans="1:24" x14ac:dyDescent="0.25">
      <c r="O205" s="211"/>
      <c r="R205" s="211"/>
      <c r="S205" s="211"/>
      <c r="V205" s="85"/>
    </row>
    <row r="206" spans="1:24" x14ac:dyDescent="0.25">
      <c r="O206" s="211"/>
      <c r="P206" s="211"/>
    </row>
    <row r="207" spans="1:24" x14ac:dyDescent="0.25">
      <c r="R207" s="211"/>
    </row>
    <row r="208" spans="1:24" x14ac:dyDescent="0.25">
      <c r="R208" s="211"/>
    </row>
    <row r="209" spans="15:18" x14ac:dyDescent="0.25">
      <c r="O209" s="211"/>
      <c r="R209" s="211"/>
    </row>
    <row r="214" spans="15:18" x14ac:dyDescent="0.25">
      <c r="O214" s="211"/>
      <c r="P214" s="211"/>
      <c r="Q214" s="211"/>
    </row>
    <row r="215" spans="15:18" x14ac:dyDescent="0.25">
      <c r="O215" s="211"/>
      <c r="P215" s="211"/>
      <c r="Q215" s="211"/>
    </row>
    <row r="216" spans="15:18" x14ac:dyDescent="0.25">
      <c r="O216" s="211"/>
      <c r="P216" s="211"/>
      <c r="Q216" s="211"/>
    </row>
    <row r="219" spans="15:18" x14ac:dyDescent="0.25">
      <c r="O219" s="211"/>
    </row>
  </sheetData>
  <mergeCells count="32">
    <mergeCell ref="A8:C8"/>
    <mergeCell ref="A9:A10"/>
    <mergeCell ref="B9:B10"/>
    <mergeCell ref="D9:D10"/>
    <mergeCell ref="A7:U7"/>
    <mergeCell ref="E9:I9"/>
    <mergeCell ref="J9:M9"/>
    <mergeCell ref="N9:U9"/>
    <mergeCell ref="A12:A44"/>
    <mergeCell ref="B12:B23"/>
    <mergeCell ref="B24:B29"/>
    <mergeCell ref="A45:A73"/>
    <mergeCell ref="B45:B53"/>
    <mergeCell ref="B54:B59"/>
    <mergeCell ref="B61:B64"/>
    <mergeCell ref="B31:B35"/>
    <mergeCell ref="B201:M201"/>
    <mergeCell ref="A74:A103"/>
    <mergeCell ref="B74:B82"/>
    <mergeCell ref="B83:B88"/>
    <mergeCell ref="B90:B94"/>
    <mergeCell ref="A172:A200"/>
    <mergeCell ref="B172:B179"/>
    <mergeCell ref="B180:B182"/>
    <mergeCell ref="A104:A136"/>
    <mergeCell ref="B104:B114"/>
    <mergeCell ref="B115:B122"/>
    <mergeCell ref="B124:B127"/>
    <mergeCell ref="A137:A171"/>
    <mergeCell ref="B137:B147"/>
    <mergeCell ref="B148:B156"/>
    <mergeCell ref="B157:B162"/>
  </mergeCells>
  <pageMargins left="0.25" right="0.25" top="0.75" bottom="0.75" header="0.3" footer="0.3"/>
  <pageSetup paperSize="9" scale="4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88"/>
  <sheetViews>
    <sheetView zoomScale="60" zoomScaleNormal="60" workbookViewId="0">
      <pane xSplit="1" ySplit="13" topLeftCell="B14" activePane="bottomRight" state="frozen"/>
      <selection pane="topRight" activeCell="B1" sqref="B1"/>
      <selection pane="bottomLeft" activeCell="A12" sqref="A12"/>
      <selection pane="bottomRight" activeCell="A3" sqref="A3:V183"/>
    </sheetView>
  </sheetViews>
  <sheetFormatPr defaultColWidth="9.140625" defaultRowHeight="15" x14ac:dyDescent="0.25"/>
  <cols>
    <col min="1" max="1" width="30.7109375" style="80" customWidth="1"/>
    <col min="2" max="2" width="21.5703125" style="80" customWidth="1"/>
    <col min="3" max="3" width="23.7109375" style="80" customWidth="1"/>
    <col min="4" max="4" width="8.7109375" style="80" customWidth="1"/>
    <col min="5" max="5" width="17.5703125" style="80" hidden="1" customWidth="1"/>
    <col min="6" max="6" width="13.28515625" style="80" hidden="1" customWidth="1"/>
    <col min="7" max="7" width="14" style="204" customWidth="1"/>
    <col min="8" max="9" width="14.140625" style="204" customWidth="1"/>
    <col min="10" max="10" width="17.28515625" style="204" customWidth="1"/>
    <col min="11" max="11" width="17.140625" style="204" customWidth="1"/>
    <col min="12" max="12" width="13.85546875" style="204" customWidth="1"/>
    <col min="13" max="13" width="13.5703125" style="204" customWidth="1"/>
    <col min="14" max="14" width="16.7109375" style="204" customWidth="1"/>
    <col min="15" max="16" width="15.42578125" style="204" customWidth="1"/>
    <col min="17" max="18" width="14.7109375" style="204" customWidth="1"/>
    <col min="19" max="19" width="21.140625" style="204" customWidth="1"/>
    <col min="20" max="20" width="19.140625" style="204" customWidth="1"/>
    <col min="21" max="21" width="16.28515625" style="204" customWidth="1"/>
    <col min="22" max="22" width="16" style="204" customWidth="1"/>
    <col min="23" max="23" width="15.28515625" style="80" customWidth="1"/>
    <col min="24" max="24" width="13.5703125" style="80" customWidth="1"/>
    <col min="25" max="25" width="18.7109375" style="80" customWidth="1"/>
    <col min="26" max="16384" width="9.140625" style="80"/>
  </cols>
  <sheetData>
    <row r="1" spans="1:25" hidden="1" x14ac:dyDescent="0.25">
      <c r="T1" s="209" t="s">
        <v>203</v>
      </c>
    </row>
    <row r="2" spans="1:25" hidden="1" x14ac:dyDescent="0.25">
      <c r="T2" s="209" t="s">
        <v>204</v>
      </c>
    </row>
    <row r="3" spans="1:25" x14ac:dyDescent="0.25">
      <c r="T3" s="209" t="s">
        <v>326</v>
      </c>
    </row>
    <row r="4" spans="1:25" x14ac:dyDescent="0.25">
      <c r="T4" s="209" t="s">
        <v>336</v>
      </c>
    </row>
    <row r="5" spans="1:25" x14ac:dyDescent="0.25">
      <c r="T5" s="209" t="s">
        <v>175</v>
      </c>
    </row>
    <row r="6" spans="1:25" x14ac:dyDescent="0.25">
      <c r="T6" s="209" t="s">
        <v>332</v>
      </c>
    </row>
    <row r="7" spans="1:25" x14ac:dyDescent="0.25">
      <c r="A7" s="341" t="s">
        <v>282</v>
      </c>
      <c r="B7" s="341"/>
      <c r="C7" s="342"/>
      <c r="D7" s="341"/>
      <c r="E7" s="341"/>
      <c r="F7" s="342"/>
      <c r="G7" s="342"/>
      <c r="H7" s="341"/>
      <c r="I7" s="341"/>
      <c r="J7" s="341"/>
      <c r="K7" s="342"/>
      <c r="L7" s="341"/>
      <c r="M7" s="341"/>
      <c r="N7" s="341"/>
      <c r="O7" s="341"/>
      <c r="P7" s="342"/>
      <c r="Q7" s="342"/>
      <c r="R7" s="342"/>
      <c r="S7" s="342"/>
      <c r="T7" s="341"/>
      <c r="U7" s="341"/>
      <c r="V7" s="341"/>
    </row>
    <row r="8" spans="1:25" ht="18.75" x14ac:dyDescent="0.25">
      <c r="A8" s="279" t="s">
        <v>155</v>
      </c>
    </row>
    <row r="10" spans="1:25" ht="45" x14ac:dyDescent="0.25">
      <c r="A10" s="178" t="s">
        <v>3</v>
      </c>
      <c r="B10" s="198" t="s">
        <v>81</v>
      </c>
      <c r="C10" s="198" t="s">
        <v>152</v>
      </c>
      <c r="D10" s="198" t="s">
        <v>4</v>
      </c>
      <c r="E10" s="242" t="s">
        <v>5</v>
      </c>
      <c r="F10" s="134"/>
      <c r="G10" s="270"/>
      <c r="H10" s="270"/>
      <c r="I10" s="271"/>
      <c r="J10" s="343" t="s">
        <v>6</v>
      </c>
      <c r="K10" s="344"/>
      <c r="L10" s="344"/>
      <c r="M10" s="345"/>
      <c r="N10" s="298" t="s">
        <v>7</v>
      </c>
      <c r="O10" s="298"/>
      <c r="P10" s="298"/>
      <c r="Q10" s="298"/>
      <c r="R10" s="298"/>
      <c r="S10" s="298"/>
      <c r="T10" s="298"/>
      <c r="U10" s="298"/>
      <c r="V10" s="298"/>
    </row>
    <row r="11" spans="1:25" x14ac:dyDescent="0.25">
      <c r="A11" s="178"/>
      <c r="B11" s="198"/>
      <c r="C11" s="198"/>
      <c r="D11" s="198"/>
      <c r="E11" s="318"/>
      <c r="F11" s="319"/>
      <c r="G11" s="320"/>
      <c r="H11" s="266"/>
      <c r="I11" s="266"/>
      <c r="J11" s="267"/>
      <c r="K11" s="285"/>
      <c r="L11" s="285"/>
      <c r="M11" s="285"/>
      <c r="N11" s="343"/>
      <c r="O11" s="346"/>
      <c r="P11" s="346"/>
      <c r="Q11" s="346"/>
      <c r="R11" s="346"/>
      <c r="S11" s="346"/>
      <c r="T11" s="347"/>
      <c r="U11" s="288"/>
      <c r="V11" s="288"/>
    </row>
    <row r="12" spans="1:25" ht="82.5" customHeight="1" x14ac:dyDescent="0.25">
      <c r="A12" s="82"/>
      <c r="B12" s="82"/>
      <c r="C12" s="82"/>
      <c r="D12" s="82"/>
      <c r="E12" s="239" t="s">
        <v>183</v>
      </c>
      <c r="F12" s="185" t="s">
        <v>287</v>
      </c>
      <c r="G12" s="272" t="s">
        <v>284</v>
      </c>
      <c r="H12" s="268" t="s">
        <v>205</v>
      </c>
      <c r="I12" s="268" t="s">
        <v>283</v>
      </c>
      <c r="J12" s="267" t="s">
        <v>79</v>
      </c>
      <c r="K12" s="285" t="s">
        <v>224</v>
      </c>
      <c r="L12" s="285" t="s">
        <v>11</v>
      </c>
      <c r="M12" s="286" t="s">
        <v>12</v>
      </c>
      <c r="N12" s="348" t="s">
        <v>183</v>
      </c>
      <c r="O12" s="348"/>
      <c r="P12" s="348"/>
      <c r="Q12" s="348"/>
      <c r="R12" s="348"/>
      <c r="S12" s="348"/>
      <c r="T12" s="348"/>
      <c r="U12" s="289" t="s">
        <v>211</v>
      </c>
      <c r="V12" s="289" t="s">
        <v>283</v>
      </c>
    </row>
    <row r="13" spans="1:25" ht="81" customHeight="1" x14ac:dyDescent="0.25">
      <c r="A13" s="83" t="s">
        <v>13</v>
      </c>
      <c r="B13" s="83" t="s">
        <v>14</v>
      </c>
      <c r="C13" s="83"/>
      <c r="D13" s="198" t="s">
        <v>15</v>
      </c>
      <c r="E13" s="83" t="s">
        <v>16</v>
      </c>
      <c r="F13" s="83" t="s">
        <v>16</v>
      </c>
      <c r="G13" s="42" t="s">
        <v>16</v>
      </c>
      <c r="H13" s="42" t="s">
        <v>16</v>
      </c>
      <c r="I13" s="42" t="s">
        <v>16</v>
      </c>
      <c r="J13" s="267" t="s">
        <v>17</v>
      </c>
      <c r="K13" s="285" t="s">
        <v>17</v>
      </c>
      <c r="L13" s="285" t="s">
        <v>17</v>
      </c>
      <c r="M13" s="285" t="s">
        <v>17</v>
      </c>
      <c r="N13" s="288" t="s">
        <v>85</v>
      </c>
      <c r="O13" s="288" t="s">
        <v>83</v>
      </c>
      <c r="P13" s="47" t="s">
        <v>228</v>
      </c>
      <c r="Q13" s="288" t="s">
        <v>84</v>
      </c>
      <c r="R13" s="47" t="s">
        <v>227</v>
      </c>
      <c r="S13" s="47" t="s">
        <v>255</v>
      </c>
      <c r="T13" s="288" t="s">
        <v>12</v>
      </c>
      <c r="U13" s="288" t="s">
        <v>17</v>
      </c>
      <c r="V13" s="288" t="s">
        <v>17</v>
      </c>
      <c r="W13" s="85"/>
    </row>
    <row r="14" spans="1:25" ht="21.6" customHeight="1" x14ac:dyDescent="0.25">
      <c r="A14" s="189" t="s">
        <v>18</v>
      </c>
      <c r="B14" s="82"/>
      <c r="C14" s="82"/>
      <c r="D14" s="82"/>
      <c r="E14" s="72"/>
      <c r="F14" s="72"/>
      <c r="G14" s="206"/>
      <c r="H14" s="206"/>
      <c r="I14" s="206"/>
      <c r="J14" s="46"/>
      <c r="K14" s="46"/>
      <c r="L14" s="46"/>
      <c r="M14" s="273"/>
      <c r="N14" s="234">
        <f>N15+N23</f>
        <v>6255659</v>
      </c>
      <c r="O14" s="234">
        <f>O15+O23</f>
        <v>2581995.0026960801</v>
      </c>
      <c r="P14" s="234">
        <f>P15</f>
        <v>831158</v>
      </c>
      <c r="Q14" s="234">
        <f>Q15+Q23+Q22</f>
        <v>3599069.52996</v>
      </c>
      <c r="R14" s="234">
        <f>R15</f>
        <v>2298049</v>
      </c>
      <c r="S14" s="234">
        <f>S24</f>
        <v>1504511.8</v>
      </c>
      <c r="T14" s="234">
        <f>T15+T23+T24</f>
        <v>17070442.332656078</v>
      </c>
      <c r="U14" s="234">
        <f>U15+U23+U24</f>
        <v>16756218.832656082</v>
      </c>
      <c r="V14" s="234">
        <f>V15+V23+V24</f>
        <v>16756218.832656082</v>
      </c>
      <c r="W14" s="80">
        <v>3509240.57</v>
      </c>
      <c r="X14" s="85">
        <f>W14-Q14</f>
        <v>-89828.959960000124</v>
      </c>
      <c r="Y14" s="80">
        <f>X14/I23</f>
        <v>-761.2623725423739</v>
      </c>
    </row>
    <row r="15" spans="1:25" ht="85.5" customHeight="1" x14ac:dyDescent="0.25">
      <c r="A15" s="194" t="s">
        <v>249</v>
      </c>
      <c r="B15" s="84" t="s">
        <v>76</v>
      </c>
      <c r="C15" s="84"/>
      <c r="D15" s="82"/>
      <c r="E15" s="72"/>
      <c r="F15" s="72"/>
      <c r="G15" s="206"/>
      <c r="H15" s="206"/>
      <c r="I15" s="206"/>
      <c r="J15" s="46"/>
      <c r="K15" s="46"/>
      <c r="L15" s="46"/>
      <c r="M15" s="46"/>
      <c r="N15" s="46">
        <f>N16+N17+N19+N18</f>
        <v>6255659</v>
      </c>
      <c r="O15" s="46">
        <f>O16+O17+O19+O18+O26+O25</f>
        <v>2581995.0026960801</v>
      </c>
      <c r="P15" s="46">
        <f>P21</f>
        <v>831158</v>
      </c>
      <c r="Q15" s="46">
        <f>Q16+Q17+Q18+Q19</f>
        <v>2397948.33</v>
      </c>
      <c r="R15" s="46">
        <f>R20+R22</f>
        <v>2298049</v>
      </c>
      <c r="S15" s="46"/>
      <c r="T15" s="46">
        <f>T16+T17+T19+T18+T20+T21+T26+T22+T25</f>
        <v>14364809.332696078</v>
      </c>
      <c r="U15" s="46">
        <f>U16+U17+U19+U18+U20+U21+U26+U22+U25</f>
        <v>14050585.83269608</v>
      </c>
      <c r="V15" s="46">
        <f>V16+V17+V19+V18+V20+V21+V26+V22+V25</f>
        <v>14050585.83269608</v>
      </c>
      <c r="W15" s="85">
        <f>T15-U15</f>
        <v>314223.49999999814</v>
      </c>
      <c r="X15" s="85"/>
    </row>
    <row r="16" spans="1:25" ht="15.75" customHeight="1" x14ac:dyDescent="0.25">
      <c r="A16" s="83"/>
      <c r="B16" s="97" t="s">
        <v>292</v>
      </c>
      <c r="C16" s="339" t="s">
        <v>295</v>
      </c>
      <c r="D16" s="86" t="s">
        <v>20</v>
      </c>
      <c r="E16" s="243">
        <v>20</v>
      </c>
      <c r="F16" s="243">
        <v>20</v>
      </c>
      <c r="G16" s="232">
        <v>19</v>
      </c>
      <c r="H16" s="232">
        <v>19</v>
      </c>
      <c r="I16" s="232">
        <v>19</v>
      </c>
      <c r="J16" s="46">
        <v>49378.38</v>
      </c>
      <c r="K16" s="46">
        <f>12142.68*1.802017</f>
        <v>21881.31578556</v>
      </c>
      <c r="L16" s="46">
        <v>20321.599999999999</v>
      </c>
      <c r="M16" s="46">
        <f>J16+K16+L16</f>
        <v>91581.295785560011</v>
      </c>
      <c r="N16" s="46">
        <f>G16*J16-0.22</f>
        <v>938189</v>
      </c>
      <c r="O16" s="46">
        <f>G16*K16</f>
        <v>415744.99992564</v>
      </c>
      <c r="P16" s="46"/>
      <c r="Q16" s="46">
        <f>G16*L16</f>
        <v>386110.39999999997</v>
      </c>
      <c r="R16" s="46"/>
      <c r="S16" s="46">
        <v>0</v>
      </c>
      <c r="T16" s="46">
        <f>SUM(N16:Q16)</f>
        <v>1740044.3999256399</v>
      </c>
      <c r="U16" s="46">
        <f>T16</f>
        <v>1740044.3999256399</v>
      </c>
      <c r="V16" s="46">
        <f>U16</f>
        <v>1740044.3999256399</v>
      </c>
      <c r="X16" s="85"/>
    </row>
    <row r="17" spans="1:25" ht="15.75" customHeight="1" x14ac:dyDescent="0.25">
      <c r="A17" s="88"/>
      <c r="B17" s="97" t="s">
        <v>290</v>
      </c>
      <c r="C17" s="351"/>
      <c r="D17" s="199" t="s">
        <v>20</v>
      </c>
      <c r="E17" s="243">
        <v>61</v>
      </c>
      <c r="F17" s="243">
        <v>61</v>
      </c>
      <c r="G17" s="232">
        <v>60</v>
      </c>
      <c r="H17" s="232">
        <v>60</v>
      </c>
      <c r="I17" s="232">
        <v>60</v>
      </c>
      <c r="J17" s="46">
        <v>39098.57</v>
      </c>
      <c r="K17" s="46">
        <f>12142.68*1.802017</f>
        <v>21881.31578556</v>
      </c>
      <c r="L17" s="46">
        <v>20321.599999999999</v>
      </c>
      <c r="M17" s="46">
        <f t="shared" ref="M17:M82" si="0">J17+K17+L17</f>
        <v>81301.485785559998</v>
      </c>
      <c r="N17" s="46">
        <f>G17*J17-0.2</f>
        <v>2345914</v>
      </c>
      <c r="O17" s="46">
        <f>G17*K17+0.05</f>
        <v>1312878.9971336001</v>
      </c>
      <c r="P17" s="46"/>
      <c r="Q17" s="46">
        <f>G17*L17</f>
        <v>1219296</v>
      </c>
      <c r="R17" s="46"/>
      <c r="S17" s="46">
        <v>0</v>
      </c>
      <c r="T17" s="46">
        <f>SUM(N17:Q17)</f>
        <v>4878088.9971335996</v>
      </c>
      <c r="U17" s="46">
        <f>H17*M17</f>
        <v>4878089.1471336</v>
      </c>
      <c r="V17" s="46">
        <f>I17*M17</f>
        <v>4878089.1471336</v>
      </c>
      <c r="X17" s="85"/>
    </row>
    <row r="18" spans="1:25" ht="120" customHeight="1" x14ac:dyDescent="0.25">
      <c r="A18" s="88"/>
      <c r="B18" s="93" t="s">
        <v>289</v>
      </c>
      <c r="C18" s="340"/>
      <c r="D18" s="199" t="s">
        <v>20</v>
      </c>
      <c r="E18" s="243">
        <v>22</v>
      </c>
      <c r="F18" s="243">
        <v>22</v>
      </c>
      <c r="G18" s="232">
        <v>22</v>
      </c>
      <c r="H18" s="232">
        <v>22</v>
      </c>
      <c r="I18" s="232">
        <v>22</v>
      </c>
      <c r="J18" s="274">
        <v>77037.7</v>
      </c>
      <c r="K18" s="46">
        <f>12142.68*1.802017</f>
        <v>21881.31578556</v>
      </c>
      <c r="L18" s="46">
        <v>20321.599999999999</v>
      </c>
      <c r="M18" s="46">
        <f t="shared" si="0"/>
        <v>119240.61578555999</v>
      </c>
      <c r="N18" s="46">
        <f>G18*J18+0.6</f>
        <v>1694830</v>
      </c>
      <c r="O18" s="46">
        <f>G18*K18+0.05</f>
        <v>481388.99728231999</v>
      </c>
      <c r="P18" s="46"/>
      <c r="Q18" s="46">
        <f>G18*L18</f>
        <v>447075.19999999995</v>
      </c>
      <c r="R18" s="46"/>
      <c r="S18" s="46">
        <v>0</v>
      </c>
      <c r="T18" s="46">
        <f>SUM(N18:Q18)</f>
        <v>2623294.1972823199</v>
      </c>
      <c r="U18" s="46">
        <f>H18*M18</f>
        <v>2623293.5472823195</v>
      </c>
      <c r="V18" s="46">
        <f>I18*M18</f>
        <v>2623293.5472823195</v>
      </c>
      <c r="X18" s="85"/>
    </row>
    <row r="19" spans="1:25" ht="138.75" customHeight="1" x14ac:dyDescent="0.25">
      <c r="A19" s="88"/>
      <c r="B19" s="97" t="s">
        <v>290</v>
      </c>
      <c r="C19" s="93" t="s">
        <v>294</v>
      </c>
      <c r="D19" s="199" t="s">
        <v>20</v>
      </c>
      <c r="E19" s="243">
        <v>17</v>
      </c>
      <c r="F19" s="243">
        <v>17</v>
      </c>
      <c r="G19" s="232">
        <v>17</v>
      </c>
      <c r="H19" s="232">
        <v>17</v>
      </c>
      <c r="I19" s="232">
        <v>17</v>
      </c>
      <c r="J19" s="275">
        <v>75101.539999999994</v>
      </c>
      <c r="K19" s="46">
        <f>12142.68*1.802017</f>
        <v>21881.31578556</v>
      </c>
      <c r="L19" s="46">
        <v>20321.599999999999</v>
      </c>
      <c r="M19" s="46">
        <f t="shared" si="0"/>
        <v>117304.45578555999</v>
      </c>
      <c r="N19" s="46">
        <f>G19*J19-0.18</f>
        <v>1276726</v>
      </c>
      <c r="O19" s="46">
        <f>G19*K19-0.37+0.01</f>
        <v>371982.00835452002</v>
      </c>
      <c r="P19" s="46"/>
      <c r="Q19" s="46">
        <f>G19*L19-0.47</f>
        <v>345466.73</v>
      </c>
      <c r="R19" s="46"/>
      <c r="S19" s="46">
        <v>0</v>
      </c>
      <c r="T19" s="46">
        <f t="shared" ref="T19:T165" si="1">SUM(N19:Q19)</f>
        <v>1994174.7383545199</v>
      </c>
      <c r="U19" s="46">
        <f>T19</f>
        <v>1994174.7383545199</v>
      </c>
      <c r="V19" s="46">
        <f>U19</f>
        <v>1994174.7383545199</v>
      </c>
      <c r="X19" s="85"/>
    </row>
    <row r="20" spans="1:25" s="204" customFormat="1" x14ac:dyDescent="0.25">
      <c r="A20" s="50"/>
      <c r="B20" s="245" t="s">
        <v>225</v>
      </c>
      <c r="C20" s="231" t="s">
        <v>219</v>
      </c>
      <c r="D20" s="49" t="s">
        <v>20</v>
      </c>
      <c r="E20" s="250">
        <v>12</v>
      </c>
      <c r="F20" s="250">
        <v>12</v>
      </c>
      <c r="G20" s="232">
        <v>12</v>
      </c>
      <c r="H20" s="232">
        <v>12</v>
      </c>
      <c r="I20" s="232">
        <v>12</v>
      </c>
      <c r="J20" s="46">
        <v>0</v>
      </c>
      <c r="K20" s="46"/>
      <c r="L20" s="46">
        <v>0</v>
      </c>
      <c r="M20" s="46">
        <f t="shared" si="0"/>
        <v>0</v>
      </c>
      <c r="N20" s="251"/>
      <c r="O20" s="46"/>
      <c r="P20" s="46"/>
      <c r="Q20" s="46"/>
      <c r="R20" s="46">
        <v>2097393</v>
      </c>
      <c r="S20" s="46"/>
      <c r="T20" s="46">
        <f>R20</f>
        <v>2097393</v>
      </c>
      <c r="U20" s="46">
        <f>R20</f>
        <v>2097393</v>
      </c>
      <c r="V20" s="46">
        <f>R20</f>
        <v>2097393</v>
      </c>
    </row>
    <row r="21" spans="1:25" s="204" customFormat="1" x14ac:dyDescent="0.25">
      <c r="A21" s="50"/>
      <c r="B21" s="245" t="s">
        <v>225</v>
      </c>
      <c r="C21" s="231" t="s">
        <v>226</v>
      </c>
      <c r="D21" s="49" t="s">
        <v>20</v>
      </c>
      <c r="E21" s="243">
        <v>7</v>
      </c>
      <c r="F21" s="243">
        <v>7</v>
      </c>
      <c r="G21" s="232">
        <v>7</v>
      </c>
      <c r="H21" s="232">
        <v>7</v>
      </c>
      <c r="I21" s="232">
        <v>7</v>
      </c>
      <c r="J21" s="46">
        <v>0</v>
      </c>
      <c r="K21" s="46"/>
      <c r="L21" s="46">
        <v>0</v>
      </c>
      <c r="M21" s="46">
        <f t="shared" si="0"/>
        <v>0</v>
      </c>
      <c r="N21" s="251"/>
      <c r="O21" s="46"/>
      <c r="P21" s="46">
        <f>717591+113567</f>
        <v>831158</v>
      </c>
      <c r="Q21" s="46"/>
      <c r="R21" s="46"/>
      <c r="S21" s="46"/>
      <c r="T21" s="46">
        <f>N21+O21+P21+Q21</f>
        <v>831158</v>
      </c>
      <c r="U21" s="46">
        <f>N21+O21+P21+Q21-113567</f>
        <v>717591</v>
      </c>
      <c r="V21" s="46">
        <f>U21</f>
        <v>717591</v>
      </c>
    </row>
    <row r="22" spans="1:25" s="204" customFormat="1" ht="28.5" x14ac:dyDescent="0.25">
      <c r="A22" s="50"/>
      <c r="B22" s="84" t="s">
        <v>311</v>
      </c>
      <c r="C22" s="231" t="s">
        <v>219</v>
      </c>
      <c r="D22" s="49" t="s">
        <v>20</v>
      </c>
      <c r="E22" s="232"/>
      <c r="F22" s="232"/>
      <c r="G22" s="232">
        <v>12</v>
      </c>
      <c r="H22" s="232">
        <v>12</v>
      </c>
      <c r="I22" s="232">
        <v>12</v>
      </c>
      <c r="J22" s="46">
        <v>0</v>
      </c>
      <c r="K22" s="46"/>
      <c r="L22" s="46">
        <v>0</v>
      </c>
      <c r="M22" s="46">
        <f t="shared" si="0"/>
        <v>0</v>
      </c>
      <c r="N22" s="251"/>
      <c r="O22" s="46"/>
      <c r="P22" s="251"/>
      <c r="Q22" s="46"/>
      <c r="R22" s="46">
        <v>200656</v>
      </c>
      <c r="S22" s="46"/>
      <c r="T22" s="46">
        <f>R22</f>
        <v>200656</v>
      </c>
      <c r="U22" s="46"/>
      <c r="V22" s="46"/>
    </row>
    <row r="23" spans="1:25" ht="63" customHeight="1" x14ac:dyDescent="0.25">
      <c r="A23" s="194" t="s">
        <v>250</v>
      </c>
      <c r="B23" s="127" t="s">
        <v>28</v>
      </c>
      <c r="C23" s="127" t="s">
        <v>219</v>
      </c>
      <c r="D23" s="82"/>
      <c r="E23" s="243">
        <f>E19+E18+E17+E16</f>
        <v>120</v>
      </c>
      <c r="F23" s="243">
        <f>F19+F18+F17+F16</f>
        <v>120</v>
      </c>
      <c r="G23" s="232">
        <f>G19+G18+G17+G16</f>
        <v>118</v>
      </c>
      <c r="H23" s="232">
        <f>H19+H18+H17+H16</f>
        <v>118</v>
      </c>
      <c r="I23" s="232">
        <f>I19+I18+I17+I16</f>
        <v>118</v>
      </c>
      <c r="J23" s="46">
        <v>0</v>
      </c>
      <c r="K23" s="46"/>
      <c r="L23" s="46">
        <v>10178.99322</v>
      </c>
      <c r="M23" s="46">
        <f>J23+K23+L23</f>
        <v>10178.99322</v>
      </c>
      <c r="N23" s="251">
        <f t="shared" ref="N23" si="2">E23*J23</f>
        <v>0</v>
      </c>
      <c r="O23" s="46"/>
      <c r="P23" s="46"/>
      <c r="Q23" s="46">
        <f>G23*L23</f>
        <v>1201121.1999600001</v>
      </c>
      <c r="R23" s="46"/>
      <c r="S23" s="46">
        <v>0</v>
      </c>
      <c r="T23" s="46">
        <f>SUM(N23:Q23)</f>
        <v>1201121.1999600001</v>
      </c>
      <c r="U23" s="46">
        <f>T23</f>
        <v>1201121.1999600001</v>
      </c>
      <c r="V23" s="46">
        <f>U23</f>
        <v>1201121.1999600001</v>
      </c>
    </row>
    <row r="24" spans="1:25" ht="17.25" customHeight="1" x14ac:dyDescent="0.25">
      <c r="A24" s="188"/>
      <c r="B24" s="127" t="s">
        <v>28</v>
      </c>
      <c r="C24" s="127" t="s">
        <v>220</v>
      </c>
      <c r="D24" s="82"/>
      <c r="E24" s="87"/>
      <c r="F24" s="87"/>
      <c r="G24" s="232">
        <v>118</v>
      </c>
      <c r="H24" s="232">
        <v>118</v>
      </c>
      <c r="I24" s="232">
        <v>118</v>
      </c>
      <c r="J24" s="46"/>
      <c r="K24" s="46"/>
      <c r="L24" s="46">
        <v>12750.1</v>
      </c>
      <c r="M24" s="46">
        <f>J24+K24+L24</f>
        <v>12750.1</v>
      </c>
      <c r="N24" s="251"/>
      <c r="O24" s="46"/>
      <c r="P24" s="46"/>
      <c r="Q24" s="46"/>
      <c r="R24" s="46"/>
      <c r="S24" s="46">
        <f>G23*L24</f>
        <v>1504511.8</v>
      </c>
      <c r="T24" s="46">
        <f>S24</f>
        <v>1504511.8</v>
      </c>
      <c r="U24" s="46">
        <f>S24</f>
        <v>1504511.8</v>
      </c>
      <c r="V24" s="46">
        <f>S24</f>
        <v>1504511.8</v>
      </c>
    </row>
    <row r="25" spans="1:25" s="204" customFormat="1" x14ac:dyDescent="0.25">
      <c r="A25" s="50"/>
      <c r="B25" s="245"/>
      <c r="C25" s="231" t="s">
        <v>226</v>
      </c>
      <c r="D25" s="45"/>
      <c r="E25" s="232"/>
      <c r="F25" s="232"/>
      <c r="G25" s="232"/>
      <c r="H25" s="232"/>
      <c r="I25" s="232"/>
      <c r="J25" s="46"/>
      <c r="K25" s="46"/>
      <c r="L25" s="46"/>
      <c r="M25" s="46">
        <f t="shared" si="0"/>
        <v>0</v>
      </c>
      <c r="N25" s="251"/>
      <c r="O25" s="46"/>
      <c r="P25" s="251"/>
      <c r="Q25" s="46"/>
      <c r="R25" s="46"/>
      <c r="S25" s="46"/>
      <c r="T25" s="46">
        <f>O25</f>
        <v>0</v>
      </c>
      <c r="U25" s="46">
        <f t="shared" ref="U25:V26" si="3">T25</f>
        <v>0</v>
      </c>
      <c r="V25" s="46">
        <f t="shared" si="3"/>
        <v>0</v>
      </c>
    </row>
    <row r="26" spans="1:25" x14ac:dyDescent="0.25">
      <c r="A26" s="213"/>
      <c r="B26" s="184"/>
      <c r="C26" s="127"/>
      <c r="D26" s="82"/>
      <c r="E26" s="87"/>
      <c r="F26" s="87"/>
      <c r="G26" s="232"/>
      <c r="H26" s="232"/>
      <c r="I26" s="232"/>
      <c r="J26" s="46"/>
      <c r="K26" s="46"/>
      <c r="L26" s="46"/>
      <c r="M26" s="46">
        <f t="shared" si="0"/>
        <v>0</v>
      </c>
      <c r="N26" s="251"/>
      <c r="O26" s="46"/>
      <c r="P26" s="251"/>
      <c r="Q26" s="46"/>
      <c r="R26" s="46"/>
      <c r="S26" s="46"/>
      <c r="T26" s="46">
        <f>O26</f>
        <v>0</v>
      </c>
      <c r="U26" s="46">
        <f t="shared" si="3"/>
        <v>0</v>
      </c>
      <c r="V26" s="46">
        <f t="shared" si="3"/>
        <v>0</v>
      </c>
    </row>
    <row r="27" spans="1:25" x14ac:dyDescent="0.25">
      <c r="A27" s="89" t="s">
        <v>29</v>
      </c>
      <c r="B27" s="199"/>
      <c r="C27" s="127"/>
      <c r="D27" s="82"/>
      <c r="E27" s="87"/>
      <c r="F27" s="87"/>
      <c r="G27" s="232"/>
      <c r="H27" s="232"/>
      <c r="I27" s="232"/>
      <c r="J27" s="46"/>
      <c r="K27" s="46"/>
      <c r="L27" s="273"/>
      <c r="M27" s="46">
        <f t="shared" si="0"/>
        <v>0</v>
      </c>
      <c r="N27" s="234">
        <f>N28+N34</f>
        <v>2274393</v>
      </c>
      <c r="O27" s="234">
        <f>O28</f>
        <v>700201.99513792002</v>
      </c>
      <c r="P27" s="234">
        <f>P28</f>
        <v>682945</v>
      </c>
      <c r="Q27" s="234">
        <f>Q28+Q32+Q34</f>
        <v>959751.53</v>
      </c>
      <c r="R27" s="234">
        <f>R28</f>
        <v>1638896</v>
      </c>
      <c r="S27" s="234">
        <f>S35</f>
        <v>408003.2</v>
      </c>
      <c r="T27" s="234">
        <f>T28+T34+T35</f>
        <v>6664190.7251379201</v>
      </c>
      <c r="U27" s="234">
        <f>U28+U34+U35</f>
        <v>6530420.7251379201</v>
      </c>
      <c r="V27" s="234">
        <f>V28+V34+V35</f>
        <v>6530420.7251379201</v>
      </c>
      <c r="W27" s="80">
        <v>1997534.91</v>
      </c>
      <c r="X27" s="85">
        <f>W27-Q27</f>
        <v>1037783.3799999999</v>
      </c>
      <c r="Y27" s="80">
        <f>X27/I34</f>
        <v>32430.730624999997</v>
      </c>
    </row>
    <row r="28" spans="1:25" ht="86.25" customHeight="1" x14ac:dyDescent="0.25">
      <c r="A28" s="194" t="s">
        <v>249</v>
      </c>
      <c r="B28" s="84" t="s">
        <v>76</v>
      </c>
      <c r="C28" s="128"/>
      <c r="D28" s="82"/>
      <c r="E28" s="68"/>
      <c r="F28" s="68"/>
      <c r="G28" s="276"/>
      <c r="H28" s="276"/>
      <c r="I28" s="276"/>
      <c r="J28" s="46"/>
      <c r="K28" s="46"/>
      <c r="L28" s="46"/>
      <c r="M28" s="46">
        <f t="shared" si="0"/>
        <v>0</v>
      </c>
      <c r="N28" s="251">
        <f>SUM(N29:N37)</f>
        <v>2274393</v>
      </c>
      <c r="O28" s="46">
        <f>O29+O34+O33+O37</f>
        <v>700201.99513792002</v>
      </c>
      <c r="P28" s="251">
        <f>P31</f>
        <v>682945</v>
      </c>
      <c r="Q28" s="46">
        <f>Q29</f>
        <v>650291.19999999995</v>
      </c>
      <c r="R28" s="46">
        <f>R30+R32</f>
        <v>1638896</v>
      </c>
      <c r="S28" s="46"/>
      <c r="T28" s="46">
        <f>T29+T31+T30+T36+T37+T32+T33</f>
        <v>5946727.1951379199</v>
      </c>
      <c r="U28" s="46">
        <f>U29+U31+U30+U36+U37+U32+U33</f>
        <v>5812957.1951379199</v>
      </c>
      <c r="V28" s="46">
        <f>V29+V31+V30+V36+V37+V32+V33</f>
        <v>5812957.1951379199</v>
      </c>
      <c r="W28" s="85">
        <f>T28-U28</f>
        <v>133770</v>
      </c>
    </row>
    <row r="29" spans="1:25" ht="105.75" customHeight="1" x14ac:dyDescent="0.25">
      <c r="A29" s="83"/>
      <c r="B29" s="244" t="s">
        <v>291</v>
      </c>
      <c r="C29" s="290" t="s">
        <v>293</v>
      </c>
      <c r="D29" s="291" t="s">
        <v>31</v>
      </c>
      <c r="E29" s="292">
        <v>3</v>
      </c>
      <c r="F29" s="292">
        <v>3</v>
      </c>
      <c r="G29" s="292">
        <v>32</v>
      </c>
      <c r="H29" s="292">
        <v>32</v>
      </c>
      <c r="I29" s="292">
        <v>32</v>
      </c>
      <c r="J29" s="293">
        <v>758131.11</v>
      </c>
      <c r="K29" s="170">
        <f>12142.68*1.802017</f>
        <v>21881.31578556</v>
      </c>
      <c r="L29" s="170">
        <v>20321.599999999999</v>
      </c>
      <c r="M29" s="170">
        <f t="shared" si="0"/>
        <v>800334.0257855599</v>
      </c>
      <c r="N29" s="46">
        <f>3*J29-0.33</f>
        <v>2274393</v>
      </c>
      <c r="O29" s="46">
        <f>G29*K29-0.11</f>
        <v>700201.99513792002</v>
      </c>
      <c r="P29" s="251"/>
      <c r="Q29" s="46">
        <f>G29*L29</f>
        <v>650291.19999999995</v>
      </c>
      <c r="R29" s="46"/>
      <c r="S29" s="46"/>
      <c r="T29" s="46">
        <f>SUM(N29:Q29)</f>
        <v>3624886.1951379199</v>
      </c>
      <c r="U29" s="46">
        <f>T29</f>
        <v>3624886.1951379199</v>
      </c>
      <c r="V29" s="46">
        <f>U29</f>
        <v>3624886.1951379199</v>
      </c>
    </row>
    <row r="30" spans="1:25" s="204" customFormat="1" x14ac:dyDescent="0.25">
      <c r="A30" s="50"/>
      <c r="B30" s="245" t="s">
        <v>225</v>
      </c>
      <c r="C30" s="231" t="s">
        <v>219</v>
      </c>
      <c r="D30" s="49" t="s">
        <v>20</v>
      </c>
      <c r="E30" s="250">
        <v>9</v>
      </c>
      <c r="F30" s="250">
        <v>9</v>
      </c>
      <c r="G30" s="232">
        <v>9</v>
      </c>
      <c r="H30" s="232">
        <v>9</v>
      </c>
      <c r="I30" s="232">
        <v>9</v>
      </c>
      <c r="J30" s="46"/>
      <c r="K30" s="46"/>
      <c r="L30" s="46"/>
      <c r="M30" s="46">
        <v>0</v>
      </c>
      <c r="N30" s="251"/>
      <c r="O30" s="46"/>
      <c r="P30" s="251"/>
      <c r="Q30" s="46"/>
      <c r="R30" s="46">
        <v>1505126</v>
      </c>
      <c r="S30" s="46"/>
      <c r="T30" s="46">
        <f>R30</f>
        <v>1505126</v>
      </c>
      <c r="U30" s="46">
        <f>R30</f>
        <v>1505126</v>
      </c>
      <c r="V30" s="46">
        <f>R30</f>
        <v>1505126</v>
      </c>
    </row>
    <row r="31" spans="1:25" s="204" customFormat="1" x14ac:dyDescent="0.25">
      <c r="A31" s="50"/>
      <c r="B31" s="245" t="s">
        <v>225</v>
      </c>
      <c r="C31" s="231" t="s">
        <v>226</v>
      </c>
      <c r="D31" s="49" t="s">
        <v>20</v>
      </c>
      <c r="E31" s="243">
        <v>4</v>
      </c>
      <c r="F31" s="243">
        <v>4</v>
      </c>
      <c r="G31" s="232">
        <v>4</v>
      </c>
      <c r="H31" s="232">
        <v>4</v>
      </c>
      <c r="I31" s="232">
        <v>4</v>
      </c>
      <c r="J31" s="46"/>
      <c r="K31" s="46"/>
      <c r="L31" s="46"/>
      <c r="M31" s="46">
        <v>0</v>
      </c>
      <c r="N31" s="251"/>
      <c r="O31" s="46"/>
      <c r="P31" s="251">
        <v>682945</v>
      </c>
      <c r="Q31" s="46"/>
      <c r="R31" s="46"/>
      <c r="S31" s="46"/>
      <c r="T31" s="46">
        <f>N31+O31+P31+Q31</f>
        <v>682945</v>
      </c>
      <c r="U31" s="46">
        <f>N31+O31+P31+Q31</f>
        <v>682945</v>
      </c>
      <c r="V31" s="46">
        <f>N31+O31+P31+Q31</f>
        <v>682945</v>
      </c>
    </row>
    <row r="32" spans="1:25" s="204" customFormat="1" ht="28.5" x14ac:dyDescent="0.25">
      <c r="A32" s="50"/>
      <c r="B32" s="84" t="s">
        <v>311</v>
      </c>
      <c r="C32" s="231" t="s">
        <v>219</v>
      </c>
      <c r="D32" s="50"/>
      <c r="E32" s="232"/>
      <c r="F32" s="232"/>
      <c r="G32" s="232">
        <v>9</v>
      </c>
      <c r="H32" s="232">
        <v>9</v>
      </c>
      <c r="I32" s="232">
        <v>9</v>
      </c>
      <c r="J32" s="46"/>
      <c r="K32" s="46"/>
      <c r="L32" s="46"/>
      <c r="M32" s="46">
        <f>R32</f>
        <v>133770</v>
      </c>
      <c r="N32" s="251"/>
      <c r="O32" s="46"/>
      <c r="P32" s="251"/>
      <c r="Q32" s="46"/>
      <c r="R32" s="46">
        <v>133770</v>
      </c>
      <c r="S32" s="46"/>
      <c r="T32" s="46">
        <f>R32</f>
        <v>133770</v>
      </c>
      <c r="U32" s="46"/>
      <c r="V32" s="46"/>
    </row>
    <row r="33" spans="1:25" s="204" customFormat="1" x14ac:dyDescent="0.25">
      <c r="A33" s="50"/>
      <c r="B33" s="245"/>
      <c r="C33" s="231" t="s">
        <v>226</v>
      </c>
      <c r="D33" s="45"/>
      <c r="E33" s="232"/>
      <c r="F33" s="232"/>
      <c r="G33" s="232"/>
      <c r="H33" s="232"/>
      <c r="I33" s="232"/>
      <c r="J33" s="46"/>
      <c r="K33" s="46"/>
      <c r="L33" s="46"/>
      <c r="M33" s="46">
        <f t="shared" si="0"/>
        <v>0</v>
      </c>
      <c r="N33" s="251"/>
      <c r="O33" s="46"/>
      <c r="P33" s="251"/>
      <c r="Q33" s="46"/>
      <c r="R33" s="46"/>
      <c r="S33" s="46"/>
      <c r="T33" s="46">
        <f>O33</f>
        <v>0</v>
      </c>
      <c r="U33" s="46">
        <f t="shared" ref="U33:V37" si="4">T33</f>
        <v>0</v>
      </c>
      <c r="V33" s="46">
        <f t="shared" si="4"/>
        <v>0</v>
      </c>
    </row>
    <row r="34" spans="1:25" ht="71.25" customHeight="1" x14ac:dyDescent="0.25">
      <c r="A34" s="194" t="s">
        <v>250</v>
      </c>
      <c r="B34" s="127" t="s">
        <v>28</v>
      </c>
      <c r="C34" s="127" t="s">
        <v>219</v>
      </c>
      <c r="D34" s="289" t="s">
        <v>20</v>
      </c>
      <c r="E34" s="232">
        <v>32</v>
      </c>
      <c r="F34" s="232">
        <v>32</v>
      </c>
      <c r="G34" s="232">
        <v>32</v>
      </c>
      <c r="H34" s="232">
        <v>32</v>
      </c>
      <c r="I34" s="232">
        <v>32</v>
      </c>
      <c r="J34" s="46" t="s">
        <v>23</v>
      </c>
      <c r="K34" s="46">
        <f>12142.68*1.802017</f>
        <v>21881.31578556</v>
      </c>
      <c r="L34" s="46">
        <v>9670.65</v>
      </c>
      <c r="M34" s="46">
        <f>J34+K34+L34</f>
        <v>31551.965785560002</v>
      </c>
      <c r="N34" s="251">
        <f t="shared" ref="N34" si="5">E34*J34</f>
        <v>0</v>
      </c>
      <c r="O34" s="46"/>
      <c r="P34" s="251"/>
      <c r="Q34" s="46">
        <f>G34*L34-0.47</f>
        <v>309460.33</v>
      </c>
      <c r="R34" s="46"/>
      <c r="S34" s="46"/>
      <c r="T34" s="46">
        <f>SUM(N34:Q34)</f>
        <v>309460.33</v>
      </c>
      <c r="U34" s="46">
        <f>T34</f>
        <v>309460.33</v>
      </c>
      <c r="V34" s="46">
        <f>U34</f>
        <v>309460.33</v>
      </c>
    </row>
    <row r="35" spans="1:25" x14ac:dyDescent="0.25">
      <c r="A35" s="188"/>
      <c r="B35" s="127" t="s">
        <v>28</v>
      </c>
      <c r="C35" s="127" t="s">
        <v>220</v>
      </c>
      <c r="D35" s="287" t="s">
        <v>20</v>
      </c>
      <c r="E35" s="87"/>
      <c r="F35" s="87"/>
      <c r="G35" s="232">
        <v>32</v>
      </c>
      <c r="H35" s="232">
        <v>32</v>
      </c>
      <c r="I35" s="232">
        <v>32</v>
      </c>
      <c r="J35" s="46"/>
      <c r="K35" s="46"/>
      <c r="L35" s="46">
        <v>12750.1</v>
      </c>
      <c r="M35" s="46">
        <f>J35+K35+L35</f>
        <v>12750.1</v>
      </c>
      <c r="N35" s="251"/>
      <c r="O35" s="46"/>
      <c r="P35" s="251"/>
      <c r="Q35" s="46"/>
      <c r="R35" s="46"/>
      <c r="S35" s="46">
        <f>L35*G34</f>
        <v>408003.2</v>
      </c>
      <c r="T35" s="46">
        <f>S35</f>
        <v>408003.2</v>
      </c>
      <c r="U35" s="46">
        <f>S35</f>
        <v>408003.2</v>
      </c>
      <c r="V35" s="46">
        <f>S35</f>
        <v>408003.2</v>
      </c>
    </row>
    <row r="36" spans="1:25" ht="45" hidden="1" customHeight="1" x14ac:dyDescent="0.25">
      <c r="A36" s="196"/>
      <c r="B36" s="128"/>
      <c r="C36" s="127" t="s">
        <v>226</v>
      </c>
      <c r="D36" s="199"/>
      <c r="E36" s="87"/>
      <c r="F36" s="87"/>
      <c r="G36" s="232"/>
      <c r="H36" s="232"/>
      <c r="I36" s="232"/>
      <c r="J36" s="46"/>
      <c r="K36" s="46"/>
      <c r="L36" s="46"/>
      <c r="M36" s="46">
        <f t="shared" si="0"/>
        <v>0</v>
      </c>
      <c r="N36" s="251"/>
      <c r="O36" s="46"/>
      <c r="P36" s="251"/>
      <c r="Q36" s="46"/>
      <c r="R36" s="46"/>
      <c r="S36" s="46"/>
      <c r="T36" s="46">
        <f>N36+O36+P36+Q36</f>
        <v>0</v>
      </c>
      <c r="U36" s="46">
        <f t="shared" si="4"/>
        <v>0</v>
      </c>
      <c r="V36" s="46">
        <f t="shared" si="4"/>
        <v>0</v>
      </c>
    </row>
    <row r="37" spans="1:25" ht="16.5" hidden="1" customHeight="1" x14ac:dyDescent="0.25">
      <c r="A37" s="226"/>
      <c r="B37" s="128"/>
      <c r="C37" s="127"/>
      <c r="D37" s="226"/>
      <c r="E37" s="87"/>
      <c r="F37" s="87"/>
      <c r="G37" s="232"/>
      <c r="H37" s="232"/>
      <c r="I37" s="232"/>
      <c r="J37" s="46"/>
      <c r="K37" s="46"/>
      <c r="L37" s="46"/>
      <c r="M37" s="46">
        <f t="shared" si="0"/>
        <v>0</v>
      </c>
      <c r="N37" s="251"/>
      <c r="O37" s="46"/>
      <c r="P37" s="251"/>
      <c r="Q37" s="46"/>
      <c r="R37" s="46"/>
      <c r="S37" s="46"/>
      <c r="T37" s="46">
        <f>O37</f>
        <v>0</v>
      </c>
      <c r="U37" s="46">
        <f t="shared" si="4"/>
        <v>0</v>
      </c>
      <c r="V37" s="46">
        <f t="shared" si="4"/>
        <v>0</v>
      </c>
    </row>
    <row r="38" spans="1:25" ht="15.75" customHeight="1" x14ac:dyDescent="0.25">
      <c r="A38" s="189" t="s">
        <v>35</v>
      </c>
      <c r="B38" s="199"/>
      <c r="C38" s="127"/>
      <c r="D38" s="91"/>
      <c r="E38" s="92"/>
      <c r="F38" s="92"/>
      <c r="G38" s="277"/>
      <c r="H38" s="277"/>
      <c r="I38" s="277"/>
      <c r="J38" s="234"/>
      <c r="K38" s="234"/>
      <c r="L38" s="273"/>
      <c r="M38" s="46">
        <f t="shared" si="0"/>
        <v>0</v>
      </c>
      <c r="N38" s="234">
        <f>N39+N52</f>
        <v>8643249</v>
      </c>
      <c r="O38" s="234">
        <f>O39</f>
        <v>2428826.0021971599</v>
      </c>
      <c r="P38" s="252">
        <f>P39</f>
        <v>1254663</v>
      </c>
      <c r="Q38" s="234">
        <f>Q39+Q52+Q47</f>
        <v>3449108.2799925003</v>
      </c>
      <c r="R38" s="234">
        <f>R39</f>
        <v>2295376</v>
      </c>
      <c r="S38" s="234">
        <f>S53</f>
        <v>1338760.5</v>
      </c>
      <c r="T38" s="234">
        <f>T39+T52+T53</f>
        <v>19409982.78218966</v>
      </c>
      <c r="U38" s="234">
        <f>U39+U52+U53</f>
        <v>19226047.642189659</v>
      </c>
      <c r="V38" s="234">
        <f>V39+V52+V53</f>
        <v>19226047.642189659</v>
      </c>
      <c r="W38" s="80">
        <v>4235504.5599999996</v>
      </c>
      <c r="X38" s="85">
        <f>W38-Q38</f>
        <v>786396.28000749927</v>
      </c>
      <c r="Y38" s="80">
        <f>X38/111</f>
        <v>7084.6511712387319</v>
      </c>
    </row>
    <row r="39" spans="1:25" ht="84.75" customHeight="1" x14ac:dyDescent="0.25">
      <c r="A39" s="194" t="s">
        <v>249</v>
      </c>
      <c r="B39" s="84" t="s">
        <v>76</v>
      </c>
      <c r="C39" s="128"/>
      <c r="D39" s="82"/>
      <c r="E39" s="68"/>
      <c r="F39" s="68"/>
      <c r="G39" s="276"/>
      <c r="H39" s="276"/>
      <c r="I39" s="276"/>
      <c r="J39" s="46"/>
      <c r="K39" s="46"/>
      <c r="L39" s="46"/>
      <c r="M39" s="46">
        <f t="shared" si="0"/>
        <v>0</v>
      </c>
      <c r="N39" s="46">
        <f>SUM(N40:N53)</f>
        <v>8643249</v>
      </c>
      <c r="O39" s="46">
        <f>SUM(O40:O48)</f>
        <v>2428826.0021971599</v>
      </c>
      <c r="P39" s="251">
        <f>P46</f>
        <v>1254663</v>
      </c>
      <c r="Q39" s="46">
        <f t="shared" ref="Q39" si="6">SUM(Q40:Q44)</f>
        <v>2255697.6</v>
      </c>
      <c r="R39" s="46">
        <f>R45+R47</f>
        <v>2295376</v>
      </c>
      <c r="S39" s="46"/>
      <c r="T39" s="46">
        <f>SUM(T40:T51)</f>
        <v>16877811.602197159</v>
      </c>
      <c r="U39" s="46">
        <f t="shared" ref="U39:V39" si="7">SUM(U40:U51)</f>
        <v>16693876.462197158</v>
      </c>
      <c r="V39" s="46">
        <f t="shared" si="7"/>
        <v>16693876.462197158</v>
      </c>
      <c r="W39" s="85">
        <f>T38-U38</f>
        <v>183935.1400000006</v>
      </c>
      <c r="Y39" s="85"/>
    </row>
    <row r="40" spans="1:25" ht="52.5" customHeight="1" x14ac:dyDescent="0.25">
      <c r="A40" s="83"/>
      <c r="B40" s="97" t="s">
        <v>292</v>
      </c>
      <c r="C40" s="349" t="s">
        <v>295</v>
      </c>
      <c r="D40" s="199" t="s">
        <v>20</v>
      </c>
      <c r="E40" s="243">
        <v>18</v>
      </c>
      <c r="F40" s="243">
        <v>18</v>
      </c>
      <c r="G40" s="232">
        <v>13</v>
      </c>
      <c r="H40" s="232">
        <v>13</v>
      </c>
      <c r="I40" s="232">
        <v>13</v>
      </c>
      <c r="J40" s="46">
        <v>43138.04</v>
      </c>
      <c r="K40" s="46">
        <f>12142.68*1.802017</f>
        <v>21881.31578556</v>
      </c>
      <c r="L40" s="46">
        <v>20321.599999999999</v>
      </c>
      <c r="M40" s="46">
        <f t="shared" si="0"/>
        <v>85340.95578556</v>
      </c>
      <c r="N40" s="46">
        <f>G40*J40+0.48</f>
        <v>560795</v>
      </c>
      <c r="O40" s="46">
        <f>G40*K40-0.11</f>
        <v>284456.99521228002</v>
      </c>
      <c r="P40" s="251"/>
      <c r="Q40" s="46">
        <f>G40*L40</f>
        <v>264180.8</v>
      </c>
      <c r="R40" s="46"/>
      <c r="S40" s="46"/>
      <c r="T40" s="46">
        <f t="shared" si="1"/>
        <v>1109432.79521228</v>
      </c>
      <c r="U40" s="46">
        <f t="shared" ref="U40:V43" si="8">T40</f>
        <v>1109432.79521228</v>
      </c>
      <c r="V40" s="46">
        <f t="shared" si="8"/>
        <v>1109432.79521228</v>
      </c>
    </row>
    <row r="41" spans="1:25" ht="52.5" customHeight="1" x14ac:dyDescent="0.25">
      <c r="A41" s="83"/>
      <c r="B41" s="97" t="s">
        <v>290</v>
      </c>
      <c r="C41" s="350"/>
      <c r="D41" s="281" t="s">
        <v>20</v>
      </c>
      <c r="E41" s="243"/>
      <c r="F41" s="243"/>
      <c r="G41" s="232">
        <v>24</v>
      </c>
      <c r="H41" s="232">
        <v>24</v>
      </c>
      <c r="I41" s="232">
        <v>24</v>
      </c>
      <c r="J41" s="46">
        <v>34198.17</v>
      </c>
      <c r="K41" s="46">
        <f>12142.68*1.802017</f>
        <v>21881.31578556</v>
      </c>
      <c r="L41" s="46">
        <v>20321.599999999999</v>
      </c>
      <c r="M41" s="46">
        <f t="shared" si="0"/>
        <v>76401.08578555999</v>
      </c>
      <c r="N41" s="46">
        <f>G41*J41-0.08</f>
        <v>820756</v>
      </c>
      <c r="O41" s="46">
        <f>G41*K41+0.42</f>
        <v>525151.99885344005</v>
      </c>
      <c r="P41" s="251"/>
      <c r="Q41" s="46">
        <f t="shared" ref="Q41:Q42" si="9">G41*L41</f>
        <v>487718.39999999997</v>
      </c>
      <c r="R41" s="46"/>
      <c r="S41" s="46"/>
      <c r="T41" s="46">
        <f t="shared" si="1"/>
        <v>1833626.3988534398</v>
      </c>
      <c r="U41" s="46">
        <f t="shared" si="8"/>
        <v>1833626.3988534398</v>
      </c>
      <c r="V41" s="46">
        <f t="shared" si="8"/>
        <v>1833626.3988534398</v>
      </c>
    </row>
    <row r="42" spans="1:25" ht="54.75" customHeight="1" x14ac:dyDescent="0.25">
      <c r="A42" s="83"/>
      <c r="B42" s="97" t="s">
        <v>335</v>
      </c>
      <c r="C42" s="349" t="s">
        <v>296</v>
      </c>
      <c r="D42" s="281" t="s">
        <v>20</v>
      </c>
      <c r="E42" s="243"/>
      <c r="F42" s="243"/>
      <c r="G42" s="232">
        <v>18</v>
      </c>
      <c r="H42" s="232">
        <v>18</v>
      </c>
      <c r="I42" s="232">
        <v>18</v>
      </c>
      <c r="J42" s="46">
        <v>142093.57999999999</v>
      </c>
      <c r="K42" s="46">
        <f>12142.68*1.802017</f>
        <v>21881.31578556</v>
      </c>
      <c r="L42" s="46">
        <v>20321.599999999999</v>
      </c>
      <c r="M42" s="46">
        <f t="shared" si="0"/>
        <v>184296.49578555999</v>
      </c>
      <c r="N42" s="46">
        <f>G42*J42-0.44</f>
        <v>2557684</v>
      </c>
      <c r="O42" s="46">
        <f>G42*K42-0.68</f>
        <v>393863.00414008001</v>
      </c>
      <c r="P42" s="251"/>
      <c r="Q42" s="46">
        <f t="shared" si="9"/>
        <v>365788.8</v>
      </c>
      <c r="R42" s="46"/>
      <c r="S42" s="46"/>
      <c r="T42" s="46">
        <f t="shared" si="1"/>
        <v>3317335.8041400798</v>
      </c>
      <c r="U42" s="46">
        <f t="shared" si="8"/>
        <v>3317335.8041400798</v>
      </c>
      <c r="V42" s="46">
        <f t="shared" si="8"/>
        <v>3317335.8041400798</v>
      </c>
    </row>
    <row r="43" spans="1:25" ht="50.25" customHeight="1" x14ac:dyDescent="0.25">
      <c r="A43" s="83"/>
      <c r="B43" s="97" t="s">
        <v>334</v>
      </c>
      <c r="C43" s="352"/>
      <c r="D43" s="199" t="s">
        <v>20</v>
      </c>
      <c r="E43" s="243">
        <v>30</v>
      </c>
      <c r="F43" s="243">
        <v>30</v>
      </c>
      <c r="G43" s="232">
        <v>13</v>
      </c>
      <c r="H43" s="232">
        <v>13</v>
      </c>
      <c r="I43" s="232">
        <v>13</v>
      </c>
      <c r="J43" s="46">
        <v>142093.57999999999</v>
      </c>
      <c r="K43" s="46">
        <f>12142.68*1.802017</f>
        <v>21881.31578556</v>
      </c>
      <c r="L43" s="46">
        <v>20321.599999999999</v>
      </c>
      <c r="M43" s="46">
        <f t="shared" si="0"/>
        <v>184296.49578555999</v>
      </c>
      <c r="N43" s="46">
        <f>G43*J43+0.46</f>
        <v>1847216.9999999998</v>
      </c>
      <c r="O43" s="46">
        <f>G43*K43-0.11</f>
        <v>284456.99521228002</v>
      </c>
      <c r="P43" s="251"/>
      <c r="Q43" s="46">
        <f>G43*L43</f>
        <v>264180.8</v>
      </c>
      <c r="R43" s="46"/>
      <c r="S43" s="46"/>
      <c r="T43" s="46">
        <f t="shared" si="1"/>
        <v>2395854.7952122795</v>
      </c>
      <c r="U43" s="46">
        <f t="shared" si="8"/>
        <v>2395854.7952122795</v>
      </c>
      <c r="V43" s="46">
        <f t="shared" si="8"/>
        <v>2395854.7952122795</v>
      </c>
    </row>
    <row r="44" spans="1:25" ht="105.75" customHeight="1" x14ac:dyDescent="0.25">
      <c r="A44" s="83"/>
      <c r="B44" s="93" t="s">
        <v>298</v>
      </c>
      <c r="C44" s="93" t="s">
        <v>297</v>
      </c>
      <c r="D44" s="199" t="s">
        <v>20</v>
      </c>
      <c r="E44" s="243">
        <v>67</v>
      </c>
      <c r="F44" s="243">
        <v>67</v>
      </c>
      <c r="G44" s="232">
        <v>43</v>
      </c>
      <c r="H44" s="232">
        <v>43</v>
      </c>
      <c r="I44" s="232">
        <v>43</v>
      </c>
      <c r="J44" s="275">
        <v>65511.03</v>
      </c>
      <c r="K44" s="46">
        <f>12142.68*1.802017</f>
        <v>21881.31578556</v>
      </c>
      <c r="L44" s="46">
        <v>20321.599999999999</v>
      </c>
      <c r="M44" s="46">
        <f t="shared" si="0"/>
        <v>107713.94578556</v>
      </c>
      <c r="N44" s="46">
        <f>G44*J44-0.29</f>
        <v>2816974</v>
      </c>
      <c r="O44" s="46">
        <f>G44*K44+0.43</f>
        <v>940897.00877908</v>
      </c>
      <c r="P44" s="251"/>
      <c r="Q44" s="46">
        <f>G44*L44</f>
        <v>873828.79999999993</v>
      </c>
      <c r="R44" s="46"/>
      <c r="S44" s="46"/>
      <c r="T44" s="46">
        <f t="shared" si="1"/>
        <v>4631699.8087790804</v>
      </c>
      <c r="U44" s="46">
        <f t="shared" ref="U44:U156" si="10">H44*M44</f>
        <v>4631699.6687790798</v>
      </c>
      <c r="V44" s="46">
        <f t="shared" ref="V44:V156" si="11">I44*M44</f>
        <v>4631699.6687790798</v>
      </c>
    </row>
    <row r="45" spans="1:25" s="204" customFormat="1" x14ac:dyDescent="0.25">
      <c r="A45" s="42"/>
      <c r="B45" s="245" t="s">
        <v>225</v>
      </c>
      <c r="C45" s="231" t="s">
        <v>219</v>
      </c>
      <c r="D45" s="49" t="s">
        <v>20</v>
      </c>
      <c r="E45" s="250">
        <v>11</v>
      </c>
      <c r="F45" s="250">
        <v>11</v>
      </c>
      <c r="G45" s="232">
        <v>11</v>
      </c>
      <c r="H45" s="232">
        <v>11</v>
      </c>
      <c r="I45" s="232">
        <v>11</v>
      </c>
      <c r="J45" s="46"/>
      <c r="K45" s="46"/>
      <c r="L45" s="46"/>
      <c r="M45" s="46">
        <v>0</v>
      </c>
      <c r="N45" s="251"/>
      <c r="O45" s="46"/>
      <c r="P45" s="251"/>
      <c r="Q45" s="46"/>
      <c r="R45" s="46">
        <v>2111441</v>
      </c>
      <c r="S45" s="46"/>
      <c r="T45" s="46">
        <f>R45</f>
        <v>2111441</v>
      </c>
      <c r="U45" s="46">
        <f>R45</f>
        <v>2111441</v>
      </c>
      <c r="V45" s="46">
        <f>R45</f>
        <v>2111441</v>
      </c>
    </row>
    <row r="46" spans="1:25" s="204" customFormat="1" x14ac:dyDescent="0.25">
      <c r="A46" s="42"/>
      <c r="B46" s="245" t="s">
        <v>225</v>
      </c>
      <c r="C46" s="231" t="s">
        <v>226</v>
      </c>
      <c r="D46" s="49" t="s">
        <v>20</v>
      </c>
      <c r="E46" s="243">
        <v>10</v>
      </c>
      <c r="F46" s="243">
        <v>10</v>
      </c>
      <c r="G46" s="232">
        <v>10</v>
      </c>
      <c r="H46" s="232">
        <v>10</v>
      </c>
      <c r="I46" s="232">
        <v>10</v>
      </c>
      <c r="J46" s="46"/>
      <c r="K46" s="46"/>
      <c r="L46" s="46"/>
      <c r="M46" s="46">
        <v>0</v>
      </c>
      <c r="N46" s="251"/>
      <c r="O46" s="46"/>
      <c r="P46" s="251">
        <v>1254663</v>
      </c>
      <c r="Q46" s="46"/>
      <c r="R46" s="46"/>
      <c r="S46" s="46"/>
      <c r="T46" s="46">
        <f>P46</f>
        <v>1254663</v>
      </c>
      <c r="U46" s="46">
        <f>P46</f>
        <v>1254663</v>
      </c>
      <c r="V46" s="46">
        <f>P46</f>
        <v>1254663</v>
      </c>
    </row>
    <row r="47" spans="1:25" s="204" customFormat="1" ht="28.5" x14ac:dyDescent="0.25">
      <c r="A47" s="42"/>
      <c r="B47" s="84" t="s">
        <v>311</v>
      </c>
      <c r="C47" s="231" t="s">
        <v>219</v>
      </c>
      <c r="D47" s="49"/>
      <c r="E47" s="232"/>
      <c r="F47" s="232"/>
      <c r="G47" s="232">
        <v>11</v>
      </c>
      <c r="H47" s="232">
        <v>11</v>
      </c>
      <c r="I47" s="232">
        <v>11</v>
      </c>
      <c r="J47" s="46"/>
      <c r="K47" s="46"/>
      <c r="L47" s="46"/>
      <c r="M47" s="46">
        <v>0</v>
      </c>
      <c r="N47" s="251"/>
      <c r="O47" s="46"/>
      <c r="P47" s="251"/>
      <c r="Q47" s="46"/>
      <c r="R47" s="46">
        <v>183935</v>
      </c>
      <c r="S47" s="46"/>
      <c r="T47" s="46">
        <f>R47</f>
        <v>183935</v>
      </c>
      <c r="U47" s="46"/>
      <c r="V47" s="46"/>
    </row>
    <row r="48" spans="1:25" s="204" customFormat="1" hidden="1" x14ac:dyDescent="0.25">
      <c r="A48" s="50"/>
      <c r="B48" s="245" t="s">
        <v>280</v>
      </c>
      <c r="C48" s="231" t="s">
        <v>226</v>
      </c>
      <c r="D48" s="45"/>
      <c r="E48" s="232"/>
      <c r="F48" s="232"/>
      <c r="G48" s="232"/>
      <c r="H48" s="232"/>
      <c r="I48" s="232"/>
      <c r="J48" s="46"/>
      <c r="K48" s="46"/>
      <c r="L48" s="46"/>
      <c r="M48" s="46">
        <f t="shared" si="0"/>
        <v>0</v>
      </c>
      <c r="N48" s="251"/>
      <c r="O48" s="46"/>
      <c r="P48" s="251"/>
      <c r="Q48" s="46"/>
      <c r="R48" s="46"/>
      <c r="S48" s="46"/>
      <c r="T48" s="46">
        <f>O48</f>
        <v>0</v>
      </c>
      <c r="U48" s="46">
        <f t="shared" ref="U48:V49" si="12">T48</f>
        <v>0</v>
      </c>
      <c r="V48" s="46">
        <f t="shared" si="12"/>
        <v>0</v>
      </c>
    </row>
    <row r="49" spans="1:25" s="204" customFormat="1" x14ac:dyDescent="0.25">
      <c r="A49" s="50"/>
      <c r="B49" s="245" t="s">
        <v>281</v>
      </c>
      <c r="C49" s="231" t="s">
        <v>226</v>
      </c>
      <c r="D49" s="45"/>
      <c r="E49" s="232"/>
      <c r="F49" s="232"/>
      <c r="G49" s="232"/>
      <c r="H49" s="232"/>
      <c r="I49" s="232"/>
      <c r="J49" s="46"/>
      <c r="K49" s="46"/>
      <c r="L49" s="46"/>
      <c r="M49" s="46">
        <v>0</v>
      </c>
      <c r="N49" s="251">
        <v>39823</v>
      </c>
      <c r="O49" s="46"/>
      <c r="P49" s="251"/>
      <c r="Q49" s="46"/>
      <c r="R49" s="46"/>
      <c r="S49" s="46"/>
      <c r="T49" s="46">
        <f>N49</f>
        <v>39823</v>
      </c>
      <c r="U49" s="46">
        <f t="shared" si="12"/>
        <v>39823</v>
      </c>
      <c r="V49" s="46">
        <f t="shared" si="12"/>
        <v>39823</v>
      </c>
    </row>
    <row r="50" spans="1:25" ht="44.25" hidden="1" customHeight="1" x14ac:dyDescent="0.25">
      <c r="A50" s="83"/>
      <c r="B50" s="128"/>
      <c r="C50" s="127" t="s">
        <v>226</v>
      </c>
      <c r="D50" s="199"/>
      <c r="E50" s="87"/>
      <c r="F50" s="87"/>
      <c r="G50" s="232"/>
      <c r="H50" s="232"/>
      <c r="I50" s="232"/>
      <c r="J50" s="46"/>
      <c r="K50" s="46"/>
      <c r="L50" s="46"/>
      <c r="M50" s="46">
        <f t="shared" si="0"/>
        <v>0</v>
      </c>
      <c r="N50" s="251"/>
      <c r="O50" s="46"/>
      <c r="P50" s="251"/>
      <c r="Q50" s="46"/>
      <c r="R50" s="46"/>
      <c r="S50" s="46"/>
      <c r="T50" s="46">
        <f>N50</f>
        <v>0</v>
      </c>
      <c r="U50" s="46">
        <f t="shared" ref="U50:V52" si="13">T50</f>
        <v>0</v>
      </c>
      <c r="V50" s="46">
        <f t="shared" si="13"/>
        <v>0</v>
      </c>
    </row>
    <row r="51" spans="1:25" hidden="1" x14ac:dyDescent="0.25">
      <c r="A51" s="83"/>
      <c r="B51" s="128"/>
      <c r="C51" s="127"/>
      <c r="D51" s="226"/>
      <c r="E51" s="87"/>
      <c r="F51" s="87"/>
      <c r="G51" s="232"/>
      <c r="H51" s="232"/>
      <c r="I51" s="232"/>
      <c r="J51" s="46"/>
      <c r="K51" s="46"/>
      <c r="L51" s="46"/>
      <c r="M51" s="46">
        <f t="shared" si="0"/>
        <v>0</v>
      </c>
      <c r="N51" s="251"/>
      <c r="O51" s="46"/>
      <c r="P51" s="251"/>
      <c r="Q51" s="46"/>
      <c r="R51" s="46"/>
      <c r="S51" s="46"/>
      <c r="T51" s="46">
        <f>O51</f>
        <v>0</v>
      </c>
      <c r="U51" s="46">
        <f t="shared" si="13"/>
        <v>0</v>
      </c>
      <c r="V51" s="46">
        <f t="shared" si="13"/>
        <v>0</v>
      </c>
    </row>
    <row r="52" spans="1:25" ht="64.5" customHeight="1" x14ac:dyDescent="0.25">
      <c r="A52" s="194" t="s">
        <v>250</v>
      </c>
      <c r="B52" s="199" t="s">
        <v>28</v>
      </c>
      <c r="C52" s="127" t="s">
        <v>219</v>
      </c>
      <c r="D52" s="199" t="s">
        <v>20</v>
      </c>
      <c r="E52" s="243">
        <v>115</v>
      </c>
      <c r="F52" s="87">
        <v>115</v>
      </c>
      <c r="G52" s="232">
        <v>111</v>
      </c>
      <c r="H52" s="232">
        <v>111</v>
      </c>
      <c r="I52" s="232">
        <v>111</v>
      </c>
      <c r="J52" s="46" t="s">
        <v>23</v>
      </c>
      <c r="K52" s="46"/>
      <c r="L52" s="46">
        <v>10751.447567499999</v>
      </c>
      <c r="M52" s="46">
        <f t="shared" si="0"/>
        <v>10751.447567499999</v>
      </c>
      <c r="N52" s="251">
        <f t="shared" ref="N52:N108" si="14">E52*J52</f>
        <v>0</v>
      </c>
      <c r="O52" s="46"/>
      <c r="P52" s="251"/>
      <c r="Q52" s="46">
        <f>G52*L52</f>
        <v>1193410.6799925</v>
      </c>
      <c r="R52" s="46"/>
      <c r="S52" s="46"/>
      <c r="T52" s="46">
        <f>SUM(N52:Q52)</f>
        <v>1193410.6799925</v>
      </c>
      <c r="U52" s="46">
        <f t="shared" si="13"/>
        <v>1193410.6799925</v>
      </c>
      <c r="V52" s="46">
        <f t="shared" si="13"/>
        <v>1193410.6799925</v>
      </c>
    </row>
    <row r="53" spans="1:25" x14ac:dyDescent="0.25">
      <c r="A53" s="86"/>
      <c r="B53" s="199" t="s">
        <v>28</v>
      </c>
      <c r="C53" s="127" t="s">
        <v>220</v>
      </c>
      <c r="D53" s="199"/>
      <c r="E53" s="87"/>
      <c r="F53" s="87"/>
      <c r="G53" s="232">
        <v>105</v>
      </c>
      <c r="H53" s="232">
        <v>105</v>
      </c>
      <c r="I53" s="232">
        <v>105</v>
      </c>
      <c r="J53" s="46"/>
      <c r="K53" s="46"/>
      <c r="L53" s="46">
        <v>12750.1</v>
      </c>
      <c r="M53" s="46">
        <f t="shared" si="0"/>
        <v>12750.1</v>
      </c>
      <c r="N53" s="251"/>
      <c r="O53" s="46"/>
      <c r="P53" s="251"/>
      <c r="Q53" s="46"/>
      <c r="R53" s="46"/>
      <c r="S53" s="46">
        <f>G53*L53</f>
        <v>1338760.5</v>
      </c>
      <c r="T53" s="46">
        <f>S53</f>
        <v>1338760.5</v>
      </c>
      <c r="U53" s="46">
        <f>S53</f>
        <v>1338760.5</v>
      </c>
      <c r="V53" s="46">
        <f>S53</f>
        <v>1338760.5</v>
      </c>
    </row>
    <row r="54" spans="1:25" x14ac:dyDescent="0.25">
      <c r="A54" s="189" t="s">
        <v>40</v>
      </c>
      <c r="B54" s="94"/>
      <c r="C54" s="94"/>
      <c r="D54" s="94"/>
      <c r="E54" s="92"/>
      <c r="F54" s="92"/>
      <c r="G54" s="277"/>
      <c r="H54" s="277"/>
      <c r="I54" s="277"/>
      <c r="J54" s="234"/>
      <c r="K54" s="234"/>
      <c r="L54" s="234"/>
      <c r="M54" s="46">
        <f t="shared" si="0"/>
        <v>0</v>
      </c>
      <c r="N54" s="234">
        <f>N55+N66</f>
        <v>6448226</v>
      </c>
      <c r="O54" s="234">
        <f>O55+O66</f>
        <v>2494469.9995538401</v>
      </c>
      <c r="P54" s="234">
        <f>P55</f>
        <v>644437</v>
      </c>
      <c r="Q54" s="234">
        <f>Q55+Q66+Q61</f>
        <v>3419116.0299999993</v>
      </c>
      <c r="R54" s="234">
        <f>R55</f>
        <v>2399458</v>
      </c>
      <c r="S54" s="234">
        <f>S67</f>
        <v>1415261.1</v>
      </c>
      <c r="T54" s="234">
        <f>T55+T66+T67</f>
        <v>16820968.12955384</v>
      </c>
      <c r="U54" s="234">
        <f>U55+U66+U67</f>
        <v>16637032.889553839</v>
      </c>
      <c r="V54" s="234">
        <f>V55+V66+V67</f>
        <v>16637032.889553839</v>
      </c>
      <c r="W54" s="85">
        <v>3572593.66</v>
      </c>
      <c r="X54" s="85">
        <f>W54-Q54</f>
        <v>153477.63000000082</v>
      </c>
      <c r="Y54" s="80">
        <f>X54/I66</f>
        <v>1346.2950000000071</v>
      </c>
    </row>
    <row r="55" spans="1:25" ht="84" customHeight="1" x14ac:dyDescent="0.25">
      <c r="A55" s="194" t="s">
        <v>249</v>
      </c>
      <c r="B55" s="84" t="s">
        <v>76</v>
      </c>
      <c r="C55" s="128"/>
      <c r="D55" s="95"/>
      <c r="E55" s="68"/>
      <c r="F55" s="68"/>
      <c r="G55" s="276"/>
      <c r="H55" s="276"/>
      <c r="I55" s="276"/>
      <c r="J55" s="46"/>
      <c r="K55" s="46"/>
      <c r="L55" s="46"/>
      <c r="M55" s="46">
        <f t="shared" si="0"/>
        <v>0</v>
      </c>
      <c r="N55" s="46">
        <f>SUM(N56:N67)</f>
        <v>6448226</v>
      </c>
      <c r="O55" s="46">
        <f>SUM(O56:O65)</f>
        <v>2494469.9995538401</v>
      </c>
      <c r="P55" s="46">
        <f>P60</f>
        <v>644437</v>
      </c>
      <c r="Q55" s="46">
        <f t="shared" ref="Q55" si="15">SUM(Q56:Q58)</f>
        <v>2316661.9299999997</v>
      </c>
      <c r="R55" s="46">
        <f>R59+R61</f>
        <v>2399458</v>
      </c>
      <c r="S55" s="46"/>
      <c r="T55" s="46">
        <f>SUM(T56:T65)</f>
        <v>14303252.92955384</v>
      </c>
      <c r="U55" s="46">
        <f t="shared" ref="U55:V55" si="16">SUM(U56:U65)</f>
        <v>14119317.68955384</v>
      </c>
      <c r="V55" s="46">
        <f t="shared" si="16"/>
        <v>14119317.68955384</v>
      </c>
      <c r="W55" s="85">
        <f>T54-U54</f>
        <v>183935.24000000022</v>
      </c>
    </row>
    <row r="56" spans="1:25" ht="56.25" customHeight="1" x14ac:dyDescent="0.25">
      <c r="A56" s="83"/>
      <c r="B56" s="97" t="s">
        <v>292</v>
      </c>
      <c r="C56" s="339" t="s">
        <v>295</v>
      </c>
      <c r="D56" s="199" t="s">
        <v>20</v>
      </c>
      <c r="E56" s="243">
        <v>22</v>
      </c>
      <c r="F56" s="243">
        <v>22</v>
      </c>
      <c r="G56" s="232">
        <v>19</v>
      </c>
      <c r="H56" s="232">
        <v>19</v>
      </c>
      <c r="I56" s="232">
        <v>19</v>
      </c>
      <c r="J56" s="46">
        <v>43138.04</v>
      </c>
      <c r="K56" s="46">
        <f>12142.68*1.802017</f>
        <v>21881.31578556</v>
      </c>
      <c r="L56" s="46">
        <v>20321.599999999999</v>
      </c>
      <c r="M56" s="46">
        <f t="shared" si="0"/>
        <v>85340.95578556</v>
      </c>
      <c r="N56" s="46">
        <f>G56*J56+0.24</f>
        <v>819623</v>
      </c>
      <c r="O56" s="46">
        <f>G56*K56</f>
        <v>415744.99992564</v>
      </c>
      <c r="P56" s="251"/>
      <c r="Q56" s="46">
        <f>G56*L56</f>
        <v>386110.39999999997</v>
      </c>
      <c r="R56" s="46"/>
      <c r="S56" s="46"/>
      <c r="T56" s="46">
        <f t="shared" si="1"/>
        <v>1621478.3999256399</v>
      </c>
      <c r="U56" s="46">
        <f t="shared" si="10"/>
        <v>1621478.1599256401</v>
      </c>
      <c r="V56" s="46">
        <f t="shared" si="11"/>
        <v>1621478.1599256401</v>
      </c>
    </row>
    <row r="57" spans="1:25" ht="54" customHeight="1" x14ac:dyDescent="0.25">
      <c r="A57" s="88"/>
      <c r="B57" s="97" t="s">
        <v>290</v>
      </c>
      <c r="C57" s="340"/>
      <c r="D57" s="86" t="s">
        <v>20</v>
      </c>
      <c r="E57" s="243">
        <v>21</v>
      </c>
      <c r="F57" s="243">
        <v>21</v>
      </c>
      <c r="G57" s="232">
        <v>19</v>
      </c>
      <c r="H57" s="232">
        <v>19</v>
      </c>
      <c r="I57" s="232">
        <v>19</v>
      </c>
      <c r="J57" s="46">
        <v>34198.17</v>
      </c>
      <c r="K57" s="46">
        <f>12142.68*1.802017</f>
        <v>21881.31578556</v>
      </c>
      <c r="L57" s="46">
        <v>20321.599999999999</v>
      </c>
      <c r="M57" s="46">
        <f t="shared" si="0"/>
        <v>76401.08578555999</v>
      </c>
      <c r="N57" s="46">
        <f>G57*J57-0.23</f>
        <v>649765</v>
      </c>
      <c r="O57" s="46">
        <f>G57*K57</f>
        <v>415744.99992564</v>
      </c>
      <c r="P57" s="251"/>
      <c r="Q57" s="46">
        <f>G57*L57</f>
        <v>386110.39999999997</v>
      </c>
      <c r="R57" s="46"/>
      <c r="S57" s="46"/>
      <c r="T57" s="46">
        <f t="shared" si="1"/>
        <v>1451620.3999256399</v>
      </c>
      <c r="U57" s="46">
        <f>T57</f>
        <v>1451620.3999256399</v>
      </c>
      <c r="V57" s="46">
        <f>U57</f>
        <v>1451620.3999256399</v>
      </c>
    </row>
    <row r="58" spans="1:25" ht="120" x14ac:dyDescent="0.25">
      <c r="A58" s="88"/>
      <c r="B58" s="97" t="s">
        <v>290</v>
      </c>
      <c r="C58" s="93" t="s">
        <v>294</v>
      </c>
      <c r="D58" s="199" t="s">
        <v>20</v>
      </c>
      <c r="E58" s="243">
        <v>71</v>
      </c>
      <c r="F58" s="243">
        <v>71</v>
      </c>
      <c r="G58" s="232">
        <v>76</v>
      </c>
      <c r="H58" s="232">
        <v>76</v>
      </c>
      <c r="I58" s="232">
        <v>76</v>
      </c>
      <c r="J58" s="275">
        <v>65511.03</v>
      </c>
      <c r="K58" s="46">
        <f>12142.68*1.802017</f>
        <v>21881.31578556</v>
      </c>
      <c r="L58" s="46">
        <v>20321.599999999999</v>
      </c>
      <c r="M58" s="46">
        <f t="shared" si="0"/>
        <v>107713.94578556</v>
      </c>
      <c r="N58" s="46">
        <f>G58*J58-0.28</f>
        <v>4978838</v>
      </c>
      <c r="O58" s="46">
        <f>G58*K58</f>
        <v>1662979.99970256</v>
      </c>
      <c r="P58" s="251"/>
      <c r="Q58" s="46">
        <f>G58*L58-0.47</f>
        <v>1544441.13</v>
      </c>
      <c r="R58" s="46"/>
      <c r="S58" s="46"/>
      <c r="T58" s="46">
        <f t="shared" si="1"/>
        <v>8186259.1297025597</v>
      </c>
      <c r="U58" s="46">
        <f>T58</f>
        <v>8186259.1297025597</v>
      </c>
      <c r="V58" s="46">
        <f>U58</f>
        <v>8186259.1297025597</v>
      </c>
    </row>
    <row r="59" spans="1:25" s="204" customFormat="1" x14ac:dyDescent="0.25">
      <c r="A59" s="49"/>
      <c r="B59" s="245" t="s">
        <v>225</v>
      </c>
      <c r="C59" s="231" t="s">
        <v>219</v>
      </c>
      <c r="D59" s="240" t="s">
        <v>20</v>
      </c>
      <c r="E59" s="250">
        <v>11</v>
      </c>
      <c r="F59" s="250">
        <v>11</v>
      </c>
      <c r="G59" s="232">
        <v>11</v>
      </c>
      <c r="H59" s="232">
        <v>11</v>
      </c>
      <c r="I59" s="232">
        <v>11</v>
      </c>
      <c r="J59" s="46"/>
      <c r="K59" s="46"/>
      <c r="L59" s="46"/>
      <c r="M59" s="46">
        <f t="shared" si="0"/>
        <v>0</v>
      </c>
      <c r="N59" s="251"/>
      <c r="O59" s="46"/>
      <c r="P59" s="251"/>
      <c r="Q59" s="46"/>
      <c r="R59" s="46">
        <v>2215523</v>
      </c>
      <c r="S59" s="46"/>
      <c r="T59" s="46">
        <f>R59</f>
        <v>2215523</v>
      </c>
      <c r="U59" s="46">
        <f>R59</f>
        <v>2215523</v>
      </c>
      <c r="V59" s="46">
        <f>R59</f>
        <v>2215523</v>
      </c>
    </row>
    <row r="60" spans="1:25" s="204" customFormat="1" x14ac:dyDescent="0.25">
      <c r="A60" s="49"/>
      <c r="B60" s="245" t="s">
        <v>225</v>
      </c>
      <c r="C60" s="231" t="s">
        <v>226</v>
      </c>
      <c r="D60" s="240" t="s">
        <v>20</v>
      </c>
      <c r="E60" s="243">
        <v>6</v>
      </c>
      <c r="F60" s="243">
        <v>6</v>
      </c>
      <c r="G60" s="232">
        <v>6</v>
      </c>
      <c r="H60" s="232">
        <v>6</v>
      </c>
      <c r="I60" s="232">
        <v>6</v>
      </c>
      <c r="J60" s="46"/>
      <c r="K60" s="46"/>
      <c r="L60" s="46"/>
      <c r="M60" s="46">
        <f t="shared" si="0"/>
        <v>0</v>
      </c>
      <c r="N60" s="251"/>
      <c r="O60" s="46"/>
      <c r="P60" s="251">
        <v>644437</v>
      </c>
      <c r="Q60" s="46"/>
      <c r="R60" s="46"/>
      <c r="S60" s="46"/>
      <c r="T60" s="46">
        <f>P60</f>
        <v>644437</v>
      </c>
      <c r="U60" s="46">
        <f>P60</f>
        <v>644437</v>
      </c>
      <c r="V60" s="46">
        <f>P60</f>
        <v>644437</v>
      </c>
    </row>
    <row r="61" spans="1:25" s="204" customFormat="1" ht="28.5" x14ac:dyDescent="0.25">
      <c r="A61" s="49"/>
      <c r="B61" s="84" t="s">
        <v>311</v>
      </c>
      <c r="C61" s="231" t="s">
        <v>219</v>
      </c>
      <c r="D61" s="50"/>
      <c r="E61" s="232"/>
      <c r="F61" s="232"/>
      <c r="G61" s="232"/>
      <c r="H61" s="232"/>
      <c r="I61" s="232"/>
      <c r="J61" s="46"/>
      <c r="K61" s="46"/>
      <c r="L61" s="46"/>
      <c r="M61" s="46">
        <f t="shared" si="0"/>
        <v>0</v>
      </c>
      <c r="N61" s="251"/>
      <c r="O61" s="46"/>
      <c r="P61" s="251"/>
      <c r="Q61" s="46"/>
      <c r="R61" s="46">
        <v>183935</v>
      </c>
      <c r="S61" s="46"/>
      <c r="T61" s="46">
        <f>R61</f>
        <v>183935</v>
      </c>
      <c r="U61" s="46"/>
      <c r="V61" s="211"/>
    </row>
    <row r="62" spans="1:25" s="204" customFormat="1" hidden="1" x14ac:dyDescent="0.25">
      <c r="A62" s="50"/>
      <c r="B62" s="245" t="s">
        <v>280</v>
      </c>
      <c r="C62" s="231" t="s">
        <v>226</v>
      </c>
      <c r="D62" s="45"/>
      <c r="E62" s="232"/>
      <c r="F62" s="232"/>
      <c r="G62" s="232"/>
      <c r="H62" s="232"/>
      <c r="I62" s="232"/>
      <c r="J62" s="46"/>
      <c r="K62" s="46"/>
      <c r="L62" s="46"/>
      <c r="M62" s="46">
        <f t="shared" si="0"/>
        <v>0</v>
      </c>
      <c r="N62" s="251"/>
      <c r="O62" s="46"/>
      <c r="P62" s="251"/>
      <c r="Q62" s="46"/>
      <c r="R62" s="46"/>
      <c r="S62" s="46"/>
      <c r="T62" s="46">
        <f>O62</f>
        <v>0</v>
      </c>
      <c r="U62" s="46">
        <f t="shared" ref="U62:V63" si="17">T62</f>
        <v>0</v>
      </c>
      <c r="V62" s="46">
        <f>U62</f>
        <v>0</v>
      </c>
    </row>
    <row r="63" spans="1:25" s="204" customFormat="1" hidden="1" x14ac:dyDescent="0.25">
      <c r="A63" s="50"/>
      <c r="B63" s="245" t="s">
        <v>281</v>
      </c>
      <c r="C63" s="231" t="s">
        <v>226</v>
      </c>
      <c r="D63" s="45"/>
      <c r="E63" s="232"/>
      <c r="F63" s="232"/>
      <c r="G63" s="232"/>
      <c r="H63" s="232"/>
      <c r="I63" s="232"/>
      <c r="J63" s="46"/>
      <c r="K63" s="46"/>
      <c r="L63" s="46"/>
      <c r="M63" s="46">
        <f t="shared" si="0"/>
        <v>0</v>
      </c>
      <c r="N63" s="251"/>
      <c r="O63" s="46"/>
      <c r="P63" s="251"/>
      <c r="Q63" s="46"/>
      <c r="R63" s="46"/>
      <c r="S63" s="46"/>
      <c r="T63" s="46">
        <f>N63</f>
        <v>0</v>
      </c>
      <c r="U63" s="46">
        <f t="shared" si="17"/>
        <v>0</v>
      </c>
      <c r="V63" s="46">
        <f t="shared" si="17"/>
        <v>0</v>
      </c>
    </row>
    <row r="64" spans="1:25" ht="45.75" hidden="1" customHeight="1" x14ac:dyDescent="0.25">
      <c r="A64" s="88"/>
      <c r="B64" s="128" t="s">
        <v>258</v>
      </c>
      <c r="C64" s="127" t="s">
        <v>226</v>
      </c>
      <c r="D64" s="199"/>
      <c r="E64" s="87"/>
      <c r="F64" s="87"/>
      <c r="G64" s="232"/>
      <c r="H64" s="232"/>
      <c r="I64" s="232"/>
      <c r="J64" s="46"/>
      <c r="K64" s="46"/>
      <c r="L64" s="46"/>
      <c r="M64" s="46">
        <f t="shared" si="0"/>
        <v>0</v>
      </c>
      <c r="N64" s="251"/>
      <c r="O64" s="46"/>
      <c r="P64" s="251"/>
      <c r="Q64" s="46"/>
      <c r="R64" s="46"/>
      <c r="S64" s="46"/>
      <c r="T64" s="46">
        <f>N64</f>
        <v>0</v>
      </c>
      <c r="U64" s="46">
        <f t="shared" ref="U64:V66" si="18">T64</f>
        <v>0</v>
      </c>
      <c r="V64" s="46">
        <f t="shared" si="18"/>
        <v>0</v>
      </c>
    </row>
    <row r="65" spans="1:25" hidden="1" x14ac:dyDescent="0.25">
      <c r="A65" s="88"/>
      <c r="B65" s="128" t="s">
        <v>275</v>
      </c>
      <c r="C65" s="127"/>
      <c r="D65" s="226"/>
      <c r="E65" s="87"/>
      <c r="F65" s="87"/>
      <c r="G65" s="232"/>
      <c r="H65" s="232"/>
      <c r="I65" s="232"/>
      <c r="J65" s="46"/>
      <c r="K65" s="46"/>
      <c r="L65" s="46"/>
      <c r="M65" s="46">
        <f t="shared" si="0"/>
        <v>0</v>
      </c>
      <c r="N65" s="251"/>
      <c r="O65" s="46"/>
      <c r="P65" s="251"/>
      <c r="Q65" s="46"/>
      <c r="R65" s="46"/>
      <c r="S65" s="46"/>
      <c r="T65" s="46">
        <f>O65</f>
        <v>0</v>
      </c>
      <c r="U65" s="46">
        <f t="shared" si="18"/>
        <v>0</v>
      </c>
      <c r="V65" s="46">
        <f t="shared" si="18"/>
        <v>0</v>
      </c>
    </row>
    <row r="66" spans="1:25" ht="63" customHeight="1" x14ac:dyDescent="0.25">
      <c r="A66" s="194" t="s">
        <v>250</v>
      </c>
      <c r="B66" s="199" t="s">
        <v>28</v>
      </c>
      <c r="C66" s="127" t="s">
        <v>219</v>
      </c>
      <c r="D66" s="86" t="s">
        <v>20</v>
      </c>
      <c r="E66" s="243">
        <f>E58+E57+E56</f>
        <v>114</v>
      </c>
      <c r="F66" s="243">
        <f t="shared" ref="F66:I66" si="19">F58+F57+F56</f>
        <v>114</v>
      </c>
      <c r="G66" s="232">
        <f t="shared" si="19"/>
        <v>114</v>
      </c>
      <c r="H66" s="232">
        <f t="shared" si="19"/>
        <v>114</v>
      </c>
      <c r="I66" s="232">
        <f t="shared" si="19"/>
        <v>114</v>
      </c>
      <c r="J66" s="46" t="s">
        <v>23</v>
      </c>
      <c r="K66" s="46"/>
      <c r="L66" s="46">
        <v>9670.65</v>
      </c>
      <c r="M66" s="46">
        <f t="shared" si="0"/>
        <v>9670.65</v>
      </c>
      <c r="N66" s="251">
        <f>G66*J66</f>
        <v>0</v>
      </c>
      <c r="O66" s="46">
        <f t="shared" ref="O66" si="20">G66*K66</f>
        <v>0</v>
      </c>
      <c r="P66" s="251"/>
      <c r="Q66" s="46">
        <f>E66*L66</f>
        <v>1102454.0999999999</v>
      </c>
      <c r="R66" s="46"/>
      <c r="S66" s="46"/>
      <c r="T66" s="46">
        <f>SUM(N66:Q66)</f>
        <v>1102454.0999999999</v>
      </c>
      <c r="U66" s="46">
        <f t="shared" si="18"/>
        <v>1102454.0999999999</v>
      </c>
      <c r="V66" s="46">
        <f t="shared" si="18"/>
        <v>1102454.0999999999</v>
      </c>
    </row>
    <row r="67" spans="1:25" x14ac:dyDescent="0.25">
      <c r="A67" s="86"/>
      <c r="B67" s="199" t="s">
        <v>28</v>
      </c>
      <c r="C67" s="127" t="s">
        <v>220</v>
      </c>
      <c r="D67" s="86"/>
      <c r="E67" s="87"/>
      <c r="F67" s="87"/>
      <c r="G67" s="232">
        <v>111</v>
      </c>
      <c r="H67" s="232">
        <v>111</v>
      </c>
      <c r="I67" s="232">
        <v>111</v>
      </c>
      <c r="J67" s="46"/>
      <c r="K67" s="46"/>
      <c r="L67" s="46">
        <v>12750.1</v>
      </c>
      <c r="M67" s="46">
        <f t="shared" si="0"/>
        <v>12750.1</v>
      </c>
      <c r="N67" s="251"/>
      <c r="O67" s="46"/>
      <c r="P67" s="251"/>
      <c r="Q67" s="46"/>
      <c r="R67" s="46"/>
      <c r="S67" s="46">
        <f>L67*G67</f>
        <v>1415261.1</v>
      </c>
      <c r="T67" s="46">
        <f>S67</f>
        <v>1415261.1</v>
      </c>
      <c r="U67" s="46">
        <f>S67</f>
        <v>1415261.1</v>
      </c>
      <c r="V67" s="46">
        <f>S67</f>
        <v>1415261.1</v>
      </c>
    </row>
    <row r="68" spans="1:25" x14ac:dyDescent="0.25">
      <c r="A68" s="189" t="s">
        <v>44</v>
      </c>
      <c r="B68" s="94"/>
      <c r="C68" s="94"/>
      <c r="D68" s="94"/>
      <c r="E68" s="92"/>
      <c r="F68" s="92"/>
      <c r="G68" s="277"/>
      <c r="H68" s="277"/>
      <c r="I68" s="277"/>
      <c r="J68" s="234"/>
      <c r="K68" s="234"/>
      <c r="L68" s="234"/>
      <c r="M68" s="46">
        <f t="shared" si="0"/>
        <v>0</v>
      </c>
      <c r="N68" s="234">
        <f>N69+N80</f>
        <v>12618213</v>
      </c>
      <c r="O68" s="234">
        <f>O69+O80</f>
        <v>4748244.9954665201</v>
      </c>
      <c r="P68" s="234">
        <f>P69</f>
        <v>944082</v>
      </c>
      <c r="Q68" s="234">
        <f>Q69+Q80+Q76</f>
        <v>6598294.5299949991</v>
      </c>
      <c r="R68" s="234">
        <f>R69</f>
        <v>3985033</v>
      </c>
      <c r="S68" s="234">
        <f>S81</f>
        <v>2703021.2</v>
      </c>
      <c r="T68" s="234">
        <f>T69+T80+T81</f>
        <v>31596888.725461517</v>
      </c>
      <c r="U68" s="234">
        <f>U69+U80+U81</f>
        <v>31275001.645461518</v>
      </c>
      <c r="V68" s="234">
        <f>V69+V80+V81</f>
        <v>31275001.645461518</v>
      </c>
      <c r="W68" s="228">
        <v>7800737.0300000003</v>
      </c>
      <c r="X68" s="85">
        <f>W68-Q68</f>
        <v>1202442.5000050012</v>
      </c>
      <c r="Y68" s="80">
        <f>X68/I80</f>
        <v>5541.2096774424017</v>
      </c>
    </row>
    <row r="69" spans="1:25" ht="85.5" customHeight="1" x14ac:dyDescent="0.25">
      <c r="A69" s="194" t="s">
        <v>249</v>
      </c>
      <c r="B69" s="84" t="s">
        <v>76</v>
      </c>
      <c r="C69" s="128"/>
      <c r="D69" s="95"/>
      <c r="E69" s="68"/>
      <c r="F69" s="68"/>
      <c r="G69" s="276"/>
      <c r="H69" s="276"/>
      <c r="I69" s="276"/>
      <c r="J69" s="46"/>
      <c r="K69" s="46"/>
      <c r="L69" s="46"/>
      <c r="M69" s="46">
        <f t="shared" si="0"/>
        <v>0</v>
      </c>
      <c r="N69" s="46">
        <f>SUM(N70:N78)</f>
        <v>12618213</v>
      </c>
      <c r="O69" s="46">
        <f>SUM(O70:O79)</f>
        <v>4748244.9954665201</v>
      </c>
      <c r="P69" s="251">
        <f>P75</f>
        <v>944082</v>
      </c>
      <c r="Q69" s="46">
        <f>SUM(Q70:Q73)</f>
        <v>4409787.1999999993</v>
      </c>
      <c r="R69" s="46">
        <f>R74+R76</f>
        <v>3985033</v>
      </c>
      <c r="S69" s="46"/>
      <c r="T69" s="46">
        <f>SUM(T70:T79)</f>
        <v>26705360.195466518</v>
      </c>
      <c r="U69" s="46">
        <f t="shared" ref="U69:V69" si="21">SUM(U70:U79)</f>
        <v>26383473.11546652</v>
      </c>
      <c r="V69" s="46">
        <f t="shared" si="21"/>
        <v>26383473.11546652</v>
      </c>
      <c r="W69" s="85">
        <f>T68-U68</f>
        <v>321887.07999999821</v>
      </c>
    </row>
    <row r="70" spans="1:25" ht="51.75" customHeight="1" x14ac:dyDescent="0.25">
      <c r="A70" s="83"/>
      <c r="B70" s="97" t="s">
        <v>292</v>
      </c>
      <c r="C70" s="349" t="s">
        <v>299</v>
      </c>
      <c r="D70" s="199" t="s">
        <v>20</v>
      </c>
      <c r="E70" s="243">
        <v>35</v>
      </c>
      <c r="F70" s="87">
        <v>35</v>
      </c>
      <c r="G70" s="232">
        <v>29</v>
      </c>
      <c r="H70" s="232">
        <v>29</v>
      </c>
      <c r="I70" s="232">
        <v>29</v>
      </c>
      <c r="J70" s="46">
        <v>43138.04</v>
      </c>
      <c r="K70" s="46">
        <f>12142.68*1.802017</f>
        <v>21881.31578556</v>
      </c>
      <c r="L70" s="46">
        <v>20321.599999999999</v>
      </c>
      <c r="M70" s="46">
        <f t="shared" si="0"/>
        <v>85340.95578556</v>
      </c>
      <c r="N70" s="46">
        <f>G70*J70-0.16</f>
        <v>1251003</v>
      </c>
      <c r="O70" s="46">
        <f>G70*K70-0.16</f>
        <v>634557.99778124003</v>
      </c>
      <c r="P70" s="251"/>
      <c r="Q70" s="46">
        <f>G70*L70</f>
        <v>589326.39999999991</v>
      </c>
      <c r="R70" s="46"/>
      <c r="S70" s="46"/>
      <c r="T70" s="46">
        <f>SUM(N70:Q70)</f>
        <v>2474887.3977812398</v>
      </c>
      <c r="U70" s="46">
        <f>T70</f>
        <v>2474887.3977812398</v>
      </c>
      <c r="V70" s="46">
        <f>U70</f>
        <v>2474887.3977812398</v>
      </c>
    </row>
    <row r="71" spans="1:25" ht="51" customHeight="1" x14ac:dyDescent="0.25">
      <c r="A71" s="88"/>
      <c r="B71" s="97" t="s">
        <v>290</v>
      </c>
      <c r="C71" s="350"/>
      <c r="D71" s="86" t="s">
        <v>20</v>
      </c>
      <c r="E71" s="243">
        <v>85</v>
      </c>
      <c r="F71" s="87">
        <v>85</v>
      </c>
      <c r="G71" s="232">
        <v>89</v>
      </c>
      <c r="H71" s="232">
        <v>89</v>
      </c>
      <c r="I71" s="232">
        <v>89</v>
      </c>
      <c r="J71" s="46">
        <v>34198.17</v>
      </c>
      <c r="K71" s="46">
        <f>12142.68*1.802017</f>
        <v>21881.31578556</v>
      </c>
      <c r="L71" s="46">
        <v>20321.599999999999</v>
      </c>
      <c r="M71" s="46">
        <f t="shared" si="0"/>
        <v>76401.08578555999</v>
      </c>
      <c r="N71" s="46">
        <f>G71*J71-0.13</f>
        <v>3043637</v>
      </c>
      <c r="O71" s="46">
        <f>G71*K71-0.1</f>
        <v>1947437.00491484</v>
      </c>
      <c r="P71" s="251"/>
      <c r="Q71" s="46">
        <f t="shared" ref="Q71:Q72" si="22">G71*L71</f>
        <v>1808622.4</v>
      </c>
      <c r="R71" s="46"/>
      <c r="S71" s="46"/>
      <c r="T71" s="46">
        <f t="shared" si="1"/>
        <v>6799696.4049148392</v>
      </c>
      <c r="U71" s="46">
        <f>T71</f>
        <v>6799696.4049148392</v>
      </c>
      <c r="V71" s="46">
        <f>U71</f>
        <v>6799696.4049148392</v>
      </c>
    </row>
    <row r="72" spans="1:25" ht="105" x14ac:dyDescent="0.25">
      <c r="A72" s="83"/>
      <c r="B72" s="97" t="s">
        <v>290</v>
      </c>
      <c r="C72" s="93" t="s">
        <v>300</v>
      </c>
      <c r="D72" s="199" t="s">
        <v>20</v>
      </c>
      <c r="E72" s="243">
        <v>25</v>
      </c>
      <c r="F72" s="87">
        <v>25</v>
      </c>
      <c r="G72" s="232">
        <v>24</v>
      </c>
      <c r="H72" s="232">
        <v>24</v>
      </c>
      <c r="I72" s="232">
        <v>24</v>
      </c>
      <c r="J72" s="46">
        <v>142093.57999999999</v>
      </c>
      <c r="K72" s="46">
        <f>12142.68*1.802017</f>
        <v>21881.31578556</v>
      </c>
      <c r="L72" s="46">
        <v>20321.599999999999</v>
      </c>
      <c r="M72" s="46">
        <f t="shared" si="0"/>
        <v>184296.49578555999</v>
      </c>
      <c r="N72" s="46">
        <f>G72*J72+0.08</f>
        <v>3410246</v>
      </c>
      <c r="O72" s="46">
        <f>G72*K72</f>
        <v>525151.57885344001</v>
      </c>
      <c r="P72" s="251"/>
      <c r="Q72" s="46">
        <f t="shared" si="22"/>
        <v>487718.39999999997</v>
      </c>
      <c r="R72" s="46"/>
      <c r="S72" s="46"/>
      <c r="T72" s="46">
        <f t="shared" si="1"/>
        <v>4423115.9788534399</v>
      </c>
      <c r="U72" s="46">
        <f t="shared" si="10"/>
        <v>4423115.8988534398</v>
      </c>
      <c r="V72" s="46">
        <f t="shared" si="11"/>
        <v>4423115.8988534398</v>
      </c>
    </row>
    <row r="73" spans="1:25" ht="120" x14ac:dyDescent="0.25">
      <c r="A73" s="83"/>
      <c r="B73" s="97" t="s">
        <v>288</v>
      </c>
      <c r="C73" s="93" t="s">
        <v>301</v>
      </c>
      <c r="D73" s="199" t="s">
        <v>20</v>
      </c>
      <c r="E73" s="243">
        <v>75</v>
      </c>
      <c r="F73" s="87">
        <v>75</v>
      </c>
      <c r="G73" s="232">
        <f t="shared" ref="G73" si="23">(E73*8+F73*4)/12</f>
        <v>75</v>
      </c>
      <c r="H73" s="232">
        <v>75</v>
      </c>
      <c r="I73" s="232">
        <v>75</v>
      </c>
      <c r="J73" s="275">
        <v>65511.03</v>
      </c>
      <c r="K73" s="46">
        <f>12142.68*1.802017</f>
        <v>21881.31578556</v>
      </c>
      <c r="L73" s="46">
        <v>20321.599999999999</v>
      </c>
      <c r="M73" s="46">
        <f t="shared" si="0"/>
        <v>107713.94578556</v>
      </c>
      <c r="N73" s="46">
        <f>G73*J73-0.25</f>
        <v>4913327</v>
      </c>
      <c r="O73" s="46">
        <f>G73*K73-0.27</f>
        <v>1641098.4139169999</v>
      </c>
      <c r="P73" s="251"/>
      <c r="Q73" s="46">
        <f>G73*L73</f>
        <v>1524120</v>
      </c>
      <c r="R73" s="46"/>
      <c r="S73" s="46"/>
      <c r="T73" s="46">
        <f t="shared" si="1"/>
        <v>8078545.4139169995</v>
      </c>
      <c r="U73" s="46">
        <f>T73</f>
        <v>8078545.4139169995</v>
      </c>
      <c r="V73" s="46">
        <f>U73</f>
        <v>8078545.4139169995</v>
      </c>
    </row>
    <row r="74" spans="1:25" s="204" customFormat="1" x14ac:dyDescent="0.25">
      <c r="A74" s="42"/>
      <c r="B74" s="245" t="s">
        <v>225</v>
      </c>
      <c r="C74" s="231" t="s">
        <v>219</v>
      </c>
      <c r="D74" s="240" t="s">
        <v>20</v>
      </c>
      <c r="E74" s="250">
        <v>22</v>
      </c>
      <c r="F74" s="250">
        <v>22</v>
      </c>
      <c r="G74" s="232">
        <v>22</v>
      </c>
      <c r="H74" s="232">
        <v>22</v>
      </c>
      <c r="I74" s="232">
        <v>22</v>
      </c>
      <c r="J74" s="46"/>
      <c r="K74" s="46"/>
      <c r="L74" s="46"/>
      <c r="M74" s="46">
        <f t="shared" si="0"/>
        <v>0</v>
      </c>
      <c r="N74" s="251"/>
      <c r="O74" s="46"/>
      <c r="P74" s="251"/>
      <c r="Q74" s="46"/>
      <c r="R74" s="46">
        <v>3663146</v>
      </c>
      <c r="S74" s="46"/>
      <c r="T74" s="46">
        <f>R74</f>
        <v>3663146</v>
      </c>
      <c r="U74" s="46">
        <f>R74</f>
        <v>3663146</v>
      </c>
      <c r="V74" s="46">
        <f>R74</f>
        <v>3663146</v>
      </c>
    </row>
    <row r="75" spans="1:25" s="204" customFormat="1" x14ac:dyDescent="0.25">
      <c r="A75" s="42"/>
      <c r="B75" s="245" t="s">
        <v>225</v>
      </c>
      <c r="C75" s="231" t="s">
        <v>226</v>
      </c>
      <c r="D75" s="240" t="s">
        <v>20</v>
      </c>
      <c r="E75" s="243">
        <v>13</v>
      </c>
      <c r="F75" s="243">
        <v>13</v>
      </c>
      <c r="G75" s="232">
        <v>13</v>
      </c>
      <c r="H75" s="232">
        <v>13</v>
      </c>
      <c r="I75" s="232">
        <v>13</v>
      </c>
      <c r="J75" s="46"/>
      <c r="K75" s="46"/>
      <c r="L75" s="46"/>
      <c r="M75" s="46">
        <f t="shared" si="0"/>
        <v>0</v>
      </c>
      <c r="N75" s="251"/>
      <c r="O75" s="46"/>
      <c r="P75" s="251">
        <v>944082</v>
      </c>
      <c r="Q75" s="46"/>
      <c r="R75" s="46"/>
      <c r="S75" s="46"/>
      <c r="T75" s="46">
        <f>P75</f>
        <v>944082</v>
      </c>
      <c r="U75" s="46">
        <f>P75</f>
        <v>944082</v>
      </c>
      <c r="V75" s="46">
        <f>P75</f>
        <v>944082</v>
      </c>
    </row>
    <row r="76" spans="1:25" s="204" customFormat="1" ht="28.5" x14ac:dyDescent="0.25">
      <c r="A76" s="42"/>
      <c r="B76" s="84" t="s">
        <v>311</v>
      </c>
      <c r="C76" s="231" t="s">
        <v>219</v>
      </c>
      <c r="D76" s="261" t="s">
        <v>20</v>
      </c>
      <c r="E76" s="232"/>
      <c r="F76" s="232"/>
      <c r="G76" s="232">
        <v>22</v>
      </c>
      <c r="H76" s="232">
        <v>22</v>
      </c>
      <c r="I76" s="232">
        <v>22</v>
      </c>
      <c r="J76" s="46"/>
      <c r="K76" s="46"/>
      <c r="L76" s="46"/>
      <c r="M76" s="46">
        <f t="shared" si="0"/>
        <v>0</v>
      </c>
      <c r="N76" s="251"/>
      <c r="O76" s="46"/>
      <c r="P76" s="251"/>
      <c r="Q76" s="46"/>
      <c r="R76" s="46">
        <v>321887</v>
      </c>
      <c r="S76" s="46"/>
      <c r="T76" s="46">
        <f>R76</f>
        <v>321887</v>
      </c>
      <c r="U76" s="46"/>
      <c r="V76" s="46"/>
    </row>
    <row r="77" spans="1:25" s="204" customFormat="1" hidden="1" x14ac:dyDescent="0.25">
      <c r="A77" s="50"/>
      <c r="B77" s="245"/>
      <c r="C77" s="231" t="s">
        <v>226</v>
      </c>
      <c r="D77" s="45"/>
      <c r="E77" s="232"/>
      <c r="F77" s="232"/>
      <c r="G77" s="232"/>
      <c r="H77" s="232"/>
      <c r="I77" s="232"/>
      <c r="J77" s="46"/>
      <c r="K77" s="46"/>
      <c r="L77" s="46"/>
      <c r="M77" s="46">
        <f t="shared" si="0"/>
        <v>0</v>
      </c>
      <c r="N77" s="251"/>
      <c r="O77" s="46"/>
      <c r="P77" s="251"/>
      <c r="Q77" s="46"/>
      <c r="R77" s="46"/>
      <c r="S77" s="46"/>
      <c r="T77" s="46">
        <f>O77</f>
        <v>0</v>
      </c>
      <c r="U77" s="46">
        <f>T77</f>
        <v>0</v>
      </c>
      <c r="V77" s="46">
        <f>U77</f>
        <v>0</v>
      </c>
    </row>
    <row r="78" spans="1:25" ht="47.25" hidden="1" customHeight="1" x14ac:dyDescent="0.25">
      <c r="A78" s="83"/>
      <c r="B78" s="128"/>
      <c r="C78" s="127" t="s">
        <v>226</v>
      </c>
      <c r="D78" s="199"/>
      <c r="E78" s="87"/>
      <c r="F78" s="87"/>
      <c r="G78" s="232"/>
      <c r="H78" s="232"/>
      <c r="I78" s="232"/>
      <c r="J78" s="46"/>
      <c r="K78" s="46"/>
      <c r="L78" s="46"/>
      <c r="M78" s="46">
        <f t="shared" si="0"/>
        <v>0</v>
      </c>
      <c r="N78" s="251"/>
      <c r="O78" s="46"/>
      <c r="P78" s="251"/>
      <c r="Q78" s="46"/>
      <c r="R78" s="46"/>
      <c r="S78" s="46"/>
      <c r="T78" s="46">
        <f>N78</f>
        <v>0</v>
      </c>
      <c r="U78" s="46">
        <f t="shared" ref="U78:V80" si="24">T78</f>
        <v>0</v>
      </c>
      <c r="V78" s="46">
        <f t="shared" si="24"/>
        <v>0</v>
      </c>
    </row>
    <row r="79" spans="1:25" hidden="1" x14ac:dyDescent="0.25">
      <c r="A79" s="83"/>
      <c r="B79" s="128"/>
      <c r="C79" s="127"/>
      <c r="D79" s="226"/>
      <c r="E79" s="87"/>
      <c r="F79" s="87"/>
      <c r="G79" s="232"/>
      <c r="H79" s="232"/>
      <c r="I79" s="232"/>
      <c r="J79" s="46"/>
      <c r="K79" s="46"/>
      <c r="L79" s="46"/>
      <c r="M79" s="46">
        <f t="shared" si="0"/>
        <v>0</v>
      </c>
      <c r="N79" s="251"/>
      <c r="O79" s="46"/>
      <c r="P79" s="251"/>
      <c r="Q79" s="46"/>
      <c r="R79" s="46"/>
      <c r="S79" s="46"/>
      <c r="T79" s="46">
        <f>O79</f>
        <v>0</v>
      </c>
      <c r="U79" s="46">
        <f t="shared" si="24"/>
        <v>0</v>
      </c>
      <c r="V79" s="46">
        <f t="shared" si="24"/>
        <v>0</v>
      </c>
    </row>
    <row r="80" spans="1:25" ht="58.5" customHeight="1" x14ac:dyDescent="0.25">
      <c r="A80" s="194" t="s">
        <v>250</v>
      </c>
      <c r="B80" s="199" t="s">
        <v>28</v>
      </c>
      <c r="C80" s="127" t="s">
        <v>219</v>
      </c>
      <c r="D80" s="86" t="s">
        <v>20</v>
      </c>
      <c r="E80" s="243">
        <f>E73+E72+E71+E70</f>
        <v>220</v>
      </c>
      <c r="F80" s="87">
        <f>F73+F72+F71+F70</f>
        <v>220</v>
      </c>
      <c r="G80" s="232">
        <v>217</v>
      </c>
      <c r="H80" s="232">
        <v>217</v>
      </c>
      <c r="I80" s="232">
        <v>217</v>
      </c>
      <c r="J80" s="46" t="s">
        <v>23</v>
      </c>
      <c r="K80" s="46"/>
      <c r="L80" s="46">
        <v>10085.287235</v>
      </c>
      <c r="M80" s="46">
        <f t="shared" si="0"/>
        <v>10085.287235</v>
      </c>
      <c r="N80" s="251">
        <f t="shared" ref="N80" si="25">G80*J80</f>
        <v>0</v>
      </c>
      <c r="O80" s="46">
        <f t="shared" ref="O80" si="26">G80*K80</f>
        <v>0</v>
      </c>
      <c r="P80" s="251"/>
      <c r="Q80" s="46">
        <f>G80*L80</f>
        <v>2188507.3299949998</v>
      </c>
      <c r="R80" s="46"/>
      <c r="S80" s="46"/>
      <c r="T80" s="46">
        <f t="shared" si="1"/>
        <v>2188507.3299949998</v>
      </c>
      <c r="U80" s="46">
        <f t="shared" si="24"/>
        <v>2188507.3299949998</v>
      </c>
      <c r="V80" s="46">
        <f t="shared" si="24"/>
        <v>2188507.3299949998</v>
      </c>
    </row>
    <row r="81" spans="1:25" ht="42" customHeight="1" x14ac:dyDescent="0.25">
      <c r="A81" s="86"/>
      <c r="B81" s="199" t="s">
        <v>28</v>
      </c>
      <c r="C81" s="127" t="s">
        <v>220</v>
      </c>
      <c r="D81" s="86"/>
      <c r="E81" s="87"/>
      <c r="F81" s="87"/>
      <c r="G81" s="232">
        <v>212</v>
      </c>
      <c r="H81" s="232">
        <v>212</v>
      </c>
      <c r="I81" s="232">
        <v>212</v>
      </c>
      <c r="J81" s="46"/>
      <c r="K81" s="46"/>
      <c r="L81" s="46">
        <v>12750.1</v>
      </c>
      <c r="M81" s="46">
        <f t="shared" si="0"/>
        <v>12750.1</v>
      </c>
      <c r="N81" s="251"/>
      <c r="O81" s="46"/>
      <c r="P81" s="251"/>
      <c r="Q81" s="46"/>
      <c r="R81" s="46"/>
      <c r="S81" s="46">
        <f>L81*G81</f>
        <v>2703021.2</v>
      </c>
      <c r="T81" s="46">
        <f>S81</f>
        <v>2703021.2</v>
      </c>
      <c r="U81" s="46">
        <f>S81</f>
        <v>2703021.2</v>
      </c>
      <c r="V81" s="46">
        <f>S81</f>
        <v>2703021.2</v>
      </c>
    </row>
    <row r="82" spans="1:25" x14ac:dyDescent="0.25">
      <c r="A82" s="189" t="s">
        <v>49</v>
      </c>
      <c r="B82" s="94"/>
      <c r="C82" s="94"/>
      <c r="D82" s="94"/>
      <c r="E82" s="92"/>
      <c r="F82" s="92"/>
      <c r="G82" s="277"/>
      <c r="H82" s="277"/>
      <c r="I82" s="277"/>
      <c r="J82" s="234"/>
      <c r="K82" s="234"/>
      <c r="L82" s="234"/>
      <c r="M82" s="46">
        <f t="shared" si="0"/>
        <v>0</v>
      </c>
      <c r="N82" s="234">
        <f>N83+N94</f>
        <v>6349212</v>
      </c>
      <c r="O82" s="234">
        <f>O83+O94</f>
        <v>2406943.9964116002</v>
      </c>
      <c r="P82" s="252">
        <f>P83</f>
        <v>692994</v>
      </c>
      <c r="Q82" s="234">
        <f>Q83+Q94+Q89</f>
        <v>3239162.529999</v>
      </c>
      <c r="R82" s="234">
        <f>R83</f>
        <v>2529760</v>
      </c>
      <c r="S82" s="234">
        <f>S95</f>
        <v>1377010.8</v>
      </c>
      <c r="T82" s="234">
        <f>T83+T94+T95</f>
        <v>16595083.326410599</v>
      </c>
      <c r="U82" s="234">
        <f>U83+U94+U95</f>
        <v>16166574.326410599</v>
      </c>
      <c r="V82" s="234">
        <f>V83+V94+V95</f>
        <v>16166574.326410599</v>
      </c>
      <c r="W82" s="80">
        <v>3628036.12</v>
      </c>
      <c r="X82" s="85">
        <f>W82-Q82</f>
        <v>388873.59000100009</v>
      </c>
      <c r="Y82" s="80">
        <f>X82/I94</f>
        <v>3535.2144545545461</v>
      </c>
    </row>
    <row r="83" spans="1:25" ht="84.75" customHeight="1" x14ac:dyDescent="0.25">
      <c r="A83" s="194" t="s">
        <v>249</v>
      </c>
      <c r="B83" s="84" t="s">
        <v>76</v>
      </c>
      <c r="C83" s="128"/>
      <c r="D83" s="95"/>
      <c r="E83" s="68"/>
      <c r="F83" s="68"/>
      <c r="G83" s="276"/>
      <c r="H83" s="276"/>
      <c r="I83" s="276"/>
      <c r="J83" s="46"/>
      <c r="K83" s="46"/>
      <c r="L83" s="46"/>
      <c r="M83" s="46">
        <f t="shared" ref="M83:M147" si="27">J83+K83+L83</f>
        <v>0</v>
      </c>
      <c r="N83" s="46">
        <f>SUM(N84:N92)</f>
        <v>6349212</v>
      </c>
      <c r="O83" s="46">
        <f>SUM(O84:O93)</f>
        <v>2406943.9964116002</v>
      </c>
      <c r="P83" s="253">
        <f>P88</f>
        <v>692994</v>
      </c>
      <c r="Q83" s="46">
        <f>SUM(Q84:Q86)</f>
        <v>2235376</v>
      </c>
      <c r="R83" s="46">
        <f>R87+R89</f>
        <v>2529760</v>
      </c>
      <c r="S83" s="46"/>
      <c r="T83" s="46">
        <f>SUM(T84:T93)</f>
        <v>14214285.996411599</v>
      </c>
      <c r="U83" s="46">
        <f t="shared" ref="U83:V83" si="28">SUM(U84:U93)</f>
        <v>13785776.996411599</v>
      </c>
      <c r="V83" s="46">
        <f t="shared" si="28"/>
        <v>13785776.996411599</v>
      </c>
      <c r="W83" s="85">
        <f>T82-U82</f>
        <v>428509</v>
      </c>
    </row>
    <row r="84" spans="1:25" ht="51" customHeight="1" x14ac:dyDescent="0.25">
      <c r="A84" s="83"/>
      <c r="B84" s="97" t="s">
        <v>302</v>
      </c>
      <c r="C84" s="339" t="s">
        <v>299</v>
      </c>
      <c r="D84" s="199" t="s">
        <v>20</v>
      </c>
      <c r="E84" s="243">
        <v>20</v>
      </c>
      <c r="F84" s="243">
        <v>20</v>
      </c>
      <c r="G84" s="232">
        <v>18</v>
      </c>
      <c r="H84" s="232">
        <v>18</v>
      </c>
      <c r="I84" s="232">
        <v>18</v>
      </c>
      <c r="J84" s="46">
        <v>43138.04</v>
      </c>
      <c r="K84" s="46">
        <f>12142.68*1.802017</f>
        <v>21881.31578556</v>
      </c>
      <c r="L84" s="46">
        <v>20321.599999999999</v>
      </c>
      <c r="M84" s="46">
        <f t="shared" si="27"/>
        <v>85340.95578556</v>
      </c>
      <c r="N84" s="46">
        <f>G84*J84</f>
        <v>776484.72</v>
      </c>
      <c r="O84" s="46">
        <f>G84*K84</f>
        <v>393863.68414008</v>
      </c>
      <c r="P84" s="251"/>
      <c r="Q84" s="46">
        <f>G84*L84</f>
        <v>365788.8</v>
      </c>
      <c r="R84" s="46"/>
      <c r="S84" s="46"/>
      <c r="T84" s="46">
        <f>SUM(N84:Q84)</f>
        <v>1536137.2041400799</v>
      </c>
      <c r="U84" s="46">
        <f>T84</f>
        <v>1536137.2041400799</v>
      </c>
      <c r="V84" s="46">
        <f>U84</f>
        <v>1536137.2041400799</v>
      </c>
    </row>
    <row r="85" spans="1:25" ht="54" customHeight="1" x14ac:dyDescent="0.25">
      <c r="A85" s="88"/>
      <c r="B85" s="97" t="s">
        <v>288</v>
      </c>
      <c r="C85" s="340"/>
      <c r="D85" s="86" t="s">
        <v>20</v>
      </c>
      <c r="E85" s="243">
        <v>23</v>
      </c>
      <c r="F85" s="243">
        <v>23</v>
      </c>
      <c r="G85" s="232">
        <v>17</v>
      </c>
      <c r="H85" s="232">
        <v>17</v>
      </c>
      <c r="I85" s="232">
        <v>17</v>
      </c>
      <c r="J85" s="46">
        <v>34198.17</v>
      </c>
      <c r="K85" s="46">
        <f>12142.68*1.802017</f>
        <v>21881.31578556</v>
      </c>
      <c r="L85" s="46">
        <v>20321.599999999999</v>
      </c>
      <c r="M85" s="46">
        <f t="shared" si="27"/>
        <v>76401.08578555999</v>
      </c>
      <c r="N85" s="46">
        <f>G85*J85</f>
        <v>581368.89</v>
      </c>
      <c r="O85" s="46">
        <f>G85*K85</f>
        <v>371982.36835452</v>
      </c>
      <c r="P85" s="251"/>
      <c r="Q85" s="46">
        <f>G85*L85</f>
        <v>345467.19999999995</v>
      </c>
      <c r="R85" s="46"/>
      <c r="S85" s="46"/>
      <c r="T85" s="46">
        <f>SUM(N85:Q85)</f>
        <v>1298818.4583545199</v>
      </c>
      <c r="U85" s="46">
        <f>H85*M85</f>
        <v>1298818.4583545199</v>
      </c>
      <c r="V85" s="46">
        <f>U85</f>
        <v>1298818.4583545199</v>
      </c>
    </row>
    <row r="86" spans="1:25" ht="120" x14ac:dyDescent="0.25">
      <c r="A86" s="88"/>
      <c r="B86" s="97" t="s">
        <v>290</v>
      </c>
      <c r="C86" s="93" t="s">
        <v>303</v>
      </c>
      <c r="D86" s="86" t="s">
        <v>20</v>
      </c>
      <c r="E86" s="243">
        <v>65</v>
      </c>
      <c r="F86" s="243">
        <v>65</v>
      </c>
      <c r="G86" s="232">
        <v>75</v>
      </c>
      <c r="H86" s="232">
        <v>75</v>
      </c>
      <c r="I86" s="232">
        <v>75</v>
      </c>
      <c r="J86" s="275">
        <v>65511.03</v>
      </c>
      <c r="K86" s="46">
        <f>12142.68*1.802017</f>
        <v>21881.31578556</v>
      </c>
      <c r="L86" s="46">
        <v>20321.599999999999</v>
      </c>
      <c r="M86" s="46">
        <f t="shared" si="27"/>
        <v>107713.94578556</v>
      </c>
      <c r="N86" s="46">
        <f>G86*J86-0.86</f>
        <v>4913326.3899999997</v>
      </c>
      <c r="O86" s="46">
        <f>G86*K86-0.74</f>
        <v>1641097.943917</v>
      </c>
      <c r="P86" s="251"/>
      <c r="Q86" s="46">
        <f>G86*L86</f>
        <v>1524120</v>
      </c>
      <c r="R86" s="46"/>
      <c r="S86" s="46"/>
      <c r="T86" s="46">
        <f>SUM(N86:Q86)</f>
        <v>8078544.3339169994</v>
      </c>
      <c r="U86" s="46">
        <f>T86</f>
        <v>8078544.3339169994</v>
      </c>
      <c r="V86" s="46">
        <f>U86</f>
        <v>8078544.3339169994</v>
      </c>
    </row>
    <row r="87" spans="1:25" s="204" customFormat="1" x14ac:dyDescent="0.25">
      <c r="A87" s="49"/>
      <c r="B87" s="246" t="s">
        <v>225</v>
      </c>
      <c r="C87" s="231" t="s">
        <v>219</v>
      </c>
      <c r="D87" s="240" t="s">
        <v>20</v>
      </c>
      <c r="E87" s="250">
        <v>12</v>
      </c>
      <c r="F87" s="250">
        <v>12</v>
      </c>
      <c r="G87" s="232">
        <v>12</v>
      </c>
      <c r="H87" s="232">
        <v>12</v>
      </c>
      <c r="I87" s="232">
        <v>12</v>
      </c>
      <c r="J87" s="46"/>
      <c r="K87" s="46"/>
      <c r="L87" s="46"/>
      <c r="M87" s="46">
        <f t="shared" si="27"/>
        <v>0</v>
      </c>
      <c r="N87" s="251"/>
      <c r="O87" s="46"/>
      <c r="P87" s="251"/>
      <c r="Q87" s="46"/>
      <c r="R87" s="46">
        <v>2388760</v>
      </c>
      <c r="S87" s="46"/>
      <c r="T87" s="46">
        <f>R87</f>
        <v>2388760</v>
      </c>
      <c r="U87" s="46">
        <f>R87</f>
        <v>2388760</v>
      </c>
      <c r="V87" s="46">
        <f>R87</f>
        <v>2388760</v>
      </c>
    </row>
    <row r="88" spans="1:25" s="204" customFormat="1" x14ac:dyDescent="0.25">
      <c r="A88" s="49"/>
      <c r="B88" s="246" t="s">
        <v>225</v>
      </c>
      <c r="C88" s="231" t="s">
        <v>226</v>
      </c>
      <c r="D88" s="240" t="s">
        <v>20</v>
      </c>
      <c r="E88" s="243">
        <v>6</v>
      </c>
      <c r="F88" s="243">
        <v>6</v>
      </c>
      <c r="G88" s="232">
        <v>6</v>
      </c>
      <c r="H88" s="232">
        <v>6</v>
      </c>
      <c r="I88" s="232">
        <v>6</v>
      </c>
      <c r="J88" s="46"/>
      <c r="K88" s="46"/>
      <c r="L88" s="46"/>
      <c r="M88" s="46">
        <f t="shared" si="27"/>
        <v>0</v>
      </c>
      <c r="N88" s="251"/>
      <c r="O88" s="46"/>
      <c r="P88" s="251">
        <f>405485+287509</f>
        <v>692994</v>
      </c>
      <c r="Q88" s="46"/>
      <c r="R88" s="46"/>
      <c r="S88" s="46"/>
      <c r="T88" s="46">
        <f>P88</f>
        <v>692994</v>
      </c>
      <c r="U88" s="46">
        <f>P88-287509</f>
        <v>405485</v>
      </c>
      <c r="V88" s="46">
        <f>U88</f>
        <v>405485</v>
      </c>
    </row>
    <row r="89" spans="1:25" s="204" customFormat="1" ht="28.5" x14ac:dyDescent="0.25">
      <c r="A89" s="49"/>
      <c r="B89" s="84" t="s">
        <v>311</v>
      </c>
      <c r="C89" s="231" t="s">
        <v>219</v>
      </c>
      <c r="D89" s="261" t="s">
        <v>20</v>
      </c>
      <c r="E89" s="232"/>
      <c r="F89" s="232"/>
      <c r="G89" s="232">
        <v>12</v>
      </c>
      <c r="H89" s="232">
        <v>12</v>
      </c>
      <c r="I89" s="232">
        <v>12</v>
      </c>
      <c r="J89" s="46"/>
      <c r="K89" s="46"/>
      <c r="L89" s="46"/>
      <c r="M89" s="46">
        <f t="shared" si="27"/>
        <v>0</v>
      </c>
      <c r="N89" s="251"/>
      <c r="O89" s="46"/>
      <c r="P89" s="251"/>
      <c r="Q89" s="46"/>
      <c r="R89" s="46">
        <v>141000</v>
      </c>
      <c r="S89" s="46"/>
      <c r="T89" s="46">
        <f>R89</f>
        <v>141000</v>
      </c>
      <c r="U89" s="46"/>
      <c r="V89" s="46"/>
    </row>
    <row r="90" spans="1:25" s="204" customFormat="1" hidden="1" x14ac:dyDescent="0.25">
      <c r="A90" s="50"/>
      <c r="B90" s="246" t="s">
        <v>280</v>
      </c>
      <c r="C90" s="231" t="s">
        <v>226</v>
      </c>
      <c r="D90" s="45"/>
      <c r="E90" s="232"/>
      <c r="F90" s="232"/>
      <c r="G90" s="232"/>
      <c r="H90" s="232"/>
      <c r="I90" s="232"/>
      <c r="J90" s="46"/>
      <c r="K90" s="46"/>
      <c r="L90" s="46"/>
      <c r="M90" s="46">
        <f t="shared" si="27"/>
        <v>0</v>
      </c>
      <c r="N90" s="251"/>
      <c r="O90" s="46"/>
      <c r="P90" s="251"/>
      <c r="Q90" s="46"/>
      <c r="R90" s="46"/>
      <c r="S90" s="46"/>
      <c r="T90" s="46">
        <f>O90</f>
        <v>0</v>
      </c>
      <c r="U90" s="46">
        <f t="shared" ref="U90:V91" si="29">T90</f>
        <v>0</v>
      </c>
      <c r="V90" s="46">
        <f t="shared" si="29"/>
        <v>0</v>
      </c>
    </row>
    <row r="91" spans="1:25" s="204" customFormat="1" x14ac:dyDescent="0.25">
      <c r="A91" s="50"/>
      <c r="B91" s="246" t="s">
        <v>281</v>
      </c>
      <c r="C91" s="231" t="s">
        <v>226</v>
      </c>
      <c r="D91" s="45"/>
      <c r="E91" s="232"/>
      <c r="F91" s="232"/>
      <c r="G91" s="232"/>
      <c r="H91" s="232"/>
      <c r="I91" s="232"/>
      <c r="J91" s="46"/>
      <c r="K91" s="46"/>
      <c r="L91" s="46"/>
      <c r="M91" s="46">
        <f t="shared" si="27"/>
        <v>0</v>
      </c>
      <c r="N91" s="251">
        <v>78032</v>
      </c>
      <c r="O91" s="46"/>
      <c r="P91" s="251"/>
      <c r="Q91" s="46"/>
      <c r="R91" s="46"/>
      <c r="S91" s="46"/>
      <c r="T91" s="46">
        <f>N91</f>
        <v>78032</v>
      </c>
      <c r="U91" s="46">
        <f t="shared" si="29"/>
        <v>78032</v>
      </c>
      <c r="V91" s="46">
        <f t="shared" si="29"/>
        <v>78032</v>
      </c>
    </row>
    <row r="92" spans="1:25" ht="43.5" hidden="1" customHeight="1" x14ac:dyDescent="0.25">
      <c r="A92" s="88"/>
      <c r="B92" s="247" t="s">
        <v>258</v>
      </c>
      <c r="C92" s="127" t="s">
        <v>226</v>
      </c>
      <c r="D92" s="199"/>
      <c r="E92" s="87"/>
      <c r="F92" s="87"/>
      <c r="G92" s="232"/>
      <c r="H92" s="232"/>
      <c r="I92" s="232"/>
      <c r="J92" s="46"/>
      <c r="K92" s="46"/>
      <c r="L92" s="46"/>
      <c r="M92" s="46">
        <f t="shared" si="27"/>
        <v>0</v>
      </c>
      <c r="N92" s="251"/>
      <c r="O92" s="46"/>
      <c r="P92" s="251"/>
      <c r="Q92" s="46"/>
      <c r="R92" s="46"/>
      <c r="S92" s="46"/>
      <c r="T92" s="46">
        <f>N92</f>
        <v>0</v>
      </c>
      <c r="U92" s="46">
        <f t="shared" ref="U92:V94" si="30">T92</f>
        <v>0</v>
      </c>
      <c r="V92" s="46">
        <f t="shared" si="30"/>
        <v>0</v>
      </c>
    </row>
    <row r="93" spans="1:25" hidden="1" x14ac:dyDescent="0.25">
      <c r="A93" s="88"/>
      <c r="B93" s="247" t="s">
        <v>275</v>
      </c>
      <c r="C93" s="127"/>
      <c r="D93" s="226"/>
      <c r="E93" s="87"/>
      <c r="F93" s="87"/>
      <c r="G93" s="232"/>
      <c r="H93" s="232"/>
      <c r="I93" s="232"/>
      <c r="J93" s="46"/>
      <c r="K93" s="46"/>
      <c r="L93" s="46"/>
      <c r="M93" s="46">
        <f t="shared" si="27"/>
        <v>0</v>
      </c>
      <c r="N93" s="251"/>
      <c r="O93" s="46"/>
      <c r="P93" s="251"/>
      <c r="Q93" s="46"/>
      <c r="R93" s="46"/>
      <c r="S93" s="46"/>
      <c r="T93" s="46">
        <f>O93</f>
        <v>0</v>
      </c>
      <c r="U93" s="46">
        <f t="shared" si="30"/>
        <v>0</v>
      </c>
      <c r="V93" s="46">
        <f t="shared" si="30"/>
        <v>0</v>
      </c>
    </row>
    <row r="94" spans="1:25" ht="61.5" customHeight="1" x14ac:dyDescent="0.25">
      <c r="A94" s="93" t="s">
        <v>250</v>
      </c>
      <c r="B94" s="199" t="s">
        <v>28</v>
      </c>
      <c r="C94" s="127" t="s">
        <v>219</v>
      </c>
      <c r="D94" s="86" t="s">
        <v>20</v>
      </c>
      <c r="E94" s="243">
        <v>108</v>
      </c>
      <c r="F94" s="243">
        <v>108</v>
      </c>
      <c r="G94" s="232">
        <v>110</v>
      </c>
      <c r="H94" s="232">
        <v>110</v>
      </c>
      <c r="I94" s="232">
        <v>110</v>
      </c>
      <c r="J94" s="46" t="s">
        <v>23</v>
      </c>
      <c r="K94" s="46"/>
      <c r="L94" s="46">
        <v>9125.3320908999995</v>
      </c>
      <c r="M94" s="46">
        <f t="shared" si="27"/>
        <v>9125.3320908999995</v>
      </c>
      <c r="N94" s="251">
        <f t="shared" ref="N94" si="31">G94*J94</f>
        <v>0</v>
      </c>
      <c r="O94" s="46"/>
      <c r="P94" s="251"/>
      <c r="Q94" s="46">
        <f>G94*L94</f>
        <v>1003786.5299989999</v>
      </c>
      <c r="R94" s="46"/>
      <c r="S94" s="46"/>
      <c r="T94" s="46">
        <f t="shared" si="1"/>
        <v>1003786.5299989999</v>
      </c>
      <c r="U94" s="46">
        <f t="shared" si="30"/>
        <v>1003786.5299989999</v>
      </c>
      <c r="V94" s="46">
        <f t="shared" si="30"/>
        <v>1003786.5299989999</v>
      </c>
    </row>
    <row r="95" spans="1:25" ht="16.5" customHeight="1" x14ac:dyDescent="0.25">
      <c r="A95" s="86"/>
      <c r="B95" s="199" t="s">
        <v>28</v>
      </c>
      <c r="C95" s="127" t="s">
        <v>220</v>
      </c>
      <c r="D95" s="86"/>
      <c r="E95" s="87"/>
      <c r="F95" s="87"/>
      <c r="G95" s="232">
        <v>108</v>
      </c>
      <c r="H95" s="232">
        <v>108</v>
      </c>
      <c r="I95" s="232">
        <v>108</v>
      </c>
      <c r="J95" s="46"/>
      <c r="K95" s="46"/>
      <c r="L95" s="46">
        <v>12750.1</v>
      </c>
      <c r="M95" s="46">
        <f t="shared" si="27"/>
        <v>12750.1</v>
      </c>
      <c r="N95" s="251"/>
      <c r="O95" s="46"/>
      <c r="P95" s="251"/>
      <c r="Q95" s="46"/>
      <c r="R95" s="46"/>
      <c r="S95" s="46">
        <f>L95*G95</f>
        <v>1377010.8</v>
      </c>
      <c r="T95" s="46">
        <f>S95</f>
        <v>1377010.8</v>
      </c>
      <c r="U95" s="46">
        <f>S95</f>
        <v>1377010.8</v>
      </c>
      <c r="V95" s="46">
        <f>S95</f>
        <v>1377010.8</v>
      </c>
    </row>
    <row r="96" spans="1:25" x14ac:dyDescent="0.25">
      <c r="A96" s="189" t="s">
        <v>53</v>
      </c>
      <c r="B96" s="94"/>
      <c r="C96" s="94"/>
      <c r="D96" s="94"/>
      <c r="E96" s="92"/>
      <c r="F96" s="92"/>
      <c r="G96" s="277"/>
      <c r="H96" s="277"/>
      <c r="I96" s="277"/>
      <c r="J96" s="234"/>
      <c r="K96" s="234"/>
      <c r="L96" s="234"/>
      <c r="M96" s="46">
        <f t="shared" si="27"/>
        <v>0</v>
      </c>
      <c r="N96" s="234">
        <f>N97+N108</f>
        <v>8034114</v>
      </c>
      <c r="O96" s="234">
        <f>O97+O108</f>
        <v>3632298.00040296</v>
      </c>
      <c r="P96" s="234">
        <f>P97</f>
        <v>1017381</v>
      </c>
      <c r="Q96" s="234">
        <f>Q97+Q108+Q103</f>
        <v>5008705.2799843997</v>
      </c>
      <c r="R96" s="234">
        <f>R97</f>
        <v>5616753</v>
      </c>
      <c r="S96" s="234">
        <f>S109</f>
        <v>2078266.3</v>
      </c>
      <c r="T96" s="234">
        <f>T97+T108+T109</f>
        <v>25387517.580387358</v>
      </c>
      <c r="U96" s="234">
        <f t="shared" ref="U96:V96" si="32">U97+U108+U109</f>
        <v>24721060.900387358</v>
      </c>
      <c r="V96" s="234">
        <f t="shared" si="32"/>
        <v>24721060.900387358</v>
      </c>
      <c r="W96" s="80">
        <v>6590205.9400000004</v>
      </c>
      <c r="X96" s="85">
        <f>W96-Q96</f>
        <v>1581500.6600156007</v>
      </c>
      <c r="Y96" s="124">
        <f>X96/I108</f>
        <v>9527.1124097325337</v>
      </c>
    </row>
    <row r="97" spans="1:25" ht="84.75" customHeight="1" x14ac:dyDescent="0.25">
      <c r="A97" s="194" t="s">
        <v>249</v>
      </c>
      <c r="B97" s="84" t="s">
        <v>76</v>
      </c>
      <c r="C97" s="128"/>
      <c r="D97" s="95"/>
      <c r="E97" s="68"/>
      <c r="F97" s="68"/>
      <c r="G97" s="276"/>
      <c r="H97" s="276"/>
      <c r="I97" s="276"/>
      <c r="J97" s="46"/>
      <c r="K97" s="46"/>
      <c r="L97" s="46"/>
      <c r="M97" s="46">
        <f t="shared" si="27"/>
        <v>0</v>
      </c>
      <c r="N97" s="46">
        <f>SUM(N98:N106)</f>
        <v>8034114</v>
      </c>
      <c r="O97" s="46">
        <f>SUM(O98:O107)</f>
        <v>3632298.00040296</v>
      </c>
      <c r="P97" s="251">
        <f>P102</f>
        <v>1017381</v>
      </c>
      <c r="Q97" s="46">
        <f>SUM(Q98:Q100)</f>
        <v>3373385.5999999996</v>
      </c>
      <c r="R97" s="46">
        <f>R101+R103</f>
        <v>5616753</v>
      </c>
      <c r="S97" s="46"/>
      <c r="T97" s="46">
        <f>SUM(T98:T107)</f>
        <v>21673931.600402959</v>
      </c>
      <c r="U97" s="46">
        <f t="shared" ref="U97:V97" si="33">SUM(U98:U107)</f>
        <v>21007474.920402959</v>
      </c>
      <c r="V97" s="46">
        <f t="shared" si="33"/>
        <v>21007474.920402959</v>
      </c>
      <c r="W97" s="85">
        <f>T96-U96</f>
        <v>666456.6799999997</v>
      </c>
    </row>
    <row r="98" spans="1:25" ht="55.5" customHeight="1" x14ac:dyDescent="0.25">
      <c r="A98" s="83"/>
      <c r="B98" s="97" t="s">
        <v>292</v>
      </c>
      <c r="C98" s="349" t="s">
        <v>299</v>
      </c>
      <c r="D98" s="199" t="s">
        <v>20</v>
      </c>
      <c r="E98" s="243">
        <v>31</v>
      </c>
      <c r="F98" s="243">
        <v>31</v>
      </c>
      <c r="G98" s="232">
        <v>29</v>
      </c>
      <c r="H98" s="232">
        <v>29</v>
      </c>
      <c r="I98" s="232">
        <v>29</v>
      </c>
      <c r="J98" s="46">
        <v>43138.04</v>
      </c>
      <c r="K98" s="46">
        <f>12142.68*1.802017</f>
        <v>21881.31578556</v>
      </c>
      <c r="L98" s="46">
        <v>20321.599999999999</v>
      </c>
      <c r="M98" s="46">
        <f t="shared" si="27"/>
        <v>85340.95578556</v>
      </c>
      <c r="N98" s="46">
        <f>G98*J98-0.16</f>
        <v>1251003</v>
      </c>
      <c r="O98" s="46">
        <f>G98*K98-0.16</f>
        <v>634557.99778124003</v>
      </c>
      <c r="P98" s="251"/>
      <c r="Q98" s="46">
        <f>G98*L98</f>
        <v>589326.39999999991</v>
      </c>
      <c r="R98" s="46"/>
      <c r="S98" s="46"/>
      <c r="T98" s="46">
        <f t="shared" si="1"/>
        <v>2474887.3977812398</v>
      </c>
      <c r="U98" s="46">
        <f t="shared" si="10"/>
        <v>2474887.7177812401</v>
      </c>
      <c r="V98" s="46">
        <f t="shared" si="11"/>
        <v>2474887.7177812401</v>
      </c>
    </row>
    <row r="99" spans="1:25" ht="53.25" customHeight="1" x14ac:dyDescent="0.25">
      <c r="A99" s="88"/>
      <c r="B99" s="97" t="s">
        <v>290</v>
      </c>
      <c r="C99" s="350"/>
      <c r="D99" s="86" t="s">
        <v>20</v>
      </c>
      <c r="E99" s="243">
        <v>64</v>
      </c>
      <c r="F99" s="243">
        <v>64</v>
      </c>
      <c r="G99" s="232">
        <v>70</v>
      </c>
      <c r="H99" s="232">
        <v>70</v>
      </c>
      <c r="I99" s="232">
        <v>70</v>
      </c>
      <c r="J99" s="46">
        <v>34198.17</v>
      </c>
      <c r="K99" s="46">
        <f>12142.68*1.802017</f>
        <v>21881.31578556</v>
      </c>
      <c r="L99" s="46">
        <v>20321.599999999999</v>
      </c>
      <c r="M99" s="46">
        <f t="shared" si="27"/>
        <v>76401.08578555999</v>
      </c>
      <c r="N99" s="46">
        <f>G99*J99+0.1</f>
        <v>2393872</v>
      </c>
      <c r="O99" s="46">
        <f>G99*K99-0.1</f>
        <v>1531692.0049891998</v>
      </c>
      <c r="P99" s="251"/>
      <c r="Q99" s="46">
        <f t="shared" ref="Q99" si="34">G99*L99</f>
        <v>1422512</v>
      </c>
      <c r="R99" s="46"/>
      <c r="S99" s="46"/>
      <c r="T99" s="46">
        <f t="shared" si="1"/>
        <v>5348076.0049891993</v>
      </c>
      <c r="U99" s="46">
        <f>T99</f>
        <v>5348076.0049891993</v>
      </c>
      <c r="V99" s="46">
        <f>U99</f>
        <v>5348076.0049891993</v>
      </c>
    </row>
    <row r="100" spans="1:25" ht="120" x14ac:dyDescent="0.25">
      <c r="A100" s="88"/>
      <c r="B100" s="97" t="s">
        <v>290</v>
      </c>
      <c r="C100" s="93" t="s">
        <v>301</v>
      </c>
      <c r="D100" s="199" t="s">
        <v>20</v>
      </c>
      <c r="E100" s="243">
        <v>72</v>
      </c>
      <c r="F100" s="243">
        <v>72</v>
      </c>
      <c r="G100" s="232">
        <v>67</v>
      </c>
      <c r="H100" s="232">
        <v>67</v>
      </c>
      <c r="I100" s="232">
        <v>67</v>
      </c>
      <c r="J100" s="275">
        <v>65511.03</v>
      </c>
      <c r="K100" s="46">
        <f>12142.68*1.802017</f>
        <v>21881.31578556</v>
      </c>
      <c r="L100" s="46">
        <v>20321.599999999999</v>
      </c>
      <c r="M100" s="46">
        <f t="shared" si="27"/>
        <v>107713.94578556</v>
      </c>
      <c r="N100" s="46">
        <f>G100*J100-0.01</f>
        <v>4389239</v>
      </c>
      <c r="O100" s="46">
        <f t="shared" ref="O100" si="35">G100*K100-0.16</f>
        <v>1466047.99763252</v>
      </c>
      <c r="P100" s="251"/>
      <c r="Q100" s="46">
        <f>G100*L100</f>
        <v>1361547.2</v>
      </c>
      <c r="R100" s="46"/>
      <c r="S100" s="46"/>
      <c r="T100" s="46">
        <f t="shared" si="1"/>
        <v>7216834.1976325205</v>
      </c>
      <c r="U100" s="46">
        <f>T100</f>
        <v>7216834.1976325205</v>
      </c>
      <c r="V100" s="46">
        <f>U100</f>
        <v>7216834.1976325205</v>
      </c>
      <c r="W100" s="85">
        <f>T100-U100</f>
        <v>0</v>
      </c>
    </row>
    <row r="101" spans="1:25" s="204" customFormat="1" x14ac:dyDescent="0.25">
      <c r="A101" s="49"/>
      <c r="B101" s="245" t="s">
        <v>225</v>
      </c>
      <c r="C101" s="231" t="s">
        <v>219</v>
      </c>
      <c r="D101" s="240" t="s">
        <v>20</v>
      </c>
      <c r="E101" s="250">
        <v>26</v>
      </c>
      <c r="F101" s="250">
        <v>26</v>
      </c>
      <c r="G101" s="232">
        <v>26</v>
      </c>
      <c r="H101" s="232">
        <v>26</v>
      </c>
      <c r="I101" s="232">
        <v>26</v>
      </c>
      <c r="J101" s="46"/>
      <c r="K101" s="46"/>
      <c r="L101" s="46"/>
      <c r="M101" s="46">
        <f t="shared" si="27"/>
        <v>0</v>
      </c>
      <c r="N101" s="251"/>
      <c r="O101" s="46"/>
      <c r="P101" s="251"/>
      <c r="Q101" s="46"/>
      <c r="R101" s="46">
        <v>5181997</v>
      </c>
      <c r="S101" s="46"/>
      <c r="T101" s="46">
        <f>R101</f>
        <v>5181997</v>
      </c>
      <c r="U101" s="46">
        <f>R101</f>
        <v>5181997</v>
      </c>
      <c r="V101" s="46">
        <f>R101</f>
        <v>5181997</v>
      </c>
    </row>
    <row r="102" spans="1:25" s="204" customFormat="1" x14ac:dyDescent="0.25">
      <c r="A102" s="49"/>
      <c r="B102" s="245" t="s">
        <v>225</v>
      </c>
      <c r="C102" s="231" t="s">
        <v>226</v>
      </c>
      <c r="D102" s="240" t="s">
        <v>20</v>
      </c>
      <c r="E102" s="243">
        <v>9</v>
      </c>
      <c r="F102" s="243">
        <v>9</v>
      </c>
      <c r="G102" s="232">
        <v>9</v>
      </c>
      <c r="H102" s="232">
        <v>9</v>
      </c>
      <c r="I102" s="232">
        <v>9</v>
      </c>
      <c r="J102" s="46"/>
      <c r="K102" s="46"/>
      <c r="L102" s="46"/>
      <c r="M102" s="46">
        <f t="shared" si="27"/>
        <v>0</v>
      </c>
      <c r="N102" s="251"/>
      <c r="O102" s="46"/>
      <c r="P102" s="251">
        <f>784680+232701</f>
        <v>1017381</v>
      </c>
      <c r="Q102" s="46"/>
      <c r="R102" s="46"/>
      <c r="S102" s="46"/>
      <c r="T102" s="46">
        <f>P102</f>
        <v>1017381</v>
      </c>
      <c r="U102" s="46">
        <f>P102-231701</f>
        <v>785680</v>
      </c>
      <c r="V102" s="46">
        <f>U102</f>
        <v>785680</v>
      </c>
    </row>
    <row r="103" spans="1:25" s="204" customFormat="1" ht="28.5" x14ac:dyDescent="0.25">
      <c r="A103" s="49"/>
      <c r="B103" s="84" t="s">
        <v>311</v>
      </c>
      <c r="C103" s="231" t="s">
        <v>219</v>
      </c>
      <c r="D103" s="50"/>
      <c r="E103" s="232"/>
      <c r="F103" s="232"/>
      <c r="G103" s="232">
        <v>26</v>
      </c>
      <c r="H103" s="232">
        <v>26</v>
      </c>
      <c r="I103" s="232">
        <v>26</v>
      </c>
      <c r="J103" s="46"/>
      <c r="K103" s="46"/>
      <c r="L103" s="46"/>
      <c r="M103" s="46">
        <f t="shared" si="27"/>
        <v>0</v>
      </c>
      <c r="N103" s="251"/>
      <c r="O103" s="46"/>
      <c r="P103" s="251"/>
      <c r="Q103" s="46"/>
      <c r="R103" s="46">
        <v>434756</v>
      </c>
      <c r="S103" s="46"/>
      <c r="T103" s="46">
        <f>R103</f>
        <v>434756</v>
      </c>
      <c r="U103" s="46"/>
      <c r="V103" s="46"/>
    </row>
    <row r="104" spans="1:25" s="204" customFormat="1" ht="13.5" hidden="1" customHeight="1" x14ac:dyDescent="0.25">
      <c r="A104" s="50"/>
      <c r="B104" s="245"/>
      <c r="C104" s="231" t="s">
        <v>226</v>
      </c>
      <c r="D104" s="45"/>
      <c r="E104" s="232"/>
      <c r="F104" s="232"/>
      <c r="G104" s="232"/>
      <c r="H104" s="232"/>
      <c r="I104" s="232"/>
      <c r="J104" s="46"/>
      <c r="K104" s="46"/>
      <c r="L104" s="46"/>
      <c r="M104" s="46">
        <f t="shared" si="27"/>
        <v>0</v>
      </c>
      <c r="N104" s="251"/>
      <c r="O104" s="46"/>
      <c r="P104" s="251"/>
      <c r="Q104" s="46"/>
      <c r="R104" s="46"/>
      <c r="S104" s="46"/>
      <c r="T104" s="46">
        <f>O104</f>
        <v>0</v>
      </c>
      <c r="U104" s="46">
        <f t="shared" ref="U104:V105" si="36">T104</f>
        <v>0</v>
      </c>
      <c r="V104" s="46">
        <f t="shared" si="36"/>
        <v>0</v>
      </c>
    </row>
    <row r="105" spans="1:25" s="204" customFormat="1" hidden="1" x14ac:dyDescent="0.25">
      <c r="A105" s="50"/>
      <c r="B105" s="245"/>
      <c r="C105" s="231" t="s">
        <v>226</v>
      </c>
      <c r="D105" s="45"/>
      <c r="E105" s="232"/>
      <c r="F105" s="232"/>
      <c r="G105" s="232"/>
      <c r="H105" s="232"/>
      <c r="I105" s="232"/>
      <c r="J105" s="46"/>
      <c r="K105" s="46"/>
      <c r="L105" s="46"/>
      <c r="M105" s="46">
        <f t="shared" si="27"/>
        <v>0</v>
      </c>
      <c r="N105" s="251"/>
      <c r="O105" s="46"/>
      <c r="P105" s="251"/>
      <c r="Q105" s="46"/>
      <c r="R105" s="46"/>
      <c r="S105" s="46"/>
      <c r="T105" s="46">
        <f>N105</f>
        <v>0</v>
      </c>
      <c r="U105" s="46">
        <f t="shared" si="36"/>
        <v>0</v>
      </c>
      <c r="V105" s="46">
        <f t="shared" si="36"/>
        <v>0</v>
      </c>
    </row>
    <row r="106" spans="1:25" ht="45.75" hidden="1" customHeight="1" x14ac:dyDescent="0.25">
      <c r="A106" s="88"/>
      <c r="B106" s="128"/>
      <c r="C106" s="127" t="s">
        <v>226</v>
      </c>
      <c r="D106" s="199"/>
      <c r="E106" s="87"/>
      <c r="F106" s="87"/>
      <c r="G106" s="232"/>
      <c r="H106" s="232"/>
      <c r="I106" s="232"/>
      <c r="J106" s="46"/>
      <c r="K106" s="46"/>
      <c r="L106" s="46"/>
      <c r="M106" s="46">
        <f t="shared" si="27"/>
        <v>0</v>
      </c>
      <c r="N106" s="251"/>
      <c r="O106" s="46"/>
      <c r="P106" s="251"/>
      <c r="Q106" s="46"/>
      <c r="R106" s="46"/>
      <c r="S106" s="46"/>
      <c r="T106" s="46">
        <f>N106</f>
        <v>0</v>
      </c>
      <c r="U106" s="46">
        <f t="shared" ref="U106:V108" si="37">T106</f>
        <v>0</v>
      </c>
      <c r="V106" s="46">
        <f t="shared" si="37"/>
        <v>0</v>
      </c>
    </row>
    <row r="107" spans="1:25" hidden="1" x14ac:dyDescent="0.25">
      <c r="A107" s="88"/>
      <c r="B107" s="128"/>
      <c r="C107" s="127"/>
      <c r="D107" s="226"/>
      <c r="E107" s="87"/>
      <c r="F107" s="87"/>
      <c r="G107" s="232"/>
      <c r="H107" s="232"/>
      <c r="I107" s="232"/>
      <c r="J107" s="46"/>
      <c r="K107" s="46"/>
      <c r="L107" s="46"/>
      <c r="M107" s="46">
        <f t="shared" si="27"/>
        <v>0</v>
      </c>
      <c r="N107" s="251"/>
      <c r="O107" s="46"/>
      <c r="P107" s="251"/>
      <c r="Q107" s="46"/>
      <c r="R107" s="46"/>
      <c r="S107" s="46"/>
      <c r="T107" s="46">
        <f>O107</f>
        <v>0</v>
      </c>
      <c r="U107" s="46">
        <f t="shared" si="37"/>
        <v>0</v>
      </c>
      <c r="V107" s="46">
        <f t="shared" si="37"/>
        <v>0</v>
      </c>
    </row>
    <row r="108" spans="1:25" ht="60" customHeight="1" x14ac:dyDescent="0.25">
      <c r="A108" s="194" t="s">
        <v>250</v>
      </c>
      <c r="B108" s="199" t="s">
        <v>28</v>
      </c>
      <c r="C108" s="127" t="s">
        <v>219</v>
      </c>
      <c r="D108" s="86" t="s">
        <v>20</v>
      </c>
      <c r="E108" s="243">
        <f>E100+E99+E98</f>
        <v>167</v>
      </c>
      <c r="F108" s="243">
        <f t="shared" ref="F108:I108" si="38">F100+F99+F98</f>
        <v>167</v>
      </c>
      <c r="G108" s="232">
        <f t="shared" si="38"/>
        <v>166</v>
      </c>
      <c r="H108" s="232">
        <f t="shared" si="38"/>
        <v>166</v>
      </c>
      <c r="I108" s="232">
        <f t="shared" si="38"/>
        <v>166</v>
      </c>
      <c r="J108" s="46" t="s">
        <v>23</v>
      </c>
      <c r="K108" s="46"/>
      <c r="L108" s="46">
        <v>9851.3233734000005</v>
      </c>
      <c r="M108" s="46">
        <f t="shared" si="27"/>
        <v>9851.3233734000005</v>
      </c>
      <c r="N108" s="251">
        <f t="shared" si="14"/>
        <v>0</v>
      </c>
      <c r="O108" s="46">
        <f t="shared" ref="O108" si="39">G108*K108</f>
        <v>0</v>
      </c>
      <c r="P108" s="251"/>
      <c r="Q108" s="46">
        <f>G108*L108</f>
        <v>1635319.6799844</v>
      </c>
      <c r="R108" s="46"/>
      <c r="S108" s="46"/>
      <c r="T108" s="46">
        <f t="shared" si="1"/>
        <v>1635319.6799844</v>
      </c>
      <c r="U108" s="46">
        <f t="shared" si="37"/>
        <v>1635319.6799844</v>
      </c>
      <c r="V108" s="46">
        <f t="shared" si="37"/>
        <v>1635319.6799844</v>
      </c>
    </row>
    <row r="109" spans="1:25" x14ac:dyDescent="0.25">
      <c r="A109" s="86"/>
      <c r="B109" s="199" t="s">
        <v>28</v>
      </c>
      <c r="C109" s="127" t="s">
        <v>220</v>
      </c>
      <c r="D109" s="86"/>
      <c r="E109" s="87"/>
      <c r="F109" s="87"/>
      <c r="G109" s="232">
        <v>163</v>
      </c>
      <c r="H109" s="232">
        <v>163</v>
      </c>
      <c r="I109" s="232">
        <v>163</v>
      </c>
      <c r="J109" s="46"/>
      <c r="K109" s="46"/>
      <c r="L109" s="46">
        <v>12750.1</v>
      </c>
      <c r="M109" s="46">
        <f t="shared" si="27"/>
        <v>12750.1</v>
      </c>
      <c r="N109" s="251"/>
      <c r="O109" s="46"/>
      <c r="P109" s="251"/>
      <c r="Q109" s="46"/>
      <c r="R109" s="46"/>
      <c r="S109" s="46">
        <f>L109*G109</f>
        <v>2078266.3</v>
      </c>
      <c r="T109" s="46">
        <f>S109:S110</f>
        <v>2078266.3</v>
      </c>
      <c r="U109" s="46">
        <f>S109</f>
        <v>2078266.3</v>
      </c>
      <c r="V109" s="46">
        <f>S109</f>
        <v>2078266.3</v>
      </c>
    </row>
    <row r="110" spans="1:25" x14ac:dyDescent="0.25">
      <c r="A110" s="189" t="s">
        <v>57</v>
      </c>
      <c r="B110" s="94"/>
      <c r="C110" s="94"/>
      <c r="D110" s="94"/>
      <c r="E110" s="92"/>
      <c r="F110" s="92"/>
      <c r="G110" s="277"/>
      <c r="H110" s="277"/>
      <c r="I110" s="277"/>
      <c r="J110" s="234"/>
      <c r="K110" s="234"/>
      <c r="L110" s="234"/>
      <c r="M110" s="46">
        <f t="shared" si="27"/>
        <v>0</v>
      </c>
      <c r="N110" s="234">
        <f>N111+N124</f>
        <v>6580599.9999999991</v>
      </c>
      <c r="O110" s="234">
        <f>O111+O124</f>
        <v>2581995.0026960801</v>
      </c>
      <c r="P110" s="252">
        <f>P111</f>
        <v>651161</v>
      </c>
      <c r="Q110" s="234">
        <f>Q111+Q124+Q119</f>
        <v>3539085.03</v>
      </c>
      <c r="R110" s="234">
        <f>R111</f>
        <v>2598068</v>
      </c>
      <c r="S110" s="234">
        <f>S125</f>
        <v>1504511.8</v>
      </c>
      <c r="T110" s="234">
        <f>T111+T124+T125</f>
        <v>17455420.83269608</v>
      </c>
      <c r="U110" s="234">
        <f>U111+U124+U125</f>
        <v>17254764.83269608</v>
      </c>
      <c r="V110" s="234">
        <f>V111+V124+V125</f>
        <v>17254764.83269608</v>
      </c>
      <c r="W110" s="80">
        <v>3824437.07</v>
      </c>
      <c r="X110" s="85">
        <f>W110-Q110</f>
        <v>285352.04000000004</v>
      </c>
      <c r="Y110" s="80">
        <f>X110/I124</f>
        <v>2418.2376271186445</v>
      </c>
    </row>
    <row r="111" spans="1:25" ht="87" customHeight="1" x14ac:dyDescent="0.25">
      <c r="A111" s="194" t="s">
        <v>249</v>
      </c>
      <c r="B111" s="84" t="s">
        <v>76</v>
      </c>
      <c r="C111" s="128"/>
      <c r="D111" s="95"/>
      <c r="E111" s="68"/>
      <c r="F111" s="68"/>
      <c r="G111" s="276"/>
      <c r="H111" s="276"/>
      <c r="I111" s="276"/>
      <c r="J111" s="46"/>
      <c r="K111" s="46"/>
      <c r="L111" s="46"/>
      <c r="M111" s="46">
        <f t="shared" si="27"/>
        <v>0</v>
      </c>
      <c r="N111" s="46">
        <f>SUM(N112:N122)</f>
        <v>6580599.9999999991</v>
      </c>
      <c r="O111" s="46">
        <f>SUM(O112:O123)</f>
        <v>2581995.0026960801</v>
      </c>
      <c r="P111" s="251">
        <f>P118</f>
        <v>651161</v>
      </c>
      <c r="Q111" s="46">
        <f>SUM(Q112:Q115)</f>
        <v>2397948.7999999998</v>
      </c>
      <c r="R111" s="46">
        <f>R117+R119</f>
        <v>2598068</v>
      </c>
      <c r="S111" s="46"/>
      <c r="T111" s="46">
        <f>SUM(T112:T123)</f>
        <v>14809772.802696079</v>
      </c>
      <c r="U111" s="46">
        <f t="shared" ref="U111:V111" si="40">SUM(U112:U123)</f>
        <v>14609116.802696079</v>
      </c>
      <c r="V111" s="46">
        <f t="shared" si="40"/>
        <v>14609116.802696079</v>
      </c>
      <c r="W111" s="85">
        <f>T110-U110</f>
        <v>200656</v>
      </c>
    </row>
    <row r="112" spans="1:25" ht="43.5" customHeight="1" x14ac:dyDescent="0.25">
      <c r="A112" s="280"/>
      <c r="B112" s="97" t="s">
        <v>292</v>
      </c>
      <c r="C112" s="339" t="s">
        <v>299</v>
      </c>
      <c r="D112" s="281" t="s">
        <v>20</v>
      </c>
      <c r="E112" s="68"/>
      <c r="F112" s="68"/>
      <c r="G112" s="232">
        <v>1</v>
      </c>
      <c r="H112" s="232">
        <v>1</v>
      </c>
      <c r="I112" s="232">
        <v>1</v>
      </c>
      <c r="J112" s="46">
        <v>43138.04</v>
      </c>
      <c r="K112" s="46">
        <f>12142.68*1.802017</f>
        <v>21881.31578556</v>
      </c>
      <c r="L112" s="46">
        <v>20321.599999999999</v>
      </c>
      <c r="M112" s="46">
        <f t="shared" si="27"/>
        <v>85340.95578556</v>
      </c>
      <c r="N112" s="46">
        <f>G112*J112-0.04</f>
        <v>43138</v>
      </c>
      <c r="O112" s="46">
        <f>G112*K112-0.32</f>
        <v>21880.995785560001</v>
      </c>
      <c r="P112" s="251"/>
      <c r="Q112" s="46">
        <f>H112*L112</f>
        <v>20321.599999999999</v>
      </c>
      <c r="R112" s="46"/>
      <c r="S112" s="46"/>
      <c r="T112" s="46">
        <f>N112+O112+P112+Q112+R112</f>
        <v>85340.595785559999</v>
      </c>
      <c r="U112" s="46">
        <f t="shared" ref="U112:V114" si="41">T112</f>
        <v>85340.595785559999</v>
      </c>
      <c r="V112" s="46">
        <f t="shared" si="41"/>
        <v>85340.595785559999</v>
      </c>
    </row>
    <row r="113" spans="1:25" ht="63" customHeight="1" x14ac:dyDescent="0.25">
      <c r="A113" s="83"/>
      <c r="B113" s="97" t="s">
        <v>290</v>
      </c>
      <c r="C113" s="352"/>
      <c r="D113" s="199" t="s">
        <v>20</v>
      </c>
      <c r="E113" s="243">
        <v>45</v>
      </c>
      <c r="F113" s="87">
        <v>45</v>
      </c>
      <c r="G113" s="232">
        <v>44</v>
      </c>
      <c r="H113" s="232">
        <v>44</v>
      </c>
      <c r="I113" s="232">
        <v>44</v>
      </c>
      <c r="J113" s="46">
        <v>34198.17</v>
      </c>
      <c r="K113" s="46">
        <f>12142.68*1.802017</f>
        <v>21881.31578556</v>
      </c>
      <c r="L113" s="46">
        <v>20321.599999999999</v>
      </c>
      <c r="M113" s="46">
        <f t="shared" si="27"/>
        <v>76401.08578555999</v>
      </c>
      <c r="N113" s="46">
        <f>G113*J113+0.52</f>
        <v>1504720</v>
      </c>
      <c r="O113" s="46">
        <f>G113*K113+0.11</f>
        <v>962778.00456464</v>
      </c>
      <c r="P113" s="251"/>
      <c r="Q113" s="46">
        <f>G113*L113</f>
        <v>894150.39999999991</v>
      </c>
      <c r="R113" s="46"/>
      <c r="S113" s="46"/>
      <c r="T113" s="46">
        <f t="shared" si="1"/>
        <v>3361648.40456464</v>
      </c>
      <c r="U113" s="46">
        <f t="shared" si="41"/>
        <v>3361648.40456464</v>
      </c>
      <c r="V113" s="46">
        <f t="shared" si="41"/>
        <v>3361648.40456464</v>
      </c>
    </row>
    <row r="114" spans="1:25" ht="120" x14ac:dyDescent="0.25">
      <c r="A114" s="83"/>
      <c r="B114" s="97" t="s">
        <v>290</v>
      </c>
      <c r="C114" s="93" t="s">
        <v>294</v>
      </c>
      <c r="D114" s="199" t="s">
        <v>20</v>
      </c>
      <c r="E114" s="248">
        <v>73</v>
      </c>
      <c r="F114" s="243">
        <v>73</v>
      </c>
      <c r="G114" s="232">
        <v>73</v>
      </c>
      <c r="H114" s="232">
        <v>73</v>
      </c>
      <c r="I114" s="232">
        <v>73</v>
      </c>
      <c r="J114" s="275">
        <v>65511.03</v>
      </c>
      <c r="K114" s="46">
        <f>12142.68*1.802017</f>
        <v>21881.31578556</v>
      </c>
      <c r="L114" s="46">
        <v>20321.599999999999</v>
      </c>
      <c r="M114" s="46">
        <f t="shared" si="27"/>
        <v>107713.94578556</v>
      </c>
      <c r="N114" s="46">
        <f>G114*J114-0.19</f>
        <v>4782304.9999999991</v>
      </c>
      <c r="O114" s="46">
        <f>G114*K114-0.05</f>
        <v>1597336.00234588</v>
      </c>
      <c r="P114" s="251"/>
      <c r="Q114" s="46">
        <f>G114*L114</f>
        <v>1483476.7999999998</v>
      </c>
      <c r="R114" s="46"/>
      <c r="S114" s="46"/>
      <c r="T114" s="46">
        <f>SUM(N114:Q114)</f>
        <v>7863117.8023458784</v>
      </c>
      <c r="U114" s="46">
        <f t="shared" si="41"/>
        <v>7863117.8023458784</v>
      </c>
      <c r="V114" s="46">
        <f t="shared" si="41"/>
        <v>7863117.8023458784</v>
      </c>
    </row>
    <row r="115" spans="1:25" ht="79.5" customHeight="1" x14ac:dyDescent="0.25">
      <c r="A115" s="241"/>
      <c r="B115" s="97" t="s">
        <v>181</v>
      </c>
      <c r="C115" s="241" t="s">
        <v>307</v>
      </c>
      <c r="D115" s="249"/>
      <c r="E115" s="243">
        <v>45</v>
      </c>
      <c r="F115" s="243">
        <v>45</v>
      </c>
      <c r="G115" s="232">
        <v>45</v>
      </c>
      <c r="H115" s="232">
        <v>45</v>
      </c>
      <c r="I115" s="232">
        <v>45</v>
      </c>
      <c r="J115" s="275">
        <v>1554.8</v>
      </c>
      <c r="K115" s="46">
        <v>21881.32</v>
      </c>
      <c r="L115" s="46">
        <v>20321.599999999999</v>
      </c>
      <c r="M115" s="46">
        <f t="shared" si="27"/>
        <v>43757.72</v>
      </c>
      <c r="N115" s="46">
        <f>G115*J115</f>
        <v>69966</v>
      </c>
      <c r="O115" s="46"/>
      <c r="P115" s="251"/>
      <c r="Q115" s="46"/>
      <c r="R115" s="46"/>
      <c r="S115" s="46"/>
      <c r="T115" s="46">
        <f>SUM(N115:Q115)</f>
        <v>69966</v>
      </c>
      <c r="U115" s="46">
        <f>T115</f>
        <v>69966</v>
      </c>
      <c r="V115" s="46">
        <f>U115</f>
        <v>69966</v>
      </c>
    </row>
    <row r="116" spans="1:25" ht="79.5" customHeight="1" x14ac:dyDescent="0.25">
      <c r="A116" s="241"/>
      <c r="B116" s="97" t="s">
        <v>181</v>
      </c>
      <c r="C116" s="241" t="s">
        <v>308</v>
      </c>
      <c r="D116" s="249"/>
      <c r="E116" s="243">
        <v>73</v>
      </c>
      <c r="F116" s="243">
        <v>73</v>
      </c>
      <c r="G116" s="232">
        <v>73</v>
      </c>
      <c r="H116" s="232">
        <v>73</v>
      </c>
      <c r="I116" s="232">
        <v>73</v>
      </c>
      <c r="J116" s="275">
        <v>2073.06</v>
      </c>
      <c r="K116" s="46">
        <f>12142.68*1.802017</f>
        <v>21881.31578556</v>
      </c>
      <c r="L116" s="46">
        <v>20321.599999999999</v>
      </c>
      <c r="M116" s="46">
        <f t="shared" si="27"/>
        <v>44275.975785560004</v>
      </c>
      <c r="N116" s="46">
        <f>G116*J116-0.38</f>
        <v>151333</v>
      </c>
      <c r="O116" s="46"/>
      <c r="P116" s="251"/>
      <c r="Q116" s="46"/>
      <c r="R116" s="46"/>
      <c r="S116" s="46"/>
      <c r="T116" s="46">
        <f>SUM(N116:Q116)</f>
        <v>151333</v>
      </c>
      <c r="U116" s="46">
        <f>T116</f>
        <v>151333</v>
      </c>
      <c r="V116" s="46">
        <f>U116</f>
        <v>151333</v>
      </c>
    </row>
    <row r="117" spans="1:25" s="204" customFormat="1" x14ac:dyDescent="0.25">
      <c r="A117" s="42"/>
      <c r="B117" s="245" t="s">
        <v>225</v>
      </c>
      <c r="C117" s="231" t="s">
        <v>219</v>
      </c>
      <c r="D117" s="240" t="s">
        <v>20</v>
      </c>
      <c r="E117" s="250">
        <v>12</v>
      </c>
      <c r="F117" s="250">
        <v>12</v>
      </c>
      <c r="G117" s="232">
        <v>12</v>
      </c>
      <c r="H117" s="232">
        <v>12</v>
      </c>
      <c r="I117" s="232">
        <v>12</v>
      </c>
      <c r="J117" s="46"/>
      <c r="K117" s="46"/>
      <c r="L117" s="46"/>
      <c r="M117" s="46">
        <f t="shared" si="27"/>
        <v>0</v>
      </c>
      <c r="N117" s="251"/>
      <c r="O117" s="46"/>
      <c r="P117" s="251"/>
      <c r="Q117" s="46"/>
      <c r="R117" s="46">
        <v>2397412</v>
      </c>
      <c r="S117" s="46"/>
      <c r="T117" s="46">
        <f>R117</f>
        <v>2397412</v>
      </c>
      <c r="U117" s="46">
        <f>R117</f>
        <v>2397412</v>
      </c>
      <c r="V117" s="46">
        <f>R117</f>
        <v>2397412</v>
      </c>
    </row>
    <row r="118" spans="1:25" s="204" customFormat="1" x14ac:dyDescent="0.25">
      <c r="A118" s="42"/>
      <c r="B118" s="245" t="s">
        <v>225</v>
      </c>
      <c r="C118" s="231" t="s">
        <v>226</v>
      </c>
      <c r="D118" s="240" t="s">
        <v>20</v>
      </c>
      <c r="E118" s="243">
        <v>8</v>
      </c>
      <c r="F118" s="243">
        <v>8</v>
      </c>
      <c r="G118" s="232">
        <v>8</v>
      </c>
      <c r="H118" s="232">
        <v>8</v>
      </c>
      <c r="I118" s="232">
        <v>8</v>
      </c>
      <c r="J118" s="46"/>
      <c r="K118" s="46"/>
      <c r="L118" s="46"/>
      <c r="M118" s="46">
        <f t="shared" si="27"/>
        <v>0</v>
      </c>
      <c r="N118" s="251"/>
      <c r="O118" s="46"/>
      <c r="P118" s="46">
        <v>651161</v>
      </c>
      <c r="Q118" s="46"/>
      <c r="R118" s="46"/>
      <c r="S118" s="46"/>
      <c r="T118" s="46">
        <f>P118</f>
        <v>651161</v>
      </c>
      <c r="U118" s="46">
        <f>P118</f>
        <v>651161</v>
      </c>
      <c r="V118" s="46">
        <f>P118</f>
        <v>651161</v>
      </c>
    </row>
    <row r="119" spans="1:25" s="204" customFormat="1" ht="28.5" x14ac:dyDescent="0.25">
      <c r="A119" s="42"/>
      <c r="B119" s="84" t="s">
        <v>311</v>
      </c>
      <c r="C119" s="231" t="s">
        <v>219</v>
      </c>
      <c r="D119" s="44"/>
      <c r="E119" s="232"/>
      <c r="F119" s="232"/>
      <c r="G119" s="232">
        <v>12</v>
      </c>
      <c r="H119" s="232">
        <v>12</v>
      </c>
      <c r="I119" s="232">
        <v>12</v>
      </c>
      <c r="J119" s="46"/>
      <c r="K119" s="46"/>
      <c r="L119" s="46"/>
      <c r="M119" s="46">
        <f t="shared" si="27"/>
        <v>0</v>
      </c>
      <c r="N119" s="251"/>
      <c r="O119" s="46"/>
      <c r="P119" s="251"/>
      <c r="Q119" s="46"/>
      <c r="R119" s="46">
        <v>200656</v>
      </c>
      <c r="S119" s="46"/>
      <c r="T119" s="46">
        <f>R119</f>
        <v>200656</v>
      </c>
      <c r="U119" s="46"/>
      <c r="V119" s="46"/>
    </row>
    <row r="120" spans="1:25" s="204" customFormat="1" hidden="1" x14ac:dyDescent="0.25">
      <c r="A120" s="50"/>
      <c r="B120" s="245"/>
      <c r="C120" s="231" t="s">
        <v>226</v>
      </c>
      <c r="D120" s="45"/>
      <c r="E120" s="232"/>
      <c r="F120" s="232"/>
      <c r="G120" s="232"/>
      <c r="H120" s="232"/>
      <c r="I120" s="232"/>
      <c r="J120" s="46"/>
      <c r="K120" s="46"/>
      <c r="L120" s="46"/>
      <c r="M120" s="46">
        <f t="shared" si="27"/>
        <v>0</v>
      </c>
      <c r="N120" s="251"/>
      <c r="O120" s="46"/>
      <c r="P120" s="251"/>
      <c r="Q120" s="46"/>
      <c r="R120" s="46"/>
      <c r="S120" s="46"/>
      <c r="T120" s="46">
        <f>O120</f>
        <v>0</v>
      </c>
      <c r="U120" s="46">
        <f t="shared" ref="U120:V121" si="42">T120</f>
        <v>0</v>
      </c>
      <c r="V120" s="46">
        <f t="shared" si="42"/>
        <v>0</v>
      </c>
    </row>
    <row r="121" spans="1:25" s="204" customFormat="1" x14ac:dyDescent="0.25">
      <c r="A121" s="50"/>
      <c r="B121" s="245" t="s">
        <v>281</v>
      </c>
      <c r="C121" s="231" t="s">
        <v>226</v>
      </c>
      <c r="D121" s="45"/>
      <c r="E121" s="232"/>
      <c r="F121" s="232"/>
      <c r="G121" s="232"/>
      <c r="H121" s="232"/>
      <c r="I121" s="232"/>
      <c r="J121" s="46"/>
      <c r="K121" s="46"/>
      <c r="L121" s="46"/>
      <c r="M121" s="46">
        <f t="shared" si="27"/>
        <v>0</v>
      </c>
      <c r="N121" s="251">
        <v>29138</v>
      </c>
      <c r="O121" s="46"/>
      <c r="P121" s="251"/>
      <c r="Q121" s="46"/>
      <c r="R121" s="46"/>
      <c r="S121" s="46"/>
      <c r="T121" s="46">
        <f>N121</f>
        <v>29138</v>
      </c>
      <c r="U121" s="46">
        <f t="shared" si="42"/>
        <v>29138</v>
      </c>
      <c r="V121" s="46">
        <f t="shared" si="42"/>
        <v>29138</v>
      </c>
    </row>
    <row r="122" spans="1:25" ht="42" hidden="1" customHeight="1" x14ac:dyDescent="0.25">
      <c r="A122" s="83"/>
      <c r="B122" s="128"/>
      <c r="C122" s="127" t="s">
        <v>226</v>
      </c>
      <c r="D122" s="199"/>
      <c r="E122" s="87"/>
      <c r="F122" s="87"/>
      <c r="G122" s="232"/>
      <c r="H122" s="232"/>
      <c r="I122" s="232"/>
      <c r="J122" s="46"/>
      <c r="K122" s="46"/>
      <c r="L122" s="46"/>
      <c r="M122" s="46">
        <f t="shared" si="27"/>
        <v>0</v>
      </c>
      <c r="N122" s="251"/>
      <c r="O122" s="46"/>
      <c r="P122" s="251"/>
      <c r="Q122" s="46"/>
      <c r="R122" s="46"/>
      <c r="S122" s="46"/>
      <c r="T122" s="46">
        <f>N122</f>
        <v>0</v>
      </c>
      <c r="U122" s="46">
        <f>T122</f>
        <v>0</v>
      </c>
      <c r="V122" s="46">
        <f>U122</f>
        <v>0</v>
      </c>
    </row>
    <row r="123" spans="1:25" hidden="1" x14ac:dyDescent="0.25">
      <c r="A123" s="83"/>
      <c r="B123" s="128"/>
      <c r="C123" s="127"/>
      <c r="D123" s="226"/>
      <c r="E123" s="87"/>
      <c r="F123" s="87"/>
      <c r="G123" s="232"/>
      <c r="H123" s="232"/>
      <c r="I123" s="232"/>
      <c r="J123" s="46"/>
      <c r="K123" s="46"/>
      <c r="L123" s="46"/>
      <c r="M123" s="46">
        <f t="shared" si="27"/>
        <v>0</v>
      </c>
      <c r="N123" s="251"/>
      <c r="O123" s="46"/>
      <c r="P123" s="251"/>
      <c r="Q123" s="46"/>
      <c r="R123" s="46"/>
      <c r="S123" s="46"/>
      <c r="T123" s="46">
        <f>O123</f>
        <v>0</v>
      </c>
      <c r="U123" s="46">
        <f>O123</f>
        <v>0</v>
      </c>
      <c r="V123" s="46">
        <f>U123</f>
        <v>0</v>
      </c>
    </row>
    <row r="124" spans="1:25" ht="60" x14ac:dyDescent="0.25">
      <c r="A124" s="194" t="s">
        <v>250</v>
      </c>
      <c r="B124" s="199" t="s">
        <v>28</v>
      </c>
      <c r="C124" s="127" t="s">
        <v>219</v>
      </c>
      <c r="D124" s="86" t="s">
        <v>20</v>
      </c>
      <c r="E124" s="243">
        <v>118</v>
      </c>
      <c r="F124" s="243">
        <v>118</v>
      </c>
      <c r="G124" s="232">
        <v>118</v>
      </c>
      <c r="H124" s="232">
        <v>118</v>
      </c>
      <c r="I124" s="232">
        <v>118</v>
      </c>
      <c r="J124" s="46" t="s">
        <v>23</v>
      </c>
      <c r="K124" s="46"/>
      <c r="L124" s="46">
        <v>9670.65</v>
      </c>
      <c r="M124" s="46">
        <f t="shared" si="27"/>
        <v>9670.65</v>
      </c>
      <c r="N124" s="251">
        <f t="shared" ref="N124" si="43">G124*J124</f>
        <v>0</v>
      </c>
      <c r="O124" s="46">
        <f t="shared" ref="O124" si="44">G124*K124</f>
        <v>0</v>
      </c>
      <c r="P124" s="251"/>
      <c r="Q124" s="46">
        <f>G124*L124-0.47</f>
        <v>1141136.23</v>
      </c>
      <c r="R124" s="46"/>
      <c r="S124" s="46"/>
      <c r="T124" s="46">
        <f t="shared" si="1"/>
        <v>1141136.23</v>
      </c>
      <c r="U124" s="46">
        <f>T124</f>
        <v>1141136.23</v>
      </c>
      <c r="V124" s="46">
        <f>U124</f>
        <v>1141136.23</v>
      </c>
    </row>
    <row r="125" spans="1:25" ht="18" customHeight="1" x14ac:dyDescent="0.25">
      <c r="A125" s="86"/>
      <c r="B125" s="199" t="s">
        <v>28</v>
      </c>
      <c r="C125" s="127" t="s">
        <v>220</v>
      </c>
      <c r="D125" s="86"/>
      <c r="E125" s="87"/>
      <c r="F125" s="87"/>
      <c r="G125" s="232">
        <v>118</v>
      </c>
      <c r="H125" s="232">
        <v>118</v>
      </c>
      <c r="I125" s="232">
        <v>118</v>
      </c>
      <c r="J125" s="46"/>
      <c r="K125" s="46"/>
      <c r="L125" s="46">
        <v>12750.1</v>
      </c>
      <c r="M125" s="46">
        <f t="shared" si="27"/>
        <v>12750.1</v>
      </c>
      <c r="N125" s="251"/>
      <c r="O125" s="46"/>
      <c r="P125" s="251"/>
      <c r="Q125" s="46"/>
      <c r="R125" s="46"/>
      <c r="S125" s="46">
        <f>L125*G124</f>
        <v>1504511.8</v>
      </c>
      <c r="T125" s="46">
        <f>S125</f>
        <v>1504511.8</v>
      </c>
      <c r="U125" s="46">
        <f>S125</f>
        <v>1504511.8</v>
      </c>
      <c r="V125" s="46">
        <f>S125</f>
        <v>1504511.8</v>
      </c>
    </row>
    <row r="126" spans="1:25" ht="17.25" customHeight="1" x14ac:dyDescent="0.25">
      <c r="A126" s="189" t="s">
        <v>61</v>
      </c>
      <c r="B126" s="94"/>
      <c r="C126" s="94"/>
      <c r="D126" s="94"/>
      <c r="E126" s="92"/>
      <c r="F126" s="92"/>
      <c r="G126" s="277"/>
      <c r="H126" s="277"/>
      <c r="I126" s="277"/>
      <c r="J126" s="234"/>
      <c r="K126" s="234"/>
      <c r="L126" s="234"/>
      <c r="M126" s="46">
        <f t="shared" si="27"/>
        <v>0</v>
      </c>
      <c r="N126" s="234">
        <f>N127+N139</f>
        <v>17089534</v>
      </c>
      <c r="O126" s="234">
        <f>O127+O139</f>
        <v>5251515.9985344</v>
      </c>
      <c r="P126" s="234">
        <f>P127</f>
        <v>1671519</v>
      </c>
      <c r="Q126" s="234">
        <f>Q127+Q139+Q134</f>
        <v>7198139.5299999993</v>
      </c>
      <c r="R126" s="234">
        <f>R127</f>
        <v>4840969</v>
      </c>
      <c r="S126" s="234">
        <f>S140</f>
        <v>3021773.7</v>
      </c>
      <c r="T126" s="234">
        <f>T127+T139+T140</f>
        <v>39073451.2285344</v>
      </c>
      <c r="U126" s="234">
        <f t="shared" ref="U126:V126" si="45">U127+U139+U140</f>
        <v>38196181.778534405</v>
      </c>
      <c r="V126" s="234">
        <f t="shared" si="45"/>
        <v>38196181.778534405</v>
      </c>
      <c r="W126" s="80">
        <v>7955680.4199999999</v>
      </c>
      <c r="X126" s="85">
        <f>W126-Q126</f>
        <v>757540.8900000006</v>
      </c>
      <c r="Y126" s="80">
        <f>X126/I139</f>
        <v>3156.4203750000024</v>
      </c>
    </row>
    <row r="127" spans="1:25" ht="83.25" customHeight="1" x14ac:dyDescent="0.25">
      <c r="A127" s="194" t="s">
        <v>249</v>
      </c>
      <c r="B127" s="84" t="s">
        <v>76</v>
      </c>
      <c r="C127" s="128"/>
      <c r="D127" s="95"/>
      <c r="E127" s="68"/>
      <c r="F127" s="68"/>
      <c r="G127" s="276"/>
      <c r="H127" s="276"/>
      <c r="I127" s="276"/>
      <c r="J127" s="46"/>
      <c r="K127" s="46"/>
      <c r="L127" s="46"/>
      <c r="M127" s="46">
        <f t="shared" si="27"/>
        <v>0</v>
      </c>
      <c r="N127" s="46">
        <f>N128+N130+N131+N132+N129+N133+N134+N138+N139</f>
        <v>17089534</v>
      </c>
      <c r="O127" s="46">
        <f>SUM(O128:O138)</f>
        <v>5251515.9985344</v>
      </c>
      <c r="P127" s="46">
        <f>P133</f>
        <v>1671519</v>
      </c>
      <c r="Q127" s="46">
        <f>SUM(Q128:Q131)</f>
        <v>4877184</v>
      </c>
      <c r="R127" s="46">
        <f>R132+R134</f>
        <v>4840969</v>
      </c>
      <c r="S127" s="46"/>
      <c r="T127" s="46">
        <f>SUM(T128:T138)</f>
        <v>33730721.998534396</v>
      </c>
      <c r="U127" s="46">
        <f>SUM(U128:U138)</f>
        <v>32853452.548534401</v>
      </c>
      <c r="V127" s="46">
        <f t="shared" ref="V127" si="46">SUM(V128:V138)</f>
        <v>32853452.548534401</v>
      </c>
      <c r="W127" s="85">
        <f>T126-U126</f>
        <v>877269.44999999553</v>
      </c>
    </row>
    <row r="128" spans="1:25" ht="105" x14ac:dyDescent="0.25">
      <c r="A128" s="83"/>
      <c r="B128" s="97" t="s">
        <v>292</v>
      </c>
      <c r="C128" s="93" t="s">
        <v>299</v>
      </c>
      <c r="D128" s="199" t="s">
        <v>20</v>
      </c>
      <c r="E128" s="243">
        <v>35</v>
      </c>
      <c r="F128" s="87">
        <v>35</v>
      </c>
      <c r="G128" s="232">
        <v>32</v>
      </c>
      <c r="H128" s="232">
        <v>32</v>
      </c>
      <c r="I128" s="232">
        <v>32</v>
      </c>
      <c r="J128" s="46">
        <v>43138.04</v>
      </c>
      <c r="K128" s="46">
        <f>12142.68*1.802017</f>
        <v>21881.31578556</v>
      </c>
      <c r="L128" s="46">
        <v>20321.599999999999</v>
      </c>
      <c r="M128" s="46">
        <f t="shared" si="27"/>
        <v>85340.95578556</v>
      </c>
      <c r="N128" s="46">
        <f>G128*J128-0.28</f>
        <v>1380417</v>
      </c>
      <c r="O128" s="46">
        <f>G128*K128-0.11</f>
        <v>700201.99513792002</v>
      </c>
      <c r="P128" s="46"/>
      <c r="Q128" s="46">
        <f>G128*L128</f>
        <v>650291.19999999995</v>
      </c>
      <c r="R128" s="46"/>
      <c r="S128" s="46"/>
      <c r="T128" s="46">
        <f>SUM(N128:Q128)</f>
        <v>2730910.1951379199</v>
      </c>
      <c r="U128" s="46">
        <f>T128</f>
        <v>2730910.1951379199</v>
      </c>
      <c r="V128" s="46">
        <f>U128</f>
        <v>2730910.1951379199</v>
      </c>
    </row>
    <row r="129" spans="1:25" ht="165" x14ac:dyDescent="0.25">
      <c r="A129" s="88"/>
      <c r="B129" s="97" t="s">
        <v>290</v>
      </c>
      <c r="C129" s="93" t="s">
        <v>304</v>
      </c>
      <c r="D129" s="86" t="s">
        <v>20</v>
      </c>
      <c r="E129" s="243">
        <v>10</v>
      </c>
      <c r="F129" s="87">
        <v>10</v>
      </c>
      <c r="G129" s="232">
        <v>10</v>
      </c>
      <c r="H129" s="232">
        <v>10</v>
      </c>
      <c r="I129" s="232">
        <v>10</v>
      </c>
      <c r="J129" s="46">
        <v>229832.84</v>
      </c>
      <c r="K129" s="46">
        <f>12142.68*1.802017</f>
        <v>21881.31578556</v>
      </c>
      <c r="L129" s="46">
        <v>20321.599999999999</v>
      </c>
      <c r="M129" s="46">
        <f t="shared" si="27"/>
        <v>272035.75578556</v>
      </c>
      <c r="N129" s="46">
        <f>G129*J129+0.6</f>
        <v>2298329</v>
      </c>
      <c r="O129" s="46">
        <f>G129*K129-0.15</f>
        <v>218813.00785560001</v>
      </c>
      <c r="P129" s="46"/>
      <c r="Q129" s="46">
        <f t="shared" ref="Q129:Q131" si="47">G129*L129</f>
        <v>203216</v>
      </c>
      <c r="R129" s="46"/>
      <c r="S129" s="46"/>
      <c r="T129" s="46">
        <f t="shared" si="1"/>
        <v>2720358.0078556002</v>
      </c>
      <c r="U129" s="46">
        <f t="shared" si="10"/>
        <v>2720357.5578556</v>
      </c>
      <c r="V129" s="46">
        <f t="shared" si="11"/>
        <v>2720357.5578556</v>
      </c>
    </row>
    <row r="130" spans="1:25" ht="120" x14ac:dyDescent="0.25">
      <c r="A130" s="88"/>
      <c r="B130" s="97" t="s">
        <v>290</v>
      </c>
      <c r="C130" s="238" t="s">
        <v>301</v>
      </c>
      <c r="D130" s="199" t="s">
        <v>20</v>
      </c>
      <c r="E130" s="243">
        <v>195</v>
      </c>
      <c r="F130" s="243">
        <v>195</v>
      </c>
      <c r="G130" s="232">
        <v>198</v>
      </c>
      <c r="H130" s="232">
        <v>198</v>
      </c>
      <c r="I130" s="232">
        <v>198</v>
      </c>
      <c r="J130" s="275">
        <v>65511.03</v>
      </c>
      <c r="K130" s="46">
        <f>12142.68*1.802017</f>
        <v>21881.31578556</v>
      </c>
      <c r="L130" s="46">
        <v>20321.599999999999</v>
      </c>
      <c r="M130" s="46">
        <f t="shared" si="27"/>
        <v>107713.94578556</v>
      </c>
      <c r="N130" s="46">
        <f>G130*J130+0.06</f>
        <v>12971184</v>
      </c>
      <c r="O130" s="46">
        <f>G130*K130+0.47</f>
        <v>4332500.9955408797</v>
      </c>
      <c r="P130" s="46"/>
      <c r="Q130" s="46">
        <f t="shared" si="47"/>
        <v>4023676.8</v>
      </c>
      <c r="R130" s="46"/>
      <c r="S130" s="46"/>
      <c r="T130" s="46">
        <f t="shared" si="1"/>
        <v>21327361.79554088</v>
      </c>
      <c r="U130" s="46">
        <f>T130</f>
        <v>21327361.79554088</v>
      </c>
      <c r="V130" s="46">
        <f>U130</f>
        <v>21327361.79554088</v>
      </c>
    </row>
    <row r="131" spans="1:25" ht="75" x14ac:dyDescent="0.25">
      <c r="A131" s="83"/>
      <c r="B131" s="97" t="s">
        <v>306</v>
      </c>
      <c r="C131" s="93" t="s">
        <v>305</v>
      </c>
      <c r="D131" s="199" t="s">
        <v>20</v>
      </c>
      <c r="E131" s="243">
        <v>195</v>
      </c>
      <c r="F131" s="243">
        <v>195</v>
      </c>
      <c r="G131" s="232">
        <v>198</v>
      </c>
      <c r="H131" s="232">
        <v>198</v>
      </c>
      <c r="I131" s="232">
        <v>198</v>
      </c>
      <c r="J131" s="46">
        <v>2073.06</v>
      </c>
      <c r="K131" s="46">
        <f>12142.68*1.802017</f>
        <v>21881.31578556</v>
      </c>
      <c r="L131" s="46"/>
      <c r="M131" s="46">
        <f t="shared" si="27"/>
        <v>23954.375785560002</v>
      </c>
      <c r="N131" s="46">
        <f>G131*J131+0.12</f>
        <v>410466</v>
      </c>
      <c r="O131" s="46"/>
      <c r="P131" s="46"/>
      <c r="Q131" s="46">
        <f t="shared" si="47"/>
        <v>0</v>
      </c>
      <c r="R131" s="46"/>
      <c r="S131" s="46"/>
      <c r="T131" s="46">
        <f t="shared" si="1"/>
        <v>410466</v>
      </c>
      <c r="U131" s="46">
        <f>T131</f>
        <v>410466</v>
      </c>
      <c r="V131" s="46">
        <f>U131</f>
        <v>410466</v>
      </c>
    </row>
    <row r="132" spans="1:25" s="204" customFormat="1" x14ac:dyDescent="0.25">
      <c r="A132" s="42"/>
      <c r="B132" s="245" t="s">
        <v>225</v>
      </c>
      <c r="C132" s="231" t="s">
        <v>219</v>
      </c>
      <c r="D132" s="50" t="s">
        <v>20</v>
      </c>
      <c r="E132" s="250">
        <v>23</v>
      </c>
      <c r="F132" s="250">
        <v>23</v>
      </c>
      <c r="G132" s="232">
        <v>23</v>
      </c>
      <c r="H132" s="232">
        <v>23</v>
      </c>
      <c r="I132" s="232">
        <v>23</v>
      </c>
      <c r="J132" s="46"/>
      <c r="K132" s="46"/>
      <c r="L132" s="46"/>
      <c r="M132" s="46">
        <f t="shared" si="27"/>
        <v>0</v>
      </c>
      <c r="N132" s="46"/>
      <c r="O132" s="46"/>
      <c r="P132" s="46"/>
      <c r="Q132" s="46"/>
      <c r="R132" s="46">
        <v>4468082</v>
      </c>
      <c r="S132" s="46"/>
      <c r="T132" s="46">
        <f>R132</f>
        <v>4468082</v>
      </c>
      <c r="U132" s="46">
        <f>R132</f>
        <v>4468082</v>
      </c>
      <c r="V132" s="46">
        <f>R132</f>
        <v>4468082</v>
      </c>
    </row>
    <row r="133" spans="1:25" s="204" customFormat="1" x14ac:dyDescent="0.25">
      <c r="A133" s="42"/>
      <c r="B133" s="245" t="s">
        <v>225</v>
      </c>
      <c r="C133" s="231" t="s">
        <v>226</v>
      </c>
      <c r="D133" s="50" t="s">
        <v>20</v>
      </c>
      <c r="E133" s="243">
        <v>10</v>
      </c>
      <c r="F133" s="243">
        <v>10</v>
      </c>
      <c r="G133" s="232">
        <v>10</v>
      </c>
      <c r="H133" s="232">
        <v>10</v>
      </c>
      <c r="I133" s="232">
        <v>10</v>
      </c>
      <c r="J133" s="46"/>
      <c r="K133" s="46"/>
      <c r="L133" s="46"/>
      <c r="M133" s="46">
        <f t="shared" si="27"/>
        <v>0</v>
      </c>
      <c r="N133" s="46"/>
      <c r="O133" s="46"/>
      <c r="P133" s="46">
        <f>1167137+504382</f>
        <v>1671519</v>
      </c>
      <c r="Q133" s="46"/>
      <c r="R133" s="46"/>
      <c r="S133" s="46"/>
      <c r="T133" s="46">
        <f>P133</f>
        <v>1671519</v>
      </c>
      <c r="U133" s="46">
        <f>P133-504382</f>
        <v>1167137</v>
      </c>
      <c r="V133" s="46">
        <f>U133</f>
        <v>1167137</v>
      </c>
    </row>
    <row r="134" spans="1:25" s="204" customFormat="1" ht="59.25" customHeight="1" x14ac:dyDescent="0.25">
      <c r="A134" s="42"/>
      <c r="B134" s="84" t="s">
        <v>311</v>
      </c>
      <c r="C134" s="231" t="s">
        <v>219</v>
      </c>
      <c r="D134" s="262" t="s">
        <v>20</v>
      </c>
      <c r="E134" s="232"/>
      <c r="F134" s="232"/>
      <c r="G134" s="232">
        <v>23</v>
      </c>
      <c r="H134" s="232">
        <v>23</v>
      </c>
      <c r="I134" s="232">
        <v>23</v>
      </c>
      <c r="J134" s="46"/>
      <c r="K134" s="46"/>
      <c r="L134" s="46"/>
      <c r="M134" s="46">
        <f t="shared" si="27"/>
        <v>0</v>
      </c>
      <c r="N134" s="251"/>
      <c r="O134" s="46"/>
      <c r="P134" s="251"/>
      <c r="Q134" s="46"/>
      <c r="R134" s="46">
        <v>372887</v>
      </c>
      <c r="S134" s="46"/>
      <c r="T134" s="46">
        <f>R134</f>
        <v>372887</v>
      </c>
      <c r="U134" s="46"/>
      <c r="V134" s="46"/>
    </row>
    <row r="135" spans="1:25" s="204" customFormat="1" hidden="1" x14ac:dyDescent="0.25">
      <c r="A135" s="50"/>
      <c r="B135" s="245" t="s">
        <v>280</v>
      </c>
      <c r="C135" s="231" t="s">
        <v>226</v>
      </c>
      <c r="D135" s="45"/>
      <c r="E135" s="232"/>
      <c r="F135" s="232"/>
      <c r="G135" s="232"/>
      <c r="H135" s="232"/>
      <c r="I135" s="232"/>
      <c r="J135" s="46"/>
      <c r="K135" s="46"/>
      <c r="L135" s="46"/>
      <c r="M135" s="46">
        <f t="shared" si="27"/>
        <v>0</v>
      </c>
      <c r="N135" s="251"/>
      <c r="O135" s="46"/>
      <c r="P135" s="251"/>
      <c r="Q135" s="46"/>
      <c r="R135" s="46"/>
      <c r="S135" s="46"/>
      <c r="T135" s="46">
        <f>O135</f>
        <v>0</v>
      </c>
      <c r="U135" s="46">
        <f t="shared" ref="U135:V136" si="48">T135</f>
        <v>0</v>
      </c>
      <c r="V135" s="46">
        <f t="shared" si="48"/>
        <v>0</v>
      </c>
    </row>
    <row r="136" spans="1:25" s="204" customFormat="1" hidden="1" x14ac:dyDescent="0.25">
      <c r="A136" s="50"/>
      <c r="B136" s="245" t="s">
        <v>281</v>
      </c>
      <c r="C136" s="231" t="s">
        <v>226</v>
      </c>
      <c r="D136" s="45"/>
      <c r="E136" s="232"/>
      <c r="F136" s="232"/>
      <c r="G136" s="232"/>
      <c r="H136" s="232"/>
      <c r="I136" s="232"/>
      <c r="J136" s="46"/>
      <c r="K136" s="46"/>
      <c r="L136" s="46"/>
      <c r="M136" s="46">
        <f t="shared" si="27"/>
        <v>0</v>
      </c>
      <c r="N136" s="251">
        <v>24310.020723895861</v>
      </c>
      <c r="O136" s="46"/>
      <c r="P136" s="251"/>
      <c r="Q136" s="46"/>
      <c r="R136" s="46"/>
      <c r="S136" s="46"/>
      <c r="T136" s="46"/>
      <c r="U136" s="46">
        <f t="shared" si="48"/>
        <v>0</v>
      </c>
      <c r="V136" s="46">
        <f t="shared" si="48"/>
        <v>0</v>
      </c>
    </row>
    <row r="137" spans="1:25" ht="42" hidden="1" customHeight="1" x14ac:dyDescent="0.25">
      <c r="A137" s="83"/>
      <c r="B137" s="128" t="s">
        <v>258</v>
      </c>
      <c r="C137" s="127" t="s">
        <v>226</v>
      </c>
      <c r="D137" s="199"/>
      <c r="E137" s="87"/>
      <c r="F137" s="87"/>
      <c r="G137" s="232"/>
      <c r="H137" s="232"/>
      <c r="I137" s="232"/>
      <c r="J137" s="46"/>
      <c r="K137" s="46"/>
      <c r="L137" s="46"/>
      <c r="M137" s="46">
        <f t="shared" si="27"/>
        <v>0</v>
      </c>
      <c r="N137" s="251"/>
      <c r="O137" s="46"/>
      <c r="P137" s="251"/>
      <c r="Q137" s="46"/>
      <c r="R137" s="46"/>
      <c r="S137" s="46"/>
      <c r="T137" s="46">
        <f>N137</f>
        <v>0</v>
      </c>
      <c r="U137" s="46">
        <f t="shared" ref="U137:V139" si="49">T137</f>
        <v>0</v>
      </c>
      <c r="V137" s="46">
        <f t="shared" si="49"/>
        <v>0</v>
      </c>
    </row>
    <row r="138" spans="1:25" ht="18" customHeight="1" x14ac:dyDescent="0.25">
      <c r="A138" s="83"/>
      <c r="B138" s="245" t="s">
        <v>281</v>
      </c>
      <c r="C138" s="231" t="s">
        <v>226</v>
      </c>
      <c r="D138" s="226"/>
      <c r="E138" s="87"/>
      <c r="F138" s="87"/>
      <c r="G138" s="232"/>
      <c r="H138" s="232"/>
      <c r="I138" s="232"/>
      <c r="J138" s="46"/>
      <c r="K138" s="46"/>
      <c r="L138" s="46"/>
      <c r="M138" s="46">
        <f t="shared" si="27"/>
        <v>0</v>
      </c>
      <c r="N138" s="251">
        <v>29138</v>
      </c>
      <c r="O138" s="46"/>
      <c r="P138" s="251"/>
      <c r="Q138" s="46"/>
      <c r="R138" s="46"/>
      <c r="S138" s="46"/>
      <c r="T138" s="46">
        <f>N138</f>
        <v>29138</v>
      </c>
      <c r="U138" s="46">
        <f>T138</f>
        <v>29138</v>
      </c>
      <c r="V138" s="46">
        <f>U138</f>
        <v>29138</v>
      </c>
    </row>
    <row r="139" spans="1:25" ht="61.5" customHeight="1" x14ac:dyDescent="0.25">
      <c r="A139" s="194" t="s">
        <v>250</v>
      </c>
      <c r="B139" s="199" t="s">
        <v>28</v>
      </c>
      <c r="C139" s="127" t="s">
        <v>219</v>
      </c>
      <c r="D139" s="86" t="s">
        <v>20</v>
      </c>
      <c r="E139" s="243">
        <f>E130+E129+E128</f>
        <v>240</v>
      </c>
      <c r="F139" s="243">
        <f>F130+F129+F128</f>
        <v>240</v>
      </c>
      <c r="G139" s="232">
        <f>(E139*8+F139*4)/12</f>
        <v>240</v>
      </c>
      <c r="H139" s="232">
        <f>H130+H129+H128</f>
        <v>240</v>
      </c>
      <c r="I139" s="232">
        <f>I130+I129+I128</f>
        <v>240</v>
      </c>
      <c r="J139" s="46" t="s">
        <v>23</v>
      </c>
      <c r="K139" s="46"/>
      <c r="L139" s="46">
        <v>9670.65</v>
      </c>
      <c r="M139" s="46">
        <f t="shared" si="27"/>
        <v>9670.65</v>
      </c>
      <c r="N139" s="251"/>
      <c r="O139" s="46">
        <f t="shared" ref="O139" si="50">G139*K139</f>
        <v>0</v>
      </c>
      <c r="P139" s="251"/>
      <c r="Q139" s="46">
        <f>G139*L139-0.47</f>
        <v>2320955.5299999998</v>
      </c>
      <c r="R139" s="46"/>
      <c r="S139" s="46"/>
      <c r="T139" s="46">
        <f>Q139</f>
        <v>2320955.5299999998</v>
      </c>
      <c r="U139" s="46">
        <f t="shared" si="49"/>
        <v>2320955.5299999998</v>
      </c>
      <c r="V139" s="46">
        <f t="shared" si="49"/>
        <v>2320955.5299999998</v>
      </c>
    </row>
    <row r="140" spans="1:25" x14ac:dyDescent="0.25">
      <c r="A140" s="86"/>
      <c r="B140" s="199" t="s">
        <v>28</v>
      </c>
      <c r="C140" s="127" t="s">
        <v>220</v>
      </c>
      <c r="D140" s="86"/>
      <c r="E140" s="87"/>
      <c r="F140" s="87"/>
      <c r="G140" s="232">
        <v>237</v>
      </c>
      <c r="H140" s="232">
        <v>237</v>
      </c>
      <c r="I140" s="232">
        <v>237</v>
      </c>
      <c r="J140" s="46"/>
      <c r="K140" s="46"/>
      <c r="L140" s="46">
        <v>12750.1</v>
      </c>
      <c r="M140" s="46">
        <f t="shared" si="27"/>
        <v>12750.1</v>
      </c>
      <c r="N140" s="251"/>
      <c r="O140" s="46"/>
      <c r="P140" s="251"/>
      <c r="Q140" s="46"/>
      <c r="R140" s="46"/>
      <c r="S140" s="46">
        <f>L140*G140</f>
        <v>3021773.7</v>
      </c>
      <c r="T140" s="46">
        <f>S140</f>
        <v>3021773.7</v>
      </c>
      <c r="U140" s="46">
        <f>S140</f>
        <v>3021773.7</v>
      </c>
      <c r="V140" s="46">
        <f>S140</f>
        <v>3021773.7</v>
      </c>
    </row>
    <row r="141" spans="1:25" x14ac:dyDescent="0.25">
      <c r="A141" s="189" t="s">
        <v>65</v>
      </c>
      <c r="B141" s="94"/>
      <c r="C141" s="94"/>
      <c r="D141" s="94"/>
      <c r="E141" s="92"/>
      <c r="F141" s="92"/>
      <c r="G141" s="277"/>
      <c r="H141" s="277"/>
      <c r="I141" s="277"/>
      <c r="J141" s="234"/>
      <c r="K141" s="234"/>
      <c r="L141" s="234"/>
      <c r="M141" s="46">
        <f t="shared" si="27"/>
        <v>0</v>
      </c>
      <c r="N141" s="234">
        <f>N142+N151</f>
        <v>7842028</v>
      </c>
      <c r="O141" s="234">
        <f>O142+O151</f>
        <v>2888335.0036939201</v>
      </c>
      <c r="P141" s="234">
        <f>P142</f>
        <v>558522</v>
      </c>
      <c r="Q141" s="234">
        <f>Q142+Q151-0.01+Q147</f>
        <v>4078945.5300000003</v>
      </c>
      <c r="R141" s="234">
        <f>R142</f>
        <v>2546550</v>
      </c>
      <c r="S141" s="234">
        <f>S152</f>
        <v>1683013.2</v>
      </c>
      <c r="T141" s="234">
        <f>T142+T151+T152-0.01</f>
        <v>19597393.733693916</v>
      </c>
      <c r="U141" s="234">
        <f>U142+U151+U152</f>
        <v>19252974.743693918</v>
      </c>
      <c r="V141" s="234">
        <f>V142+V151+V152</f>
        <v>19252974.743693918</v>
      </c>
      <c r="W141" s="80">
        <v>4231396.84</v>
      </c>
      <c r="X141" s="85">
        <f>W141-Q141</f>
        <v>152451.30999999959</v>
      </c>
      <c r="Y141" s="80">
        <f>X141/I151</f>
        <v>1154.9341666666635</v>
      </c>
    </row>
    <row r="142" spans="1:25" ht="85.5" customHeight="1" x14ac:dyDescent="0.25">
      <c r="A142" s="194" t="s">
        <v>249</v>
      </c>
      <c r="B142" s="84" t="s">
        <v>76</v>
      </c>
      <c r="C142" s="128"/>
      <c r="D142" s="95"/>
      <c r="E142" s="68"/>
      <c r="F142" s="68"/>
      <c r="G142" s="276"/>
      <c r="H142" s="276"/>
      <c r="I142" s="276"/>
      <c r="J142" s="46"/>
      <c r="K142" s="46"/>
      <c r="L142" s="46"/>
      <c r="M142" s="46">
        <f t="shared" si="27"/>
        <v>0</v>
      </c>
      <c r="N142" s="46">
        <f>SUM(N143:N149)</f>
        <v>7842028</v>
      </c>
      <c r="O142" s="46">
        <f>SUM(O143:O150)</f>
        <v>2888335.0036939201</v>
      </c>
      <c r="P142" s="46">
        <f>P146</f>
        <v>558522</v>
      </c>
      <c r="Q142" s="46">
        <f>SUM(Q143:Q144)</f>
        <v>2682451.21</v>
      </c>
      <c r="R142" s="46">
        <f>R145+R147</f>
        <v>2546550</v>
      </c>
      <c r="S142" s="46"/>
      <c r="T142" s="46">
        <f>SUM(T143:T150)</f>
        <v>16517886.213693919</v>
      </c>
      <c r="U142" s="46">
        <f>SUM(U143:U150)</f>
        <v>16173467.213693919</v>
      </c>
      <c r="V142" s="46">
        <f t="shared" ref="V142" si="51">SUM(V143:V150)</f>
        <v>16173467.213693919</v>
      </c>
    </row>
    <row r="143" spans="1:25" ht="105" x14ac:dyDescent="0.25">
      <c r="A143" s="83"/>
      <c r="B143" s="97" t="s">
        <v>292</v>
      </c>
      <c r="C143" s="93" t="s">
        <v>295</v>
      </c>
      <c r="D143" s="86" t="s">
        <v>20</v>
      </c>
      <c r="E143" s="243">
        <v>35</v>
      </c>
      <c r="F143" s="243">
        <v>35</v>
      </c>
      <c r="G143" s="232">
        <v>36</v>
      </c>
      <c r="H143" s="232">
        <v>36</v>
      </c>
      <c r="I143" s="232">
        <v>36</v>
      </c>
      <c r="J143" s="46">
        <v>43138.04</v>
      </c>
      <c r="K143" s="46">
        <f>12142.68*1.802017</f>
        <v>21881.31578556</v>
      </c>
      <c r="L143" s="46">
        <v>20321.599999999999</v>
      </c>
      <c r="M143" s="46">
        <f t="shared" si="27"/>
        <v>85340.95578556</v>
      </c>
      <c r="N143" s="46">
        <f>G143*J143-0.44</f>
        <v>1552969</v>
      </c>
      <c r="O143" s="46">
        <f>G143*K143+0.63</f>
        <v>787727.99828016001</v>
      </c>
      <c r="P143" s="282"/>
      <c r="Q143" s="46">
        <f>G143*L143</f>
        <v>731577.6</v>
      </c>
      <c r="R143" s="46"/>
      <c r="S143" s="46"/>
      <c r="T143" s="46">
        <f>N143+O143+P143+Q143+R143</f>
        <v>3072274.5982801602</v>
      </c>
      <c r="U143" s="46">
        <f>T143</f>
        <v>3072274.5982801602</v>
      </c>
      <c r="V143" s="46">
        <f>U143</f>
        <v>3072274.5982801602</v>
      </c>
      <c r="W143" s="85">
        <f>T141-U141</f>
        <v>344418.98999999836</v>
      </c>
    </row>
    <row r="144" spans="1:25" ht="108" customHeight="1" x14ac:dyDescent="0.25">
      <c r="A144" s="88"/>
      <c r="B144" s="97" t="s">
        <v>290</v>
      </c>
      <c r="C144" s="93" t="s">
        <v>309</v>
      </c>
      <c r="D144" s="86" t="s">
        <v>20</v>
      </c>
      <c r="E144" s="243">
        <v>101</v>
      </c>
      <c r="F144" s="243">
        <v>101</v>
      </c>
      <c r="G144" s="232">
        <v>96</v>
      </c>
      <c r="H144" s="232">
        <v>96</v>
      </c>
      <c r="I144" s="232">
        <v>96</v>
      </c>
      <c r="J144" s="46">
        <v>65511.03</v>
      </c>
      <c r="K144" s="46">
        <f>12142.68*1.802017</f>
        <v>21881.31578556</v>
      </c>
      <c r="L144" s="46">
        <v>20321.599999999999</v>
      </c>
      <c r="M144" s="46">
        <f t="shared" si="27"/>
        <v>107713.94578556</v>
      </c>
      <c r="N144" s="46">
        <f>G144*J144+0.12</f>
        <v>6289059</v>
      </c>
      <c r="O144" s="46">
        <f>G144*K144+0.69</f>
        <v>2100607.00541376</v>
      </c>
      <c r="P144" s="282"/>
      <c r="Q144" s="46">
        <f>G144*L144+0.01</f>
        <v>1950873.6099999999</v>
      </c>
      <c r="R144" s="46"/>
      <c r="S144" s="46"/>
      <c r="T144" s="46">
        <f t="shared" ref="T144" si="52">N144+O144+P144+Q144+R144</f>
        <v>10340539.615413759</v>
      </c>
      <c r="U144" s="46">
        <f>T144</f>
        <v>10340539.615413759</v>
      </c>
      <c r="V144" s="46">
        <f>U144</f>
        <v>10340539.615413759</v>
      </c>
    </row>
    <row r="145" spans="1:25" s="204" customFormat="1" x14ac:dyDescent="0.25">
      <c r="A145" s="49"/>
      <c r="B145" s="245" t="s">
        <v>225</v>
      </c>
      <c r="C145" s="231" t="s">
        <v>219</v>
      </c>
      <c r="D145" s="50" t="s">
        <v>20</v>
      </c>
      <c r="E145" s="250">
        <v>12</v>
      </c>
      <c r="F145" s="250">
        <v>12</v>
      </c>
      <c r="G145" s="232">
        <v>12</v>
      </c>
      <c r="H145" s="232">
        <v>12</v>
      </c>
      <c r="I145" s="232">
        <v>12</v>
      </c>
      <c r="J145" s="46"/>
      <c r="K145" s="46"/>
      <c r="L145" s="46"/>
      <c r="M145" s="46">
        <f t="shared" si="27"/>
        <v>0</v>
      </c>
      <c r="N145" s="251"/>
      <c r="O145" s="46"/>
      <c r="P145" s="282"/>
      <c r="Q145" s="46"/>
      <c r="R145" s="46">
        <v>2345894</v>
      </c>
      <c r="S145" s="46"/>
      <c r="T145" s="46">
        <f>R145</f>
        <v>2345894</v>
      </c>
      <c r="U145" s="46">
        <f>R145</f>
        <v>2345894</v>
      </c>
      <c r="V145" s="46">
        <f>R145</f>
        <v>2345894</v>
      </c>
    </row>
    <row r="146" spans="1:25" s="204" customFormat="1" x14ac:dyDescent="0.25">
      <c r="A146" s="49"/>
      <c r="B146" s="245" t="s">
        <v>225</v>
      </c>
      <c r="C146" s="231" t="s">
        <v>226</v>
      </c>
      <c r="D146" s="50" t="s">
        <v>20</v>
      </c>
      <c r="E146" s="243">
        <v>5</v>
      </c>
      <c r="F146" s="243">
        <v>5</v>
      </c>
      <c r="G146" s="232">
        <v>5</v>
      </c>
      <c r="H146" s="232">
        <v>5</v>
      </c>
      <c r="I146" s="232">
        <v>5</v>
      </c>
      <c r="J146" s="46"/>
      <c r="K146" s="46"/>
      <c r="L146" s="46"/>
      <c r="M146" s="46">
        <f t="shared" si="27"/>
        <v>0</v>
      </c>
      <c r="N146" s="251"/>
      <c r="O146" s="46"/>
      <c r="P146" s="46">
        <f>414759+143763</f>
        <v>558522</v>
      </c>
      <c r="Q146" s="46"/>
      <c r="R146" s="46"/>
      <c r="S146" s="46"/>
      <c r="T146" s="46">
        <f>P146</f>
        <v>558522</v>
      </c>
      <c r="U146" s="46">
        <f>P146-143763</f>
        <v>414759</v>
      </c>
      <c r="V146" s="46">
        <f>U146</f>
        <v>414759</v>
      </c>
    </row>
    <row r="147" spans="1:25" s="204" customFormat="1" ht="32.25" customHeight="1" x14ac:dyDescent="0.25">
      <c r="A147" s="49"/>
      <c r="B147" s="84" t="s">
        <v>311</v>
      </c>
      <c r="C147" s="231" t="s">
        <v>219</v>
      </c>
      <c r="D147" s="50"/>
      <c r="E147" s="232"/>
      <c r="F147" s="232"/>
      <c r="G147" s="232">
        <v>12</v>
      </c>
      <c r="H147" s="232">
        <v>12</v>
      </c>
      <c r="I147" s="232">
        <v>12</v>
      </c>
      <c r="J147" s="46"/>
      <c r="K147" s="46"/>
      <c r="L147" s="46"/>
      <c r="M147" s="46">
        <f t="shared" si="27"/>
        <v>0</v>
      </c>
      <c r="N147" s="251"/>
      <c r="O147" s="46"/>
      <c r="P147" s="251"/>
      <c r="Q147" s="46"/>
      <c r="R147" s="46">
        <v>200656</v>
      </c>
      <c r="S147" s="46"/>
      <c r="T147" s="46">
        <f>R147</f>
        <v>200656</v>
      </c>
      <c r="U147" s="46"/>
      <c r="V147" s="46"/>
    </row>
    <row r="148" spans="1:25" s="204" customFormat="1" hidden="1" x14ac:dyDescent="0.25">
      <c r="A148" s="50"/>
      <c r="B148" s="245" t="s">
        <v>280</v>
      </c>
      <c r="C148" s="231" t="s">
        <v>226</v>
      </c>
      <c r="D148" s="45"/>
      <c r="E148" s="232"/>
      <c r="F148" s="232"/>
      <c r="G148" s="232"/>
      <c r="H148" s="232"/>
      <c r="I148" s="232"/>
      <c r="J148" s="46"/>
      <c r="K148" s="46"/>
      <c r="L148" s="46"/>
      <c r="M148" s="46">
        <f t="shared" ref="M148:M179" si="53">J148+K148+L148</f>
        <v>0</v>
      </c>
      <c r="N148" s="251"/>
      <c r="O148" s="46"/>
      <c r="P148" s="251"/>
      <c r="Q148" s="46"/>
      <c r="R148" s="46"/>
      <c r="S148" s="46"/>
      <c r="T148" s="46">
        <f>O148</f>
        <v>0</v>
      </c>
      <c r="U148" s="46">
        <f t="shared" ref="U148:V150" si="54">T148</f>
        <v>0</v>
      </c>
      <c r="V148" s="46">
        <f t="shared" si="54"/>
        <v>0</v>
      </c>
    </row>
    <row r="149" spans="1:25" ht="44.25" hidden="1" customHeight="1" x14ac:dyDescent="0.25">
      <c r="A149" s="88"/>
      <c r="B149" s="128" t="s">
        <v>258</v>
      </c>
      <c r="C149" s="127" t="s">
        <v>226</v>
      </c>
      <c r="D149" s="199"/>
      <c r="E149" s="87"/>
      <c r="F149" s="87"/>
      <c r="G149" s="232"/>
      <c r="H149" s="232"/>
      <c r="I149" s="232"/>
      <c r="J149" s="46"/>
      <c r="K149" s="46"/>
      <c r="L149" s="46"/>
      <c r="M149" s="46">
        <f t="shared" si="53"/>
        <v>0</v>
      </c>
      <c r="N149" s="251"/>
      <c r="O149" s="46"/>
      <c r="P149" s="251"/>
      <c r="Q149" s="46"/>
      <c r="R149" s="46"/>
      <c r="S149" s="46"/>
      <c r="T149" s="46">
        <f>N149</f>
        <v>0</v>
      </c>
      <c r="U149" s="46">
        <f t="shared" si="54"/>
        <v>0</v>
      </c>
      <c r="V149" s="46">
        <f t="shared" si="54"/>
        <v>0</v>
      </c>
    </row>
    <row r="150" spans="1:25" ht="16.5" customHeight="1" x14ac:dyDescent="0.25">
      <c r="A150" s="88"/>
      <c r="B150" s="245" t="s">
        <v>281</v>
      </c>
      <c r="C150" s="231" t="s">
        <v>226</v>
      </c>
      <c r="D150" s="226"/>
      <c r="E150" s="87"/>
      <c r="F150" s="87"/>
      <c r="G150" s="232"/>
      <c r="H150" s="232"/>
      <c r="I150" s="232"/>
      <c r="J150" s="46"/>
      <c r="K150" s="46"/>
      <c r="L150" s="46"/>
      <c r="M150" s="46">
        <f t="shared" si="53"/>
        <v>0</v>
      </c>
      <c r="N150" s="251"/>
      <c r="O150" s="46"/>
      <c r="P150" s="251"/>
      <c r="Q150" s="46"/>
      <c r="R150" s="46"/>
      <c r="S150" s="46"/>
      <c r="T150" s="46">
        <f>O150</f>
        <v>0</v>
      </c>
      <c r="U150" s="46">
        <f t="shared" si="54"/>
        <v>0</v>
      </c>
      <c r="V150" s="46">
        <f t="shared" si="54"/>
        <v>0</v>
      </c>
    </row>
    <row r="151" spans="1:25" ht="60" x14ac:dyDescent="0.25">
      <c r="A151" s="194" t="s">
        <v>250</v>
      </c>
      <c r="B151" s="199" t="s">
        <v>28</v>
      </c>
      <c r="C151" s="127" t="s">
        <v>219</v>
      </c>
      <c r="D151" s="86" t="s">
        <v>20</v>
      </c>
      <c r="E151" s="243">
        <v>136</v>
      </c>
      <c r="F151" s="243">
        <v>136</v>
      </c>
      <c r="G151" s="232">
        <v>132</v>
      </c>
      <c r="H151" s="232">
        <v>132</v>
      </c>
      <c r="I151" s="232">
        <v>132</v>
      </c>
      <c r="J151" s="46" t="s">
        <v>23</v>
      </c>
      <c r="K151" s="46"/>
      <c r="L151" s="46">
        <v>10579.502500000001</v>
      </c>
      <c r="M151" s="46">
        <f t="shared" si="53"/>
        <v>10579.502500000001</v>
      </c>
      <c r="N151" s="251">
        <f t="shared" ref="N151" si="55">G151*J151</f>
        <v>0</v>
      </c>
      <c r="O151" s="46">
        <f t="shared" ref="O151" si="56">G151*K151</f>
        <v>0</v>
      </c>
      <c r="P151" s="251"/>
      <c r="Q151" s="46">
        <f>G151*L151</f>
        <v>1396494.33</v>
      </c>
      <c r="R151" s="46"/>
      <c r="S151" s="46"/>
      <c r="T151" s="46">
        <f t="shared" si="1"/>
        <v>1396494.33</v>
      </c>
      <c r="U151" s="46">
        <f>T151</f>
        <v>1396494.33</v>
      </c>
      <c r="V151" s="46">
        <f>U151</f>
        <v>1396494.33</v>
      </c>
    </row>
    <row r="152" spans="1:25" x14ac:dyDescent="0.25">
      <c r="A152" s="86"/>
      <c r="B152" s="199" t="s">
        <v>28</v>
      </c>
      <c r="C152" s="127" t="s">
        <v>220</v>
      </c>
      <c r="D152" s="86"/>
      <c r="E152" s="87"/>
      <c r="F152" s="87"/>
      <c r="G152" s="232">
        <v>132</v>
      </c>
      <c r="H152" s="232">
        <v>132</v>
      </c>
      <c r="I152" s="232">
        <v>132</v>
      </c>
      <c r="J152" s="46"/>
      <c r="K152" s="46"/>
      <c r="L152" s="46">
        <v>12750.1</v>
      </c>
      <c r="M152" s="46">
        <f t="shared" si="53"/>
        <v>12750.1</v>
      </c>
      <c r="N152" s="251"/>
      <c r="O152" s="46"/>
      <c r="P152" s="251"/>
      <c r="Q152" s="46"/>
      <c r="R152" s="46"/>
      <c r="S152" s="46">
        <f>L152*G151</f>
        <v>1683013.2</v>
      </c>
      <c r="T152" s="46">
        <f>S152</f>
        <v>1683013.2</v>
      </c>
      <c r="U152" s="46">
        <f>S152</f>
        <v>1683013.2</v>
      </c>
      <c r="V152" s="46">
        <f>S152</f>
        <v>1683013.2</v>
      </c>
    </row>
    <row r="153" spans="1:25" x14ac:dyDescent="0.25">
      <c r="A153" s="189" t="s">
        <v>68</v>
      </c>
      <c r="B153" s="94"/>
      <c r="C153" s="94"/>
      <c r="D153" s="94"/>
      <c r="E153" s="92"/>
      <c r="F153" s="92"/>
      <c r="G153" s="277"/>
      <c r="H153" s="277"/>
      <c r="I153" s="277"/>
      <c r="J153" s="234"/>
      <c r="K153" s="234"/>
      <c r="L153" s="234"/>
      <c r="M153" s="46">
        <f t="shared" si="53"/>
        <v>0</v>
      </c>
      <c r="N153" s="234">
        <f>N154+N165</f>
        <v>7461451</v>
      </c>
      <c r="O153" s="234">
        <f>O154+O165</f>
        <v>3041505.0041928403</v>
      </c>
      <c r="P153" s="252">
        <f>P154</f>
        <v>976928</v>
      </c>
      <c r="Q153" s="234">
        <f>Q154+Q165+Q160</f>
        <v>4168922.2799999993</v>
      </c>
      <c r="R153" s="234">
        <f>R154</f>
        <v>3117788</v>
      </c>
      <c r="S153" s="234">
        <f>S166</f>
        <v>1746763.7</v>
      </c>
      <c r="T153" s="234">
        <f>T154+T165+T166</f>
        <v>20513357.984192837</v>
      </c>
      <c r="U153" s="234">
        <f>U154+U165+U166</f>
        <v>20270895.664192837</v>
      </c>
      <c r="V153" s="234">
        <f>V154+V165+V166</f>
        <v>20270895.664192837</v>
      </c>
      <c r="W153" s="80">
        <v>4402020.6100000003</v>
      </c>
      <c r="X153" s="85">
        <f>W153-Q153</f>
        <v>233098.33000000101</v>
      </c>
      <c r="Y153" s="80">
        <f>X153/I165</f>
        <v>1676.9664028777051</v>
      </c>
    </row>
    <row r="154" spans="1:25" ht="94.9" customHeight="1" x14ac:dyDescent="0.25">
      <c r="A154" s="194" t="s">
        <v>249</v>
      </c>
      <c r="B154" s="84" t="s">
        <v>76</v>
      </c>
      <c r="C154" s="128"/>
      <c r="D154" s="95"/>
      <c r="E154" s="68"/>
      <c r="F154" s="68"/>
      <c r="G154" s="276"/>
      <c r="H154" s="276"/>
      <c r="I154" s="276"/>
      <c r="J154" s="46"/>
      <c r="K154" s="46"/>
      <c r="L154" s="46"/>
      <c r="M154" s="46">
        <f t="shared" si="53"/>
        <v>0</v>
      </c>
      <c r="N154" s="46">
        <f>SUM(N155:N163)</f>
        <v>7461451</v>
      </c>
      <c r="O154" s="46">
        <f>SUM(O155:O164)</f>
        <v>3041505.0041928403</v>
      </c>
      <c r="P154" s="251">
        <f>P159</f>
        <v>976928</v>
      </c>
      <c r="Q154" s="46">
        <f>SUM(Q155:Q157)</f>
        <v>2824702.3999999994</v>
      </c>
      <c r="R154" s="46">
        <f>R158+R160</f>
        <v>3117788</v>
      </c>
      <c r="S154" s="46"/>
      <c r="T154" s="46">
        <f>SUM(T155:T164)</f>
        <v>17422374.404192839</v>
      </c>
      <c r="U154" s="46">
        <f t="shared" ref="U154:V154" si="57">SUM(U155:U164)</f>
        <v>17179912.084192839</v>
      </c>
      <c r="V154" s="46">
        <f t="shared" si="57"/>
        <v>17179912.084192839</v>
      </c>
      <c r="W154" s="85">
        <f>T153-U153</f>
        <v>242462.3200000003</v>
      </c>
      <c r="Y154" s="85"/>
    </row>
    <row r="155" spans="1:25" ht="49.5" customHeight="1" x14ac:dyDescent="0.25">
      <c r="A155" s="83"/>
      <c r="B155" s="97" t="s">
        <v>292</v>
      </c>
      <c r="C155" s="339" t="s">
        <v>295</v>
      </c>
      <c r="D155" s="199" t="s">
        <v>20</v>
      </c>
      <c r="E155" s="243">
        <v>38</v>
      </c>
      <c r="F155" s="243">
        <v>38</v>
      </c>
      <c r="G155" s="232">
        <v>31</v>
      </c>
      <c r="H155" s="232">
        <v>31</v>
      </c>
      <c r="I155" s="232">
        <v>31</v>
      </c>
      <c r="J155" s="46">
        <v>43138.04</v>
      </c>
      <c r="K155" s="46">
        <f>12142.68*1.802017</f>
        <v>21881.31578556</v>
      </c>
      <c r="L155" s="46">
        <v>20321.599999999999</v>
      </c>
      <c r="M155" s="46">
        <f t="shared" si="53"/>
        <v>85340.95578556</v>
      </c>
      <c r="N155" s="46">
        <f>G155*J155-0.24</f>
        <v>1337279</v>
      </c>
      <c r="O155" s="46">
        <f>G155*K155</f>
        <v>678320.78935235995</v>
      </c>
      <c r="P155" s="251"/>
      <c r="Q155" s="46">
        <f>G155*L155</f>
        <v>629969.6</v>
      </c>
      <c r="R155" s="46"/>
      <c r="S155" s="46"/>
      <c r="T155" s="46">
        <f t="shared" si="1"/>
        <v>2645569.3893523598</v>
      </c>
      <c r="U155" s="46">
        <f t="shared" si="10"/>
        <v>2645569.62935236</v>
      </c>
      <c r="V155" s="46">
        <f t="shared" si="11"/>
        <v>2645569.62935236</v>
      </c>
    </row>
    <row r="156" spans="1:25" ht="54.75" customHeight="1" x14ac:dyDescent="0.25">
      <c r="A156" s="88"/>
      <c r="B156" s="97" t="s">
        <v>290</v>
      </c>
      <c r="C156" s="340"/>
      <c r="D156" s="86" t="s">
        <v>20</v>
      </c>
      <c r="E156" s="243">
        <v>25</v>
      </c>
      <c r="F156" s="243">
        <v>25</v>
      </c>
      <c r="G156" s="232">
        <v>32</v>
      </c>
      <c r="H156" s="232">
        <v>32</v>
      </c>
      <c r="I156" s="232">
        <v>32</v>
      </c>
      <c r="J156" s="46">
        <v>34198.17</v>
      </c>
      <c r="K156" s="46">
        <f>12142.68*1.802017</f>
        <v>21881.31578556</v>
      </c>
      <c r="L156" s="46">
        <v>20321.599999999999</v>
      </c>
      <c r="M156" s="46">
        <f t="shared" si="53"/>
        <v>76401.08578555999</v>
      </c>
      <c r="N156" s="46">
        <f>G156*J156+0.56</f>
        <v>1094342</v>
      </c>
      <c r="O156" s="46">
        <f>G156*K156</f>
        <v>700202.10513792001</v>
      </c>
      <c r="P156" s="251"/>
      <c r="Q156" s="46">
        <f t="shared" ref="Q156" si="58">G156*L156</f>
        <v>650291.19999999995</v>
      </c>
      <c r="R156" s="46"/>
      <c r="S156" s="46"/>
      <c r="T156" s="46">
        <f t="shared" si="1"/>
        <v>2444835.3051379202</v>
      </c>
      <c r="U156" s="46">
        <f t="shared" si="10"/>
        <v>2444834.7451379197</v>
      </c>
      <c r="V156" s="46">
        <f t="shared" si="11"/>
        <v>2444834.7451379197</v>
      </c>
    </row>
    <row r="157" spans="1:25" ht="133.5" customHeight="1" x14ac:dyDescent="0.25">
      <c r="A157" s="88"/>
      <c r="B157" s="97" t="s">
        <v>290</v>
      </c>
      <c r="C157" s="93" t="s">
        <v>294</v>
      </c>
      <c r="D157" s="199" t="s">
        <v>20</v>
      </c>
      <c r="E157" s="243">
        <v>76</v>
      </c>
      <c r="F157" s="243">
        <v>76</v>
      </c>
      <c r="G157" s="232">
        <v>76</v>
      </c>
      <c r="H157" s="232">
        <v>76</v>
      </c>
      <c r="I157" s="232">
        <v>76</v>
      </c>
      <c r="J157" s="46">
        <v>65511.03</v>
      </c>
      <c r="K157" s="46">
        <f>12142.68*1.802017</f>
        <v>21881.31578556</v>
      </c>
      <c r="L157" s="46">
        <v>20321.599999999999</v>
      </c>
      <c r="M157" s="46">
        <f t="shared" si="53"/>
        <v>107713.94578556</v>
      </c>
      <c r="N157" s="46">
        <f>G157*J157-0.28</f>
        <v>4978838</v>
      </c>
      <c r="O157" s="46">
        <f>G157*K157+2.11</f>
        <v>1662982.1097025601</v>
      </c>
      <c r="P157" s="251"/>
      <c r="Q157" s="46">
        <f>G157*L157</f>
        <v>1544441.5999999999</v>
      </c>
      <c r="R157" s="46"/>
      <c r="S157" s="46"/>
      <c r="T157" s="46">
        <f t="shared" si="1"/>
        <v>8186261.7097025597</v>
      </c>
      <c r="U157" s="46">
        <f>T157</f>
        <v>8186261.7097025597</v>
      </c>
      <c r="V157" s="46">
        <f>U157</f>
        <v>8186261.7097025597</v>
      </c>
    </row>
    <row r="158" spans="1:25" s="204" customFormat="1" x14ac:dyDescent="0.25">
      <c r="A158" s="49"/>
      <c r="B158" s="230" t="s">
        <v>225</v>
      </c>
      <c r="C158" s="231" t="s">
        <v>219</v>
      </c>
      <c r="D158" s="240" t="s">
        <v>20</v>
      </c>
      <c r="E158" s="250">
        <v>15</v>
      </c>
      <c r="F158" s="250">
        <v>15</v>
      </c>
      <c r="G158" s="232">
        <v>15</v>
      </c>
      <c r="H158" s="232">
        <v>15</v>
      </c>
      <c r="I158" s="232">
        <v>15</v>
      </c>
      <c r="J158" s="46"/>
      <c r="K158" s="46"/>
      <c r="L158" s="46"/>
      <c r="M158" s="46">
        <f t="shared" si="53"/>
        <v>0</v>
      </c>
      <c r="N158" s="251"/>
      <c r="O158" s="46"/>
      <c r="P158" s="251"/>
      <c r="Q158" s="46"/>
      <c r="R158" s="46">
        <v>2875326</v>
      </c>
      <c r="S158" s="46"/>
      <c r="T158" s="46">
        <f>R158</f>
        <v>2875326</v>
      </c>
      <c r="U158" s="46">
        <f>R158</f>
        <v>2875326</v>
      </c>
      <c r="V158" s="46">
        <f>R158</f>
        <v>2875326</v>
      </c>
    </row>
    <row r="159" spans="1:25" s="204" customFormat="1" x14ac:dyDescent="0.25">
      <c r="A159" s="49"/>
      <c r="B159" s="230" t="s">
        <v>225</v>
      </c>
      <c r="C159" s="231" t="s">
        <v>226</v>
      </c>
      <c r="D159" s="240" t="s">
        <v>20</v>
      </c>
      <c r="E159" s="243">
        <v>10</v>
      </c>
      <c r="F159" s="243">
        <v>10</v>
      </c>
      <c r="G159" s="232">
        <v>10</v>
      </c>
      <c r="H159" s="232">
        <v>10</v>
      </c>
      <c r="I159" s="232">
        <v>10</v>
      </c>
      <c r="J159" s="46"/>
      <c r="K159" s="46"/>
      <c r="L159" s="46"/>
      <c r="M159" s="46">
        <f t="shared" si="53"/>
        <v>0</v>
      </c>
      <c r="N159" s="251"/>
      <c r="O159" s="46"/>
      <c r="P159" s="251">
        <v>976928</v>
      </c>
      <c r="Q159" s="46"/>
      <c r="R159" s="46"/>
      <c r="S159" s="46"/>
      <c r="T159" s="46">
        <f>P159</f>
        <v>976928</v>
      </c>
      <c r="U159" s="46">
        <f t="shared" ref="U159:V165" si="59">T159</f>
        <v>976928</v>
      </c>
      <c r="V159" s="46">
        <f t="shared" si="59"/>
        <v>976928</v>
      </c>
    </row>
    <row r="160" spans="1:25" s="204" customFormat="1" ht="28.5" x14ac:dyDescent="0.25">
      <c r="A160" s="49"/>
      <c r="B160" s="84" t="s">
        <v>311</v>
      </c>
      <c r="C160" s="231" t="s">
        <v>219</v>
      </c>
      <c r="D160" s="261" t="s">
        <v>20</v>
      </c>
      <c r="E160" s="232"/>
      <c r="F160" s="232"/>
      <c r="G160" s="232">
        <v>15</v>
      </c>
      <c r="H160" s="232">
        <v>15</v>
      </c>
      <c r="I160" s="232">
        <v>15</v>
      </c>
      <c r="J160" s="46"/>
      <c r="K160" s="46"/>
      <c r="L160" s="46"/>
      <c r="M160" s="46">
        <f t="shared" si="53"/>
        <v>0</v>
      </c>
      <c r="N160" s="251"/>
      <c r="O160" s="46"/>
      <c r="P160" s="251"/>
      <c r="Q160" s="46"/>
      <c r="R160" s="46">
        <v>242462</v>
      </c>
      <c r="S160" s="46"/>
      <c r="T160" s="46">
        <f>R160</f>
        <v>242462</v>
      </c>
      <c r="U160" s="46"/>
      <c r="V160" s="46"/>
    </row>
    <row r="161" spans="1:25" s="204" customFormat="1" hidden="1" x14ac:dyDescent="0.25">
      <c r="A161" s="50"/>
      <c r="B161" s="230"/>
      <c r="C161" s="231" t="s">
        <v>226</v>
      </c>
      <c r="D161" s="45"/>
      <c r="E161" s="232"/>
      <c r="F161" s="232"/>
      <c r="G161" s="232"/>
      <c r="H161" s="232"/>
      <c r="I161" s="232"/>
      <c r="J161" s="46"/>
      <c r="K161" s="46"/>
      <c r="L161" s="46"/>
      <c r="M161" s="46">
        <f t="shared" si="53"/>
        <v>0</v>
      </c>
      <c r="N161" s="251"/>
      <c r="O161" s="46"/>
      <c r="P161" s="251"/>
      <c r="Q161" s="46"/>
      <c r="R161" s="46"/>
      <c r="S161" s="46"/>
      <c r="T161" s="46">
        <f>O161</f>
        <v>0</v>
      </c>
      <c r="U161" s="46">
        <f t="shared" ref="U161:V162" si="60">T161</f>
        <v>0</v>
      </c>
      <c r="V161" s="46">
        <f t="shared" si="60"/>
        <v>0</v>
      </c>
    </row>
    <row r="162" spans="1:25" s="204" customFormat="1" x14ac:dyDescent="0.25">
      <c r="A162" s="50"/>
      <c r="B162" s="245" t="s">
        <v>281</v>
      </c>
      <c r="C162" s="231" t="s">
        <v>226</v>
      </c>
      <c r="D162" s="45"/>
      <c r="E162" s="232"/>
      <c r="F162" s="232"/>
      <c r="G162" s="232"/>
      <c r="H162" s="232"/>
      <c r="I162" s="232"/>
      <c r="J162" s="46"/>
      <c r="K162" s="46"/>
      <c r="L162" s="46"/>
      <c r="M162" s="46">
        <f t="shared" si="53"/>
        <v>0</v>
      </c>
      <c r="N162" s="251">
        <v>50992</v>
      </c>
      <c r="O162" s="46"/>
      <c r="P162" s="251"/>
      <c r="Q162" s="46"/>
      <c r="R162" s="46"/>
      <c r="S162" s="46"/>
      <c r="T162" s="46">
        <f>N162</f>
        <v>50992</v>
      </c>
      <c r="U162" s="46">
        <f t="shared" si="60"/>
        <v>50992</v>
      </c>
      <c r="V162" s="46">
        <f t="shared" si="60"/>
        <v>50992</v>
      </c>
    </row>
    <row r="163" spans="1:25" ht="45.75" hidden="1" customHeight="1" x14ac:dyDescent="0.25">
      <c r="A163" s="88"/>
      <c r="B163" s="128" t="s">
        <v>258</v>
      </c>
      <c r="C163" s="127" t="s">
        <v>226</v>
      </c>
      <c r="D163" s="199"/>
      <c r="E163" s="87"/>
      <c r="F163" s="87"/>
      <c r="G163" s="232"/>
      <c r="H163" s="232"/>
      <c r="I163" s="232"/>
      <c r="J163" s="46"/>
      <c r="K163" s="46"/>
      <c r="L163" s="46"/>
      <c r="M163" s="46">
        <f t="shared" si="53"/>
        <v>0</v>
      </c>
      <c r="N163" s="251"/>
      <c r="O163" s="46"/>
      <c r="P163" s="251"/>
      <c r="Q163" s="46"/>
      <c r="R163" s="46"/>
      <c r="S163" s="46"/>
      <c r="T163" s="46">
        <f>N163</f>
        <v>0</v>
      </c>
      <c r="U163" s="46">
        <f t="shared" si="59"/>
        <v>0</v>
      </c>
      <c r="V163" s="46">
        <f t="shared" si="59"/>
        <v>0</v>
      </c>
    </row>
    <row r="164" spans="1:25" hidden="1" x14ac:dyDescent="0.25">
      <c r="A164" s="88"/>
      <c r="B164" s="128" t="s">
        <v>275</v>
      </c>
      <c r="C164" s="127"/>
      <c r="D164" s="226"/>
      <c r="E164" s="87"/>
      <c r="F164" s="87"/>
      <c r="G164" s="232"/>
      <c r="H164" s="232"/>
      <c r="I164" s="232"/>
      <c r="J164" s="46"/>
      <c r="K164" s="46"/>
      <c r="L164" s="46"/>
      <c r="M164" s="46">
        <f t="shared" si="53"/>
        <v>0</v>
      </c>
      <c r="N164" s="251"/>
      <c r="O164" s="46"/>
      <c r="P164" s="251"/>
      <c r="Q164" s="46"/>
      <c r="R164" s="46"/>
      <c r="S164" s="46"/>
      <c r="T164" s="46">
        <f>O164</f>
        <v>0</v>
      </c>
      <c r="U164" s="46">
        <f>T164</f>
        <v>0</v>
      </c>
      <c r="V164" s="46">
        <f>U164</f>
        <v>0</v>
      </c>
    </row>
    <row r="165" spans="1:25" ht="64.5" customHeight="1" x14ac:dyDescent="0.25">
      <c r="A165" s="194" t="s">
        <v>250</v>
      </c>
      <c r="B165" s="199" t="s">
        <v>28</v>
      </c>
      <c r="C165" s="127" t="s">
        <v>219</v>
      </c>
      <c r="D165" s="86" t="s">
        <v>20</v>
      </c>
      <c r="E165" s="243">
        <f>E157+E156+E155</f>
        <v>139</v>
      </c>
      <c r="F165" s="243">
        <f>F157+F156+F155</f>
        <v>139</v>
      </c>
      <c r="G165" s="232">
        <v>139</v>
      </c>
      <c r="H165" s="232">
        <v>139</v>
      </c>
      <c r="I165" s="232">
        <v>139</v>
      </c>
      <c r="J165" s="46" t="s">
        <v>23</v>
      </c>
      <c r="K165" s="46"/>
      <c r="L165" s="46">
        <v>9670.65</v>
      </c>
      <c r="M165" s="46">
        <f t="shared" si="53"/>
        <v>9670.65</v>
      </c>
      <c r="N165" s="251">
        <f t="shared" ref="N165" si="61">G165*J165</f>
        <v>0</v>
      </c>
      <c r="O165" s="46">
        <f t="shared" ref="O165" si="62">G165*K165</f>
        <v>0</v>
      </c>
      <c r="P165" s="251"/>
      <c r="Q165" s="46">
        <f>G165*L165-0.47</f>
        <v>1344219.88</v>
      </c>
      <c r="R165" s="46"/>
      <c r="S165" s="46"/>
      <c r="T165" s="46">
        <f t="shared" si="1"/>
        <v>1344219.88</v>
      </c>
      <c r="U165" s="46">
        <f t="shared" si="59"/>
        <v>1344219.88</v>
      </c>
      <c r="V165" s="46">
        <f t="shared" si="59"/>
        <v>1344219.88</v>
      </c>
    </row>
    <row r="166" spans="1:25" ht="14.25" customHeight="1" x14ac:dyDescent="0.25">
      <c r="A166" s="86"/>
      <c r="B166" s="199" t="s">
        <v>28</v>
      </c>
      <c r="C166" s="127" t="s">
        <v>220</v>
      </c>
      <c r="D166" s="86"/>
      <c r="E166" s="87"/>
      <c r="F166" s="87"/>
      <c r="G166" s="232">
        <v>137</v>
      </c>
      <c r="H166" s="232">
        <v>137</v>
      </c>
      <c r="I166" s="232">
        <v>137</v>
      </c>
      <c r="J166" s="46"/>
      <c r="K166" s="46"/>
      <c r="L166" s="46">
        <v>12750.1</v>
      </c>
      <c r="M166" s="46">
        <f t="shared" si="53"/>
        <v>12750.1</v>
      </c>
      <c r="N166" s="251"/>
      <c r="O166" s="46"/>
      <c r="P166" s="251"/>
      <c r="Q166" s="46"/>
      <c r="R166" s="46"/>
      <c r="S166" s="46">
        <f>L166*G166</f>
        <v>1746763.7</v>
      </c>
      <c r="T166" s="46">
        <f>S166</f>
        <v>1746763.7</v>
      </c>
      <c r="U166" s="46">
        <f>S166</f>
        <v>1746763.7</v>
      </c>
      <c r="V166" s="46">
        <f>S166</f>
        <v>1746763.7</v>
      </c>
    </row>
    <row r="167" spans="1:25" s="96" customFormat="1" x14ac:dyDescent="0.25">
      <c r="A167" s="189" t="s">
        <v>71</v>
      </c>
      <c r="B167" s="94"/>
      <c r="C167" s="94"/>
      <c r="D167" s="94"/>
      <c r="E167" s="92"/>
      <c r="F167" s="92"/>
      <c r="G167" s="277"/>
      <c r="H167" s="277"/>
      <c r="I167" s="277"/>
      <c r="J167" s="234"/>
      <c r="K167" s="234"/>
      <c r="L167" s="234"/>
      <c r="M167" s="46">
        <f t="shared" si="53"/>
        <v>0</v>
      </c>
      <c r="N167" s="234">
        <f>N168+N178</f>
        <v>15301944</v>
      </c>
      <c r="O167" s="234">
        <f>O168+O178</f>
        <v>5339041.0016766395</v>
      </c>
      <c r="P167" s="234">
        <f>P168</f>
        <v>1303659</v>
      </c>
      <c r="Q167" s="234">
        <f>Q168+Q178+Q175</f>
        <v>7361829.9998952011</v>
      </c>
      <c r="R167" s="234">
        <f>R168</f>
        <v>5167570</v>
      </c>
      <c r="S167" s="234">
        <f>S179</f>
        <v>3021773.7</v>
      </c>
      <c r="T167" s="234">
        <f>T168+T178+T179</f>
        <v>37495817.701571845</v>
      </c>
      <c r="U167" s="234">
        <f t="shared" ref="U167:V167" si="63">U168+U178+U179</f>
        <v>36892695.899983205</v>
      </c>
      <c r="V167" s="234">
        <f t="shared" si="63"/>
        <v>36892695.979983203</v>
      </c>
      <c r="W167" s="96">
        <v>7361830</v>
      </c>
      <c r="X167" s="197">
        <f>W167-Q167</f>
        <v>1.0479893535375595E-4</v>
      </c>
      <c r="Y167" s="96">
        <f>X167/I178</f>
        <v>4.295038334170326E-7</v>
      </c>
    </row>
    <row r="168" spans="1:25" ht="85.5" customHeight="1" x14ac:dyDescent="0.25">
      <c r="A168" s="194" t="s">
        <v>249</v>
      </c>
      <c r="B168" s="84" t="s">
        <v>76</v>
      </c>
      <c r="C168" s="128"/>
      <c r="D168" s="95"/>
      <c r="E168" s="68"/>
      <c r="F168" s="68"/>
      <c r="G168" s="276"/>
      <c r="H168" s="276"/>
      <c r="I168" s="276"/>
      <c r="J168" s="46"/>
      <c r="K168" s="46"/>
      <c r="L168" s="46"/>
      <c r="M168" s="46">
        <f t="shared" si="53"/>
        <v>0</v>
      </c>
      <c r="N168" s="46">
        <f>SUM(N169:N176)</f>
        <v>15301944</v>
      </c>
      <c r="O168" s="46">
        <f>SUM(O169:O177)+0.01</f>
        <v>5339041.0016766395</v>
      </c>
      <c r="P168" s="46">
        <f>P172</f>
        <v>1303659</v>
      </c>
      <c r="Q168" s="46">
        <f>SUM(Q169:Q170)</f>
        <v>4973584.759912001</v>
      </c>
      <c r="R168" s="46">
        <f>R171+R173</f>
        <v>5167570</v>
      </c>
      <c r="S168" s="46"/>
      <c r="T168" s="46">
        <f>SUM(T169:T177)+0.01</f>
        <v>32085798.761588644</v>
      </c>
      <c r="U168" s="46">
        <f t="shared" ref="U168:V168" si="64">SUM(U169:U177)</f>
        <v>31482677.059999999</v>
      </c>
      <c r="V168" s="46">
        <f t="shared" si="64"/>
        <v>31482677.139999997</v>
      </c>
      <c r="W168" s="85">
        <f>T167-U167</f>
        <v>603121.80158863962</v>
      </c>
    </row>
    <row r="169" spans="1:25" ht="105" x14ac:dyDescent="0.25">
      <c r="A169" s="83"/>
      <c r="B169" s="97" t="s">
        <v>292</v>
      </c>
      <c r="C169" s="93" t="s">
        <v>299</v>
      </c>
      <c r="D169" s="199" t="s">
        <v>20</v>
      </c>
      <c r="E169" s="243">
        <v>42</v>
      </c>
      <c r="F169" s="243">
        <v>42</v>
      </c>
      <c r="G169" s="232">
        <v>32</v>
      </c>
      <c r="H169" s="232">
        <v>32</v>
      </c>
      <c r="I169" s="232">
        <v>32</v>
      </c>
      <c r="J169" s="46">
        <v>43138.04</v>
      </c>
      <c r="K169" s="46">
        <f>12142.68*1.802017</f>
        <v>21881.31578556</v>
      </c>
      <c r="L169" s="46">
        <f>18936.29+1447.254098</f>
        <v>20383.544098000002</v>
      </c>
      <c r="M169" s="46">
        <f t="shared" si="53"/>
        <v>85402.899883560007</v>
      </c>
      <c r="N169" s="46">
        <f>G169*J169-0.28</f>
        <v>1380417</v>
      </c>
      <c r="O169" s="46">
        <f>G169*K169-0.11</f>
        <v>700201.99513792002</v>
      </c>
      <c r="P169" s="251"/>
      <c r="Q169" s="46">
        <f>G169*L169</f>
        <v>652273.41113600007</v>
      </c>
      <c r="R169" s="46"/>
      <c r="S169" s="46"/>
      <c r="T169" s="46">
        <f t="shared" ref="T169:T178" si="65">SUM(N169:Q169)</f>
        <v>2732892.4062739201</v>
      </c>
      <c r="U169" s="46">
        <v>2686580.67</v>
      </c>
      <c r="V169" s="46">
        <f>U169</f>
        <v>2686580.67</v>
      </c>
    </row>
    <row r="170" spans="1:25" ht="138.75" customHeight="1" x14ac:dyDescent="0.25">
      <c r="A170" s="88"/>
      <c r="B170" s="97" t="s">
        <v>290</v>
      </c>
      <c r="C170" s="93" t="s">
        <v>301</v>
      </c>
      <c r="D170" s="199" t="s">
        <v>20</v>
      </c>
      <c r="E170" s="243">
        <v>203</v>
      </c>
      <c r="F170" s="243">
        <v>203</v>
      </c>
      <c r="G170" s="232">
        <v>212</v>
      </c>
      <c r="H170" s="232">
        <v>212</v>
      </c>
      <c r="I170" s="232">
        <v>212</v>
      </c>
      <c r="J170" s="275">
        <v>65511.03</v>
      </c>
      <c r="K170" s="46">
        <f>12142.68*1.802017</f>
        <v>21881.31578556</v>
      </c>
      <c r="L170" s="46">
        <f>18936.29+1447.254098</f>
        <v>20383.544098000002</v>
      </c>
      <c r="M170" s="46">
        <f t="shared" si="53"/>
        <v>107775.88988356</v>
      </c>
      <c r="N170" s="46">
        <f>G170*J170+0.64</f>
        <v>13888339</v>
      </c>
      <c r="O170" s="46">
        <f>G170*K170+0.05</f>
        <v>4638838.9965387201</v>
      </c>
      <c r="P170" s="251"/>
      <c r="Q170" s="46">
        <f>G170*L170</f>
        <v>4321311.3487760006</v>
      </c>
      <c r="R170" s="46"/>
      <c r="S170" s="46"/>
      <c r="T170" s="46">
        <f t="shared" si="65"/>
        <v>22848489.345314723</v>
      </c>
      <c r="U170" s="46">
        <v>22541671.48</v>
      </c>
      <c r="V170" s="46">
        <f>U170</f>
        <v>22541671.48</v>
      </c>
    </row>
    <row r="171" spans="1:25" s="204" customFormat="1" x14ac:dyDescent="0.25">
      <c r="A171" s="49"/>
      <c r="B171" s="245" t="s">
        <v>225</v>
      </c>
      <c r="C171" s="231" t="s">
        <v>219</v>
      </c>
      <c r="D171" s="240" t="s">
        <v>20</v>
      </c>
      <c r="E171" s="250">
        <v>27</v>
      </c>
      <c r="F171" s="250">
        <v>27</v>
      </c>
      <c r="G171" s="232">
        <v>27</v>
      </c>
      <c r="H171" s="232">
        <v>27</v>
      </c>
      <c r="I171" s="232">
        <v>27</v>
      </c>
      <c r="J171" s="46"/>
      <c r="K171" s="46"/>
      <c r="L171" s="46"/>
      <c r="M171" s="46">
        <f t="shared" si="53"/>
        <v>0</v>
      </c>
      <c r="N171" s="251"/>
      <c r="O171" s="46"/>
      <c r="P171" s="251"/>
      <c r="Q171" s="46"/>
      <c r="R171" s="46">
        <f>5084300-353130</f>
        <v>4731170</v>
      </c>
      <c r="S171" s="46"/>
      <c r="T171" s="46">
        <f>R171</f>
        <v>4731170</v>
      </c>
      <c r="U171" s="46">
        <f>5084300</f>
        <v>5084300</v>
      </c>
      <c r="V171" s="46">
        <f>U171+0.08</f>
        <v>5084300.08</v>
      </c>
    </row>
    <row r="172" spans="1:25" s="204" customFormat="1" x14ac:dyDescent="0.25">
      <c r="A172" s="49"/>
      <c r="B172" s="245" t="s">
        <v>225</v>
      </c>
      <c r="C172" s="231" t="s">
        <v>226</v>
      </c>
      <c r="D172" s="240" t="s">
        <v>20</v>
      </c>
      <c r="E172" s="243">
        <v>15</v>
      </c>
      <c r="F172" s="243">
        <v>15</v>
      </c>
      <c r="G172" s="232">
        <v>15</v>
      </c>
      <c r="H172" s="232">
        <v>15</v>
      </c>
      <c r="I172" s="232">
        <v>15</v>
      </c>
      <c r="J172" s="46"/>
      <c r="K172" s="46"/>
      <c r="L172" s="46"/>
      <c r="M172" s="46">
        <f t="shared" si="53"/>
        <v>0</v>
      </c>
      <c r="N172" s="251"/>
      <c r="O172" s="46"/>
      <c r="P172" s="46">
        <f>1104961+198698</f>
        <v>1303659</v>
      </c>
      <c r="Q172" s="46"/>
      <c r="R172" s="46"/>
      <c r="S172" s="46"/>
      <c r="T172" s="46">
        <f>P172</f>
        <v>1303659</v>
      </c>
      <c r="U172" s="46">
        <f>P172-198698+31975.91</f>
        <v>1136936.9099999999</v>
      </c>
      <c r="V172" s="46">
        <f>U172</f>
        <v>1136936.9099999999</v>
      </c>
    </row>
    <row r="173" spans="1:25" s="204" customFormat="1" ht="28.5" x14ac:dyDescent="0.25">
      <c r="A173" s="50"/>
      <c r="B173" s="84" t="s">
        <v>311</v>
      </c>
      <c r="C173" s="231" t="s">
        <v>219</v>
      </c>
      <c r="D173" s="261" t="s">
        <v>20</v>
      </c>
      <c r="E173" s="232"/>
      <c r="F173" s="232"/>
      <c r="G173" s="232">
        <v>27</v>
      </c>
      <c r="H173" s="232">
        <v>27</v>
      </c>
      <c r="I173" s="232">
        <v>27</v>
      </c>
      <c r="J173" s="46"/>
      <c r="K173" s="46"/>
      <c r="L173" s="46"/>
      <c r="M173" s="46">
        <f t="shared" si="53"/>
        <v>0</v>
      </c>
      <c r="N173" s="251"/>
      <c r="O173" s="46"/>
      <c r="P173" s="251"/>
      <c r="Q173" s="46"/>
      <c r="R173" s="46">
        <v>436400</v>
      </c>
      <c r="S173" s="46"/>
      <c r="T173" s="46">
        <f>R173</f>
        <v>436400</v>
      </c>
      <c r="U173" s="46"/>
      <c r="V173" s="46"/>
    </row>
    <row r="174" spans="1:25" s="204" customFormat="1" x14ac:dyDescent="0.25">
      <c r="A174" s="50"/>
      <c r="B174" s="245" t="s">
        <v>281</v>
      </c>
      <c r="C174" s="231" t="s">
        <v>226</v>
      </c>
      <c r="D174" s="45"/>
      <c r="E174" s="232"/>
      <c r="F174" s="232"/>
      <c r="G174" s="232"/>
      <c r="H174" s="232"/>
      <c r="I174" s="232"/>
      <c r="J174" s="46"/>
      <c r="K174" s="46"/>
      <c r="L174" s="46"/>
      <c r="M174" s="46">
        <f t="shared" si="53"/>
        <v>0</v>
      </c>
      <c r="N174" s="46">
        <v>33188</v>
      </c>
      <c r="O174" s="46"/>
      <c r="P174" s="251"/>
      <c r="Q174" s="46"/>
      <c r="R174" s="46"/>
      <c r="S174" s="46"/>
      <c r="T174" s="46">
        <f>N174</f>
        <v>33188</v>
      </c>
      <c r="U174" s="46">
        <f t="shared" ref="U174:V175" si="66">T174</f>
        <v>33188</v>
      </c>
      <c r="V174" s="46">
        <f t="shared" si="66"/>
        <v>33188</v>
      </c>
    </row>
    <row r="175" spans="1:25" s="204" customFormat="1" hidden="1" x14ac:dyDescent="0.25">
      <c r="A175" s="49"/>
      <c r="B175" s="245" t="s">
        <v>280</v>
      </c>
      <c r="C175" s="231" t="s">
        <v>219</v>
      </c>
      <c r="D175" s="50"/>
      <c r="E175" s="232"/>
      <c r="F175" s="232"/>
      <c r="G175" s="232"/>
      <c r="H175" s="232"/>
      <c r="I175" s="232"/>
      <c r="J175" s="46"/>
      <c r="K175" s="46"/>
      <c r="L175" s="46"/>
      <c r="M175" s="46">
        <f t="shared" si="53"/>
        <v>0</v>
      </c>
      <c r="N175" s="251"/>
      <c r="O175" s="46"/>
      <c r="P175" s="251"/>
      <c r="Q175" s="46"/>
      <c r="R175" s="46"/>
      <c r="S175" s="46"/>
      <c r="T175" s="46">
        <f>Q175</f>
        <v>0</v>
      </c>
      <c r="U175" s="46">
        <f t="shared" si="66"/>
        <v>0</v>
      </c>
      <c r="V175" s="46">
        <f t="shared" si="66"/>
        <v>0</v>
      </c>
    </row>
    <row r="176" spans="1:25" ht="43.5" hidden="1" customHeight="1" x14ac:dyDescent="0.25">
      <c r="A176" s="88"/>
      <c r="B176" s="128" t="s">
        <v>258</v>
      </c>
      <c r="C176" s="127" t="s">
        <v>226</v>
      </c>
      <c r="D176" s="199"/>
      <c r="E176" s="87"/>
      <c r="F176" s="87"/>
      <c r="G176" s="232"/>
      <c r="H176" s="232"/>
      <c r="I176" s="232"/>
      <c r="J176" s="46"/>
      <c r="K176" s="46"/>
      <c r="L176" s="46"/>
      <c r="M176" s="46">
        <f t="shared" si="53"/>
        <v>0</v>
      </c>
      <c r="N176" s="251"/>
      <c r="O176" s="46"/>
      <c r="P176" s="251"/>
      <c r="Q176" s="46"/>
      <c r="R176" s="46"/>
      <c r="S176" s="46"/>
      <c r="T176" s="46">
        <f>N176</f>
        <v>0</v>
      </c>
      <c r="U176" s="46">
        <f>T176</f>
        <v>0</v>
      </c>
      <c r="V176" s="46">
        <f>U176</f>
        <v>0</v>
      </c>
    </row>
    <row r="177" spans="1:23" ht="18.75" hidden="1" customHeight="1" x14ac:dyDescent="0.25">
      <c r="A177" s="88"/>
      <c r="B177" s="128" t="s">
        <v>275</v>
      </c>
      <c r="C177" s="127"/>
      <c r="D177" s="226"/>
      <c r="E177" s="87"/>
      <c r="F177" s="87"/>
      <c r="G177" s="232"/>
      <c r="H177" s="232"/>
      <c r="I177" s="232"/>
      <c r="J177" s="46"/>
      <c r="K177" s="46"/>
      <c r="L177" s="46"/>
      <c r="M177" s="46">
        <f t="shared" si="53"/>
        <v>0</v>
      </c>
      <c r="N177" s="251"/>
      <c r="O177" s="46"/>
      <c r="P177" s="251"/>
      <c r="Q177" s="46"/>
      <c r="R177" s="46"/>
      <c r="S177" s="46"/>
      <c r="T177" s="46">
        <f>O177</f>
        <v>0</v>
      </c>
      <c r="U177" s="46">
        <f>T177</f>
        <v>0</v>
      </c>
      <c r="V177" s="46">
        <f>U177</f>
        <v>0</v>
      </c>
    </row>
    <row r="178" spans="1:23" ht="62.25" customHeight="1" x14ac:dyDescent="0.25">
      <c r="A178" s="194" t="s">
        <v>250</v>
      </c>
      <c r="B178" s="199" t="s">
        <v>28</v>
      </c>
      <c r="C178" s="127" t="s">
        <v>219</v>
      </c>
      <c r="D178" s="86" t="s">
        <v>20</v>
      </c>
      <c r="E178" s="243">
        <v>245</v>
      </c>
      <c r="F178" s="243">
        <v>245</v>
      </c>
      <c r="G178" s="232">
        <v>244</v>
      </c>
      <c r="H178" s="232">
        <v>244</v>
      </c>
      <c r="I178" s="232">
        <v>244</v>
      </c>
      <c r="J178" s="46" t="s">
        <v>23</v>
      </c>
      <c r="K178" s="46"/>
      <c r="L178" s="46">
        <v>9787.8903277999998</v>
      </c>
      <c r="M178" s="46">
        <f t="shared" si="53"/>
        <v>9787.8903277999998</v>
      </c>
      <c r="N178" s="251">
        <f t="shared" ref="N178" si="67">G178*J178</f>
        <v>0</v>
      </c>
      <c r="O178" s="46">
        <f t="shared" ref="O178" si="68">G178*K178</f>
        <v>0</v>
      </c>
      <c r="P178" s="251"/>
      <c r="Q178" s="46">
        <f>G178*L178</f>
        <v>2388245.2399832001</v>
      </c>
      <c r="R178" s="46"/>
      <c r="S178" s="46"/>
      <c r="T178" s="46">
        <f t="shared" si="65"/>
        <v>2388245.2399832001</v>
      </c>
      <c r="U178" s="46">
        <f>H178*M178-0.1</f>
        <v>2388245.1399832</v>
      </c>
      <c r="V178" s="46">
        <f>U178</f>
        <v>2388245.1399832</v>
      </c>
    </row>
    <row r="179" spans="1:23" x14ac:dyDescent="0.25">
      <c r="A179" s="86"/>
      <c r="B179" s="199" t="s">
        <v>28</v>
      </c>
      <c r="C179" s="127" t="s">
        <v>220</v>
      </c>
      <c r="D179" s="86"/>
      <c r="E179" s="87"/>
      <c r="F179" s="87"/>
      <c r="G179" s="232">
        <v>237</v>
      </c>
      <c r="H179" s="232">
        <v>237</v>
      </c>
      <c r="I179" s="232">
        <v>237</v>
      </c>
      <c r="J179" s="46"/>
      <c r="K179" s="46"/>
      <c r="L179" s="46">
        <v>12750.1</v>
      </c>
      <c r="M179" s="46">
        <f t="shared" si="53"/>
        <v>12750.1</v>
      </c>
      <c r="N179" s="251"/>
      <c r="O179" s="46"/>
      <c r="P179" s="251"/>
      <c r="Q179" s="46"/>
      <c r="R179" s="46"/>
      <c r="S179" s="46">
        <f>L179*G179</f>
        <v>3021773.7</v>
      </c>
      <c r="T179" s="46">
        <f>S179</f>
        <v>3021773.7</v>
      </c>
      <c r="U179" s="46">
        <f>S179</f>
        <v>3021773.7</v>
      </c>
      <c r="V179" s="46">
        <f>S179</f>
        <v>3021773.7</v>
      </c>
    </row>
    <row r="180" spans="1:23" x14ac:dyDescent="0.25">
      <c r="A180" s="335" t="s">
        <v>233</v>
      </c>
      <c r="B180" s="336"/>
      <c r="C180" s="336"/>
      <c r="D180" s="336"/>
      <c r="E180" s="336"/>
      <c r="F180" s="336"/>
      <c r="G180" s="336"/>
      <c r="H180" s="336"/>
      <c r="I180" s="336"/>
      <c r="J180" s="336"/>
      <c r="K180" s="336"/>
      <c r="L180" s="336"/>
      <c r="M180" s="337"/>
      <c r="N180" s="278">
        <f>N14+N27+N38+N54+N68+N82+N96+N110+N126+N141+N153+N167+1</f>
        <v>104898624</v>
      </c>
      <c r="O180" s="235">
        <f>O14+O27+O38+O54+O68+O82+O96+O110+O126+O141+O153+O167-1</f>
        <v>38095371.002659962</v>
      </c>
      <c r="P180" s="283">
        <f>P14+P27+P38+P54+P68+P82+P96+P110+P126+P141+P153+P167</f>
        <v>11229449</v>
      </c>
      <c r="Q180" s="235">
        <f>Q14+Q27+Q38+Q54+Q68+Q82+Q96+Q110+Q126+Q141+Q153+Q167</f>
        <v>52620130.079826102</v>
      </c>
      <c r="R180" s="235">
        <f>R14+R27+R38+R54+R68+R82+R96+R110+R126+R141+R153+R167</f>
        <v>39034270</v>
      </c>
      <c r="S180" s="235">
        <f>S14+S27+S38+S54+S68+S82+S96+S110+S126+S141+S153+S167</f>
        <v>21802671</v>
      </c>
      <c r="T180" s="235">
        <f>T14+T27+T38+T54+T68+T82+T96+T110+T126+T141+T153+T167</f>
        <v>267680515.08248606</v>
      </c>
      <c r="U180" s="235">
        <f>U14+U27+U38+U54+U68+U82+U96+U110+U126+U141+U153+U167+1.12</f>
        <v>263179871.00089744</v>
      </c>
      <c r="V180" s="235">
        <f>V14+V27+V38+V54+V68+V82+V96+V110+V126+V141+V153+V167+1.12</f>
        <v>263179871.08089745</v>
      </c>
      <c r="W180" s="85">
        <f>T180-U180</f>
        <v>4500644.0815886259</v>
      </c>
    </row>
    <row r="181" spans="1:23" x14ac:dyDescent="0.25">
      <c r="A181" s="80" t="s">
        <v>310</v>
      </c>
      <c r="C181" s="186"/>
      <c r="D181" s="186"/>
      <c r="E181" s="186"/>
      <c r="F181" s="186"/>
      <c r="G181" s="236"/>
      <c r="H181" s="236"/>
      <c r="I181" s="236"/>
      <c r="J181" s="236"/>
      <c r="K181" s="236"/>
      <c r="L181" s="236"/>
      <c r="M181" s="236"/>
      <c r="N181" s="229"/>
      <c r="O181" s="229"/>
      <c r="P181" s="229"/>
      <c r="Q181" s="229"/>
      <c r="R181" s="229"/>
      <c r="S181" s="236"/>
      <c r="T181" s="236"/>
      <c r="U181" s="236"/>
      <c r="V181" s="236"/>
    </row>
    <row r="182" spans="1:23" x14ac:dyDescent="0.25">
      <c r="A182" s="80" t="s">
        <v>178</v>
      </c>
      <c r="N182" s="284"/>
      <c r="P182" s="211"/>
    </row>
    <row r="183" spans="1:23" x14ac:dyDescent="0.25">
      <c r="T183" s="237"/>
      <c r="U183" s="211"/>
    </row>
    <row r="184" spans="1:23" x14ac:dyDescent="0.25">
      <c r="S184" s="211"/>
      <c r="V184" s="211"/>
    </row>
    <row r="185" spans="1:23" x14ac:dyDescent="0.25">
      <c r="N185" s="211"/>
      <c r="O185" s="211"/>
      <c r="Q185" s="211"/>
      <c r="R185" s="211"/>
      <c r="S185" s="211"/>
      <c r="U185" s="211"/>
      <c r="V185" s="211"/>
    </row>
    <row r="186" spans="1:23" x14ac:dyDescent="0.25">
      <c r="T186" s="211"/>
    </row>
    <row r="187" spans="1:23" x14ac:dyDescent="0.25">
      <c r="Q187" s="211"/>
    </row>
    <row r="188" spans="1:23" x14ac:dyDescent="0.25">
      <c r="Q188" s="211"/>
    </row>
  </sheetData>
  <mergeCells count="16">
    <mergeCell ref="C155:C156"/>
    <mergeCell ref="A180:M180"/>
    <mergeCell ref="A7:V7"/>
    <mergeCell ref="J10:M10"/>
    <mergeCell ref="N10:V10"/>
    <mergeCell ref="E11:G11"/>
    <mergeCell ref="N11:T11"/>
    <mergeCell ref="N12:T12"/>
    <mergeCell ref="C70:C71"/>
    <mergeCell ref="C16:C18"/>
    <mergeCell ref="C56:C57"/>
    <mergeCell ref="C84:C85"/>
    <mergeCell ref="C98:C99"/>
    <mergeCell ref="C40:C41"/>
    <mergeCell ref="C42:C43"/>
    <mergeCell ref="C112:C113"/>
  </mergeCells>
  <pageMargins left="0.25" right="0.25" top="0.75" bottom="0.75" header="0.3" footer="0.3"/>
  <pageSetup paperSize="9" scale="35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8"/>
  <sheetViews>
    <sheetView workbookViewId="0">
      <selection activeCell="G3" sqref="G3"/>
    </sheetView>
  </sheetViews>
  <sheetFormatPr defaultColWidth="8.85546875" defaultRowHeight="12.75" x14ac:dyDescent="0.2"/>
  <cols>
    <col min="1" max="1" width="13.85546875" style="217" customWidth="1"/>
    <col min="2" max="2" width="18.140625" style="217" customWidth="1"/>
    <col min="3" max="3" width="18.7109375" style="217" customWidth="1"/>
    <col min="4" max="4" width="21.42578125" style="217" customWidth="1"/>
    <col min="5" max="5" width="19.42578125" style="217" customWidth="1"/>
    <col min="6" max="6" width="18.42578125" style="217" customWidth="1"/>
    <col min="7" max="7" width="18.5703125" style="217" customWidth="1"/>
    <col min="8" max="8" width="10.140625" style="217" bestFit="1" customWidth="1"/>
    <col min="9" max="16384" width="8.85546875" style="217"/>
  </cols>
  <sheetData>
    <row r="2" spans="1:8" ht="72" x14ac:dyDescent="0.25">
      <c r="A2" s="214" t="s">
        <v>261</v>
      </c>
      <c r="B2" s="214" t="s">
        <v>262</v>
      </c>
      <c r="C2" s="214" t="s">
        <v>263</v>
      </c>
      <c r="D2" s="215" t="s">
        <v>264</v>
      </c>
      <c r="E2" s="216" t="s">
        <v>265</v>
      </c>
      <c r="F2" s="214"/>
      <c r="G2" s="215" t="s">
        <v>266</v>
      </c>
    </row>
    <row r="3" spans="1:8" ht="18" x14ac:dyDescent="0.25">
      <c r="A3" s="214" t="s">
        <v>267</v>
      </c>
      <c r="B3" s="218">
        <f>548+28</f>
        <v>576</v>
      </c>
      <c r="C3" s="218">
        <f>D3/B3</f>
        <v>10183.770468750001</v>
      </c>
      <c r="D3" s="218">
        <v>5865851.79</v>
      </c>
      <c r="E3" s="219">
        <v>8189.45</v>
      </c>
      <c r="F3" s="219">
        <f>B3*E3</f>
        <v>4717123.2</v>
      </c>
      <c r="G3" s="218">
        <f>F3-D3</f>
        <v>-1148728.5899999999</v>
      </c>
    </row>
    <row r="4" spans="1:8" ht="18" x14ac:dyDescent="0.25">
      <c r="A4" s="214" t="s">
        <v>268</v>
      </c>
      <c r="B4" s="218">
        <v>526</v>
      </c>
      <c r="C4" s="218">
        <v>9014.3700000000008</v>
      </c>
      <c r="D4" s="218">
        <v>4741559.2</v>
      </c>
      <c r="E4" s="220">
        <v>8189.45</v>
      </c>
      <c r="F4" s="219">
        <f t="shared" ref="F4:F9" si="0">B4*E4</f>
        <v>4307650.7</v>
      </c>
      <c r="G4" s="218">
        <f t="shared" ref="G4:G9" si="1">F4-D4</f>
        <v>-433908.5</v>
      </c>
      <c r="H4" s="221"/>
    </row>
    <row r="5" spans="1:8" ht="18" x14ac:dyDescent="0.25">
      <c r="A5" s="214" t="s">
        <v>269</v>
      </c>
      <c r="B5" s="218">
        <v>506</v>
      </c>
      <c r="C5" s="218">
        <v>8189.45</v>
      </c>
      <c r="D5" s="218">
        <v>4143862.33</v>
      </c>
      <c r="E5" s="219">
        <v>8189.45</v>
      </c>
      <c r="F5" s="219">
        <f t="shared" si="0"/>
        <v>4143861.6999999997</v>
      </c>
      <c r="G5" s="218">
        <f t="shared" si="1"/>
        <v>-0.63000000035390258</v>
      </c>
    </row>
    <row r="6" spans="1:8" ht="18" x14ac:dyDescent="0.25">
      <c r="A6" s="214" t="s">
        <v>270</v>
      </c>
      <c r="B6" s="218">
        <v>217</v>
      </c>
      <c r="C6" s="218">
        <v>12011.78</v>
      </c>
      <c r="D6" s="218">
        <v>2606554.91</v>
      </c>
      <c r="E6" s="219">
        <v>8189.45</v>
      </c>
      <c r="F6" s="219">
        <f t="shared" si="0"/>
        <v>1777110.65</v>
      </c>
      <c r="G6" s="218">
        <f t="shared" si="1"/>
        <v>-829444.26000000024</v>
      </c>
    </row>
    <row r="7" spans="1:8" ht="18" x14ac:dyDescent="0.25">
      <c r="A7" s="214" t="s">
        <v>271</v>
      </c>
      <c r="B7" s="218">
        <v>473</v>
      </c>
      <c r="C7" s="218">
        <v>8180.69</v>
      </c>
      <c r="D7" s="218">
        <v>3869464.23</v>
      </c>
      <c r="E7" s="219">
        <v>8189.45</v>
      </c>
      <c r="F7" s="219">
        <f t="shared" si="0"/>
        <v>3873609.85</v>
      </c>
      <c r="G7" s="218">
        <f t="shared" si="1"/>
        <v>4145.6200000001118</v>
      </c>
    </row>
    <row r="8" spans="1:8" ht="18" x14ac:dyDescent="0.25">
      <c r="A8" s="214" t="s">
        <v>272</v>
      </c>
      <c r="B8" s="218">
        <v>826</v>
      </c>
      <c r="C8" s="218">
        <v>11299.31</v>
      </c>
      <c r="D8" s="218">
        <v>9333231.4000000004</v>
      </c>
      <c r="E8" s="219">
        <v>8189.45</v>
      </c>
      <c r="F8" s="219">
        <f t="shared" si="0"/>
        <v>6764485.7000000002</v>
      </c>
      <c r="G8" s="218">
        <f t="shared" si="1"/>
        <v>-2568745.7000000002</v>
      </c>
    </row>
    <row r="9" spans="1:8" ht="18" x14ac:dyDescent="0.25">
      <c r="A9" s="214"/>
      <c r="B9" s="218">
        <f>SUM(B3:B8)</f>
        <v>3124</v>
      </c>
      <c r="C9" s="218">
        <f t="shared" ref="C9:D9" si="2">SUM(C3:C8)</f>
        <v>58879.370468750007</v>
      </c>
      <c r="D9" s="218">
        <f t="shared" si="2"/>
        <v>30560523.859999999</v>
      </c>
      <c r="E9" s="219">
        <v>8189.45</v>
      </c>
      <c r="F9" s="219">
        <f t="shared" si="0"/>
        <v>25583841.800000001</v>
      </c>
      <c r="G9" s="218">
        <f t="shared" si="1"/>
        <v>-4976682.0599999987</v>
      </c>
    </row>
    <row r="10" spans="1:8" ht="18" x14ac:dyDescent="0.25">
      <c r="A10" s="222"/>
      <c r="B10" s="222"/>
      <c r="C10" s="222"/>
      <c r="D10" s="222"/>
      <c r="E10" s="222"/>
      <c r="F10" s="222"/>
      <c r="G10" s="222"/>
    </row>
    <row r="11" spans="1:8" ht="18" x14ac:dyDescent="0.25">
      <c r="A11" s="223"/>
      <c r="B11" s="223"/>
      <c r="C11" s="223"/>
      <c r="D11" s="223"/>
      <c r="E11" s="223"/>
      <c r="F11" s="223"/>
      <c r="G11" s="223"/>
    </row>
    <row r="12" spans="1:8" ht="18" x14ac:dyDescent="0.25">
      <c r="A12" s="223"/>
      <c r="B12" s="223"/>
      <c r="C12" s="223"/>
      <c r="D12" s="223"/>
      <c r="E12" s="223"/>
      <c r="F12" s="223"/>
      <c r="G12" s="223"/>
    </row>
    <row r="13" spans="1:8" ht="18" x14ac:dyDescent="0.25">
      <c r="A13" s="223"/>
      <c r="B13" s="223"/>
      <c r="C13" s="223"/>
      <c r="D13" s="223"/>
      <c r="E13" s="223"/>
      <c r="F13" s="223"/>
      <c r="G13" s="223"/>
    </row>
    <row r="14" spans="1:8" ht="18" x14ac:dyDescent="0.25">
      <c r="A14" s="223"/>
      <c r="B14" s="223"/>
      <c r="C14" s="223"/>
      <c r="D14" s="223"/>
      <c r="E14" s="223"/>
      <c r="F14" s="223"/>
      <c r="G14" s="223"/>
    </row>
    <row r="15" spans="1:8" ht="18" x14ac:dyDescent="0.25">
      <c r="A15" s="223" t="s">
        <v>268</v>
      </c>
      <c r="B15" s="224">
        <f>C4</f>
        <v>9014.3700000000008</v>
      </c>
      <c r="C15" s="223"/>
      <c r="D15" s="223"/>
      <c r="E15" s="223"/>
      <c r="F15" s="223"/>
      <c r="G15" s="223"/>
    </row>
    <row r="16" spans="1:8" ht="18" x14ac:dyDescent="0.25">
      <c r="A16" s="223" t="s">
        <v>271</v>
      </c>
      <c r="B16" s="224">
        <f>C7</f>
        <v>8180.69</v>
      </c>
      <c r="C16" s="223"/>
      <c r="D16" s="223"/>
      <c r="E16" s="223"/>
      <c r="F16" s="223"/>
      <c r="G16" s="223"/>
    </row>
    <row r="17" spans="1:7" ht="18" x14ac:dyDescent="0.25">
      <c r="A17" s="223"/>
      <c r="B17" s="224">
        <f>B15-B16</f>
        <v>833.6800000000012</v>
      </c>
      <c r="C17" s="223" t="s">
        <v>273</v>
      </c>
      <c r="D17" s="225">
        <f>B17*B4</f>
        <v>438515.68000000063</v>
      </c>
      <c r="E17" s="223" t="s">
        <v>274</v>
      </c>
      <c r="F17" s="223"/>
      <c r="G17" s="223"/>
    </row>
    <row r="18" spans="1:7" ht="18" x14ac:dyDescent="0.25">
      <c r="A18" s="223"/>
      <c r="B18" s="223"/>
      <c r="C18" s="223"/>
      <c r="D18" s="223"/>
      <c r="E18" s="223"/>
      <c r="F18" s="223"/>
      <c r="G18" s="22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5"/>
  <sheetViews>
    <sheetView workbookViewId="0">
      <pane xSplit="21915" topLeftCell="J1"/>
      <selection sqref="A1:L33"/>
      <selection pane="topRight" activeCell="J19" sqref="J19"/>
    </sheetView>
  </sheetViews>
  <sheetFormatPr defaultColWidth="9.140625" defaultRowHeight="15" x14ac:dyDescent="0.25"/>
  <cols>
    <col min="1" max="1" width="19.42578125" style="186" customWidth="1"/>
    <col min="2" max="2" width="26.28515625" style="186" customWidth="1"/>
    <col min="3" max="3" width="16.85546875" style="186" customWidth="1"/>
    <col min="4" max="4" width="12.28515625" style="186" customWidth="1"/>
    <col min="5" max="5" width="18.28515625" style="186" hidden="1" customWidth="1"/>
    <col min="6" max="6" width="13.28515625" style="186" hidden="1" customWidth="1"/>
    <col min="7" max="7" width="14" style="186" customWidth="1"/>
    <col min="8" max="9" width="12.7109375" style="186" customWidth="1"/>
    <col min="10" max="10" width="17.28515625" style="186" customWidth="1"/>
    <col min="11" max="11" width="16" style="186" customWidth="1"/>
    <col min="12" max="12" width="21.28515625" style="186" customWidth="1"/>
    <col min="13" max="13" width="13.5703125" style="186" customWidth="1"/>
    <col min="14" max="14" width="16.7109375" style="186" customWidth="1"/>
    <col min="15" max="16" width="15.42578125" style="186" customWidth="1"/>
    <col min="17" max="19" width="14.7109375" style="186" customWidth="1"/>
    <col min="20" max="20" width="14.28515625" style="186" customWidth="1"/>
    <col min="21" max="21" width="14.140625" style="186" customWidth="1"/>
    <col min="22" max="22" width="14.85546875" style="186" bestFit="1" customWidth="1"/>
    <col min="23" max="23" width="15.28515625" style="186" customWidth="1"/>
    <col min="24" max="24" width="13.5703125" style="186" bestFit="1" customWidth="1"/>
    <col min="25" max="25" width="9.42578125" style="186" bestFit="1" customWidth="1"/>
    <col min="26" max="16384" width="9.140625" style="186"/>
  </cols>
  <sheetData>
    <row r="1" spans="1:22" x14ac:dyDescent="0.25">
      <c r="K1" s="209" t="s">
        <v>326</v>
      </c>
      <c r="L1" s="204"/>
      <c r="T1" s="117"/>
    </row>
    <row r="2" spans="1:22" x14ac:dyDescent="0.25">
      <c r="K2" s="209" t="s">
        <v>336</v>
      </c>
      <c r="L2" s="204"/>
      <c r="T2" s="117"/>
    </row>
    <row r="3" spans="1:22" x14ac:dyDescent="0.25">
      <c r="K3" s="209" t="s">
        <v>175</v>
      </c>
      <c r="L3" s="204"/>
      <c r="T3" s="117"/>
    </row>
    <row r="4" spans="1:22" x14ac:dyDescent="0.25">
      <c r="K4" s="209" t="s">
        <v>332</v>
      </c>
      <c r="L4" s="204"/>
      <c r="T4" s="117"/>
    </row>
    <row r="5" spans="1:22" x14ac:dyDescent="0.25">
      <c r="A5" s="311" t="s">
        <v>207</v>
      </c>
      <c r="B5" s="311"/>
      <c r="C5" s="311"/>
      <c r="D5" s="311"/>
      <c r="E5" s="311"/>
      <c r="F5" s="311"/>
      <c r="G5" s="311"/>
      <c r="H5" s="311"/>
      <c r="I5" s="311"/>
      <c r="J5" s="311"/>
      <c r="K5" s="311"/>
      <c r="L5" s="311"/>
      <c r="M5" s="81"/>
      <c r="N5" s="81"/>
      <c r="O5" s="81"/>
      <c r="P5" s="81"/>
      <c r="Q5" s="81"/>
      <c r="R5" s="81"/>
      <c r="S5" s="81"/>
      <c r="T5" s="81"/>
      <c r="U5" s="81"/>
      <c r="V5" s="81"/>
    </row>
    <row r="6" spans="1:22" x14ac:dyDescent="0.25">
      <c r="A6" s="258" t="s">
        <v>156</v>
      </c>
    </row>
    <row r="7" spans="1:22" ht="30" x14ac:dyDescent="0.25">
      <c r="A7" s="254" t="s">
        <v>3</v>
      </c>
      <c r="B7" s="254" t="s">
        <v>81</v>
      </c>
      <c r="C7" s="254" t="s">
        <v>4</v>
      </c>
      <c r="D7" s="334" t="s">
        <v>5</v>
      </c>
      <c r="E7" s="334"/>
      <c r="F7" s="334"/>
      <c r="G7" s="334"/>
      <c r="H7" s="334"/>
      <c r="I7" s="315" t="s">
        <v>6</v>
      </c>
      <c r="J7" s="315" t="s">
        <v>7</v>
      </c>
      <c r="K7" s="315"/>
      <c r="L7" s="315"/>
    </row>
    <row r="8" spans="1:22" ht="30" x14ac:dyDescent="0.25">
      <c r="A8" s="82"/>
      <c r="B8" s="82"/>
      <c r="C8" s="82"/>
      <c r="D8" s="257" t="s">
        <v>183</v>
      </c>
      <c r="E8" s="256" t="s">
        <v>208</v>
      </c>
      <c r="F8" s="254" t="s">
        <v>206</v>
      </c>
      <c r="G8" s="257" t="s">
        <v>205</v>
      </c>
      <c r="H8" s="257" t="s">
        <v>328</v>
      </c>
      <c r="I8" s="315"/>
      <c r="J8" s="257" t="s">
        <v>183</v>
      </c>
      <c r="K8" s="257" t="s">
        <v>205</v>
      </c>
      <c r="L8" s="257" t="s">
        <v>283</v>
      </c>
    </row>
    <row r="9" spans="1:22" ht="60" x14ac:dyDescent="0.25">
      <c r="A9" s="83" t="s">
        <v>13</v>
      </c>
      <c r="B9" s="83" t="s">
        <v>14</v>
      </c>
      <c r="C9" s="254" t="s">
        <v>15</v>
      </c>
      <c r="D9" s="83" t="s">
        <v>16</v>
      </c>
      <c r="E9" s="83" t="s">
        <v>16</v>
      </c>
      <c r="F9" s="83" t="s">
        <v>16</v>
      </c>
      <c r="G9" s="83" t="s">
        <v>16</v>
      </c>
      <c r="H9" s="83" t="s">
        <v>16</v>
      </c>
      <c r="I9" s="254" t="s">
        <v>17</v>
      </c>
      <c r="J9" s="254" t="s">
        <v>17</v>
      </c>
      <c r="K9" s="254" t="s">
        <v>17</v>
      </c>
      <c r="L9" s="254" t="s">
        <v>17</v>
      </c>
    </row>
    <row r="10" spans="1:22" ht="82.9" customHeight="1" x14ac:dyDescent="0.25">
      <c r="A10" s="106" t="s">
        <v>157</v>
      </c>
      <c r="B10" s="254" t="s">
        <v>243</v>
      </c>
      <c r="C10" s="82" t="s">
        <v>177</v>
      </c>
      <c r="D10" s="181">
        <v>42405</v>
      </c>
      <c r="E10" s="181">
        <v>42405</v>
      </c>
      <c r="F10" s="181">
        <v>42405</v>
      </c>
      <c r="G10" s="181">
        <v>42405</v>
      </c>
      <c r="H10" s="181">
        <v>42405</v>
      </c>
      <c r="I10" s="75">
        <f>129.06*90.5533%</f>
        <v>116.86808898</v>
      </c>
      <c r="J10" s="75">
        <f>I10*D10</f>
        <v>4955791.3131968994</v>
      </c>
      <c r="K10" s="75">
        <f>I10*G10</f>
        <v>4955791.3131968994</v>
      </c>
      <c r="L10" s="75">
        <f t="shared" ref="L10:L17" si="0">K10</f>
        <v>4955791.3131968994</v>
      </c>
      <c r="M10" s="259"/>
      <c r="N10" s="259"/>
    </row>
    <row r="11" spans="1:22" ht="89.45" customHeight="1" x14ac:dyDescent="0.25">
      <c r="A11" s="106" t="s">
        <v>157</v>
      </c>
      <c r="B11" s="254" t="s">
        <v>244</v>
      </c>
      <c r="C11" s="82" t="s">
        <v>177</v>
      </c>
      <c r="D11" s="181">
        <v>13582</v>
      </c>
      <c r="E11" s="181">
        <v>13582</v>
      </c>
      <c r="F11" s="181">
        <v>13582</v>
      </c>
      <c r="G11" s="181">
        <v>13582</v>
      </c>
      <c r="H11" s="181">
        <v>13582</v>
      </c>
      <c r="I11" s="75">
        <f>173.09*90.5533%</f>
        <v>156.73870696999998</v>
      </c>
      <c r="J11" s="75">
        <f>I11*D11</f>
        <v>2128825.1180665395</v>
      </c>
      <c r="K11" s="75">
        <f t="shared" ref="K11:K17" si="1">J11</f>
        <v>2128825.1180665395</v>
      </c>
      <c r="L11" s="75">
        <f t="shared" si="0"/>
        <v>2128825.1180665395</v>
      </c>
      <c r="M11" s="259"/>
      <c r="N11" s="259"/>
    </row>
    <row r="12" spans="1:22" ht="104.45" customHeight="1" x14ac:dyDescent="0.25">
      <c r="A12" s="106" t="s">
        <v>157</v>
      </c>
      <c r="B12" s="254" t="s">
        <v>245</v>
      </c>
      <c r="C12" s="82" t="s">
        <v>177</v>
      </c>
      <c r="D12" s="181">
        <v>6739</v>
      </c>
      <c r="E12" s="181">
        <v>6739</v>
      </c>
      <c r="F12" s="181">
        <v>6739</v>
      </c>
      <c r="G12" s="181">
        <v>6739</v>
      </c>
      <c r="H12" s="181">
        <v>6739</v>
      </c>
      <c r="I12" s="75">
        <f>169.6*90.5533%</f>
        <v>153.57839679999998</v>
      </c>
      <c r="J12" s="75">
        <f>I12*D12</f>
        <v>1034964.8160351999</v>
      </c>
      <c r="K12" s="75">
        <f t="shared" si="1"/>
        <v>1034964.8160351999</v>
      </c>
      <c r="L12" s="75">
        <f t="shared" si="0"/>
        <v>1034964.8160351999</v>
      </c>
      <c r="M12" s="259"/>
      <c r="N12" s="259"/>
    </row>
    <row r="13" spans="1:22" ht="89.45" customHeight="1" x14ac:dyDescent="0.25">
      <c r="A13" s="106" t="s">
        <v>157</v>
      </c>
      <c r="B13" s="254" t="s">
        <v>246</v>
      </c>
      <c r="C13" s="82" t="s">
        <v>177</v>
      </c>
      <c r="D13" s="181">
        <v>13271</v>
      </c>
      <c r="E13" s="181">
        <v>13271</v>
      </c>
      <c r="F13" s="181">
        <v>13271</v>
      </c>
      <c r="G13" s="181">
        <v>13271</v>
      </c>
      <c r="H13" s="181">
        <v>13271</v>
      </c>
      <c r="I13" s="75">
        <f>227.19*90.5533%</f>
        <v>205.72804226999997</v>
      </c>
      <c r="J13" s="75">
        <f>I13*D13</f>
        <v>2730216.8489651699</v>
      </c>
      <c r="K13" s="75">
        <f t="shared" si="1"/>
        <v>2730216.8489651699</v>
      </c>
      <c r="L13" s="75">
        <f t="shared" si="0"/>
        <v>2730216.8489651699</v>
      </c>
      <c r="M13" s="259"/>
      <c r="N13" s="259"/>
    </row>
    <row r="14" spans="1:22" ht="94.15" customHeight="1" x14ac:dyDescent="0.25">
      <c r="A14" s="106"/>
      <c r="B14" s="254" t="s">
        <v>247</v>
      </c>
      <c r="C14" s="82" t="s">
        <v>177</v>
      </c>
      <c r="D14" s="181">
        <v>49974</v>
      </c>
      <c r="E14" s="181">
        <v>49974</v>
      </c>
      <c r="F14" s="181">
        <v>49974</v>
      </c>
      <c r="G14" s="181">
        <v>49974</v>
      </c>
      <c r="H14" s="181">
        <v>49974</v>
      </c>
      <c r="I14" s="75">
        <f>170.168*90.5533%</f>
        <v>154.09273954399998</v>
      </c>
      <c r="J14" s="75">
        <f>I14*D14</f>
        <v>7700630.5659718551</v>
      </c>
      <c r="K14" s="75">
        <f t="shared" si="1"/>
        <v>7700630.5659718551</v>
      </c>
      <c r="L14" s="75">
        <f t="shared" si="0"/>
        <v>7700630.5659718551</v>
      </c>
      <c r="M14" s="259"/>
      <c r="N14" s="259"/>
      <c r="O14" s="259"/>
    </row>
    <row r="15" spans="1:22" ht="42.6" customHeight="1" x14ac:dyDescent="0.25">
      <c r="A15" s="106" t="s">
        <v>252</v>
      </c>
      <c r="B15" s="254" t="s">
        <v>236</v>
      </c>
      <c r="C15" s="82"/>
      <c r="D15" s="181">
        <f>SUM(D10:D14)</f>
        <v>125971</v>
      </c>
      <c r="E15" s="181">
        <f t="shared" ref="E15:L15" si="2">SUM(E10:E14)</f>
        <v>125971</v>
      </c>
      <c r="F15" s="181">
        <f t="shared" si="2"/>
        <v>125971</v>
      </c>
      <c r="G15" s="181">
        <f t="shared" si="2"/>
        <v>125971</v>
      </c>
      <c r="H15" s="181">
        <f t="shared" si="2"/>
        <v>125971</v>
      </c>
      <c r="I15" s="75">
        <f>J15/H15</f>
        <v>147.2595173669786</v>
      </c>
      <c r="J15" s="75">
        <f>SUM(J10:J14)</f>
        <v>18550428.662235662</v>
      </c>
      <c r="K15" s="75">
        <f t="shared" si="2"/>
        <v>18550428.662235662</v>
      </c>
      <c r="L15" s="75">
        <f t="shared" si="2"/>
        <v>18550428.662235662</v>
      </c>
      <c r="M15" s="259"/>
      <c r="N15" s="259"/>
      <c r="O15" s="259"/>
    </row>
    <row r="16" spans="1:22" ht="54.6" customHeight="1" x14ac:dyDescent="0.25">
      <c r="A16" s="106" t="s">
        <v>157</v>
      </c>
      <c r="B16" s="254" t="s">
        <v>251</v>
      </c>
      <c r="C16" s="82" t="s">
        <v>235</v>
      </c>
      <c r="D16" s="181">
        <v>1</v>
      </c>
      <c r="E16" s="181">
        <v>1</v>
      </c>
      <c r="F16" s="181">
        <v>1</v>
      </c>
      <c r="G16" s="181">
        <v>1</v>
      </c>
      <c r="H16" s="181">
        <v>1</v>
      </c>
      <c r="I16" s="75">
        <f>110286.73*90.5533%-0.69</f>
        <v>99867.583477089982</v>
      </c>
      <c r="J16" s="75">
        <f>D16*I16</f>
        <v>99867.583477089982</v>
      </c>
      <c r="K16" s="75">
        <f t="shared" si="1"/>
        <v>99867.583477089982</v>
      </c>
      <c r="L16" s="75">
        <f t="shared" si="0"/>
        <v>99867.583477089982</v>
      </c>
      <c r="M16" s="259"/>
      <c r="N16" s="259"/>
      <c r="P16" s="259"/>
    </row>
    <row r="17" spans="1:16" ht="48.6" customHeight="1" x14ac:dyDescent="0.25">
      <c r="A17" s="106"/>
      <c r="B17" s="254" t="s">
        <v>248</v>
      </c>
      <c r="C17" s="82" t="s">
        <v>235</v>
      </c>
      <c r="D17" s="181">
        <v>2</v>
      </c>
      <c r="E17" s="181">
        <v>2</v>
      </c>
      <c r="F17" s="181">
        <v>2</v>
      </c>
      <c r="G17" s="181">
        <v>2</v>
      </c>
      <c r="H17" s="181">
        <v>2</v>
      </c>
      <c r="I17" s="75">
        <f>1551307.77*90.5533%</f>
        <v>1404760.3788914098</v>
      </c>
      <c r="J17" s="75">
        <f>D17*I17</f>
        <v>2809520.7577828197</v>
      </c>
      <c r="K17" s="75">
        <f t="shared" si="1"/>
        <v>2809520.7577828197</v>
      </c>
      <c r="L17" s="75">
        <f t="shared" si="0"/>
        <v>2809520.7577828197</v>
      </c>
      <c r="M17" s="259"/>
      <c r="N17" s="259"/>
      <c r="P17" s="259"/>
    </row>
    <row r="18" spans="1:16" ht="41.45" customHeight="1" x14ac:dyDescent="0.25">
      <c r="A18" s="106" t="s">
        <v>253</v>
      </c>
      <c r="B18" s="254" t="s">
        <v>237</v>
      </c>
      <c r="C18" s="82"/>
      <c r="D18" s="193">
        <f>SUM(D16:D17)</f>
        <v>3</v>
      </c>
      <c r="E18" s="193">
        <f t="shared" ref="E18:H18" si="3">SUM(E16:E17)</f>
        <v>3</v>
      </c>
      <c r="F18" s="193">
        <f t="shared" si="3"/>
        <v>3</v>
      </c>
      <c r="G18" s="193">
        <f t="shared" si="3"/>
        <v>3</v>
      </c>
      <c r="H18" s="193">
        <f t="shared" si="3"/>
        <v>3</v>
      </c>
      <c r="I18" s="193">
        <f>J18/H18</f>
        <v>969796.1137533033</v>
      </c>
      <c r="J18" s="75">
        <f t="shared" ref="J18:L18" si="4">SUM(J16:J17)</f>
        <v>2909388.3412599098</v>
      </c>
      <c r="K18" s="75">
        <f t="shared" si="4"/>
        <v>2909388.3412599098</v>
      </c>
      <c r="L18" s="75">
        <f t="shared" si="4"/>
        <v>2909388.3412599098</v>
      </c>
      <c r="M18" s="259"/>
      <c r="N18" s="265">
        <f>J15+J18</f>
        <v>21459817.003495574</v>
      </c>
      <c r="O18" s="186" t="s">
        <v>331</v>
      </c>
      <c r="P18" s="259"/>
    </row>
    <row r="19" spans="1:16" ht="22.9" customHeight="1" x14ac:dyDescent="0.25">
      <c r="A19" s="106" t="s">
        <v>157</v>
      </c>
      <c r="B19" s="128" t="s">
        <v>329</v>
      </c>
      <c r="C19" s="180" t="s">
        <v>20</v>
      </c>
      <c r="D19" s="181">
        <v>28</v>
      </c>
      <c r="E19" s="181"/>
      <c r="F19" s="181"/>
      <c r="G19" s="181">
        <v>28</v>
      </c>
      <c r="H19" s="181">
        <v>28</v>
      </c>
      <c r="I19" s="75"/>
      <c r="J19" s="75">
        <v>855872</v>
      </c>
      <c r="K19" s="75"/>
      <c r="L19" s="75"/>
      <c r="M19" s="259"/>
      <c r="P19" s="259"/>
    </row>
    <row r="20" spans="1:16" ht="18" customHeight="1" x14ac:dyDescent="0.25">
      <c r="A20" s="106"/>
      <c r="B20" s="182" t="s">
        <v>327</v>
      </c>
      <c r="C20" s="180" t="s">
        <v>20</v>
      </c>
      <c r="D20" s="181">
        <v>21</v>
      </c>
      <c r="E20" s="181"/>
      <c r="F20" s="181"/>
      <c r="G20" s="181">
        <v>21</v>
      </c>
      <c r="H20" s="181">
        <v>21</v>
      </c>
      <c r="I20" s="75"/>
      <c r="J20" s="75">
        <v>426810</v>
      </c>
      <c r="K20" s="75"/>
      <c r="L20" s="75"/>
      <c r="M20" s="259"/>
      <c r="P20" s="259"/>
    </row>
    <row r="21" spans="1:16" x14ac:dyDescent="0.25">
      <c r="A21" s="180"/>
      <c r="B21" s="182" t="s">
        <v>229</v>
      </c>
      <c r="C21" s="180" t="s">
        <v>20</v>
      </c>
      <c r="D21" s="181">
        <v>21</v>
      </c>
      <c r="E21" s="181">
        <v>20</v>
      </c>
      <c r="F21" s="181">
        <v>20</v>
      </c>
      <c r="G21" s="181">
        <v>21</v>
      </c>
      <c r="H21" s="181">
        <v>21</v>
      </c>
      <c r="I21" s="75"/>
      <c r="J21" s="75">
        <v>4369039</v>
      </c>
      <c r="K21" s="75">
        <f>J21</f>
        <v>4369039</v>
      </c>
      <c r="L21" s="75">
        <f>K21</f>
        <v>4369039</v>
      </c>
      <c r="M21" s="259"/>
    </row>
    <row r="22" spans="1:16" x14ac:dyDescent="0.25">
      <c r="A22" s="335" t="s">
        <v>231</v>
      </c>
      <c r="B22" s="336"/>
      <c r="C22" s="337"/>
      <c r="D22" s="181"/>
      <c r="E22" s="181"/>
      <c r="F22" s="181"/>
      <c r="G22" s="181"/>
      <c r="H22" s="181"/>
      <c r="I22" s="75"/>
      <c r="J22" s="78">
        <f>J15+J18+J19+J20+J21</f>
        <v>27111538.003495574</v>
      </c>
      <c r="K22" s="78">
        <f t="shared" ref="K22:L22" si="5">K15+K18+K19+K20+K21</f>
        <v>25828856.003495574</v>
      </c>
      <c r="L22" s="78">
        <f t="shared" si="5"/>
        <v>25828856.003495574</v>
      </c>
      <c r="M22" s="259"/>
      <c r="N22" s="259"/>
      <c r="O22" s="260"/>
    </row>
    <row r="23" spans="1:16" ht="120" x14ac:dyDescent="0.25">
      <c r="A23" s="255" t="s">
        <v>160</v>
      </c>
      <c r="B23" s="254" t="s">
        <v>242</v>
      </c>
      <c r="C23" s="82" t="s">
        <v>177</v>
      </c>
      <c r="D23" s="181">
        <v>37082</v>
      </c>
      <c r="E23" s="181">
        <v>39042</v>
      </c>
      <c r="F23" s="181">
        <v>39042</v>
      </c>
      <c r="G23" s="181">
        <v>37082</v>
      </c>
      <c r="H23" s="181">
        <v>37082</v>
      </c>
      <c r="I23" s="75">
        <f>J23/H23</f>
        <v>96.636724017043306</v>
      </c>
      <c r="J23" s="75">
        <v>3583483</v>
      </c>
      <c r="K23" s="75">
        <f t="shared" ref="K23:L26" si="6">J23</f>
        <v>3583483</v>
      </c>
      <c r="L23" s="75">
        <f t="shared" si="6"/>
        <v>3583483</v>
      </c>
      <c r="M23" s="259"/>
      <c r="N23" s="259"/>
    </row>
    <row r="24" spans="1:16" ht="28.5" x14ac:dyDescent="0.25">
      <c r="A24" s="257" t="s">
        <v>160</v>
      </c>
      <c r="B24" s="128" t="s">
        <v>329</v>
      </c>
      <c r="C24" s="180" t="s">
        <v>20</v>
      </c>
      <c r="D24" s="181">
        <v>6</v>
      </c>
      <c r="E24" s="181">
        <v>6</v>
      </c>
      <c r="F24" s="181">
        <v>6</v>
      </c>
      <c r="G24" s="181">
        <v>6</v>
      </c>
      <c r="H24" s="181">
        <v>6</v>
      </c>
      <c r="I24" s="75"/>
      <c r="J24" s="75">
        <v>212200</v>
      </c>
      <c r="K24" s="227"/>
      <c r="L24" s="227"/>
      <c r="M24" s="259"/>
      <c r="N24" s="259"/>
    </row>
    <row r="25" spans="1:16" x14ac:dyDescent="0.25">
      <c r="A25" s="257"/>
      <c r="B25" s="182" t="s">
        <v>327</v>
      </c>
      <c r="C25" s="180" t="s">
        <v>20</v>
      </c>
      <c r="D25" s="180">
        <v>11</v>
      </c>
      <c r="E25" s="180">
        <v>11</v>
      </c>
      <c r="F25" s="180">
        <v>11</v>
      </c>
      <c r="G25" s="180">
        <v>11</v>
      </c>
      <c r="H25" s="180">
        <v>11</v>
      </c>
      <c r="I25" s="75"/>
      <c r="J25" s="75">
        <v>162590</v>
      </c>
      <c r="K25" s="227"/>
      <c r="L25" s="227"/>
      <c r="M25" s="259"/>
      <c r="N25" s="259"/>
    </row>
    <row r="26" spans="1:16" x14ac:dyDescent="0.25">
      <c r="A26" s="180"/>
      <c r="B26" s="182" t="s">
        <v>229</v>
      </c>
      <c r="C26" s="180" t="s">
        <v>20</v>
      </c>
      <c r="D26" s="180">
        <v>11</v>
      </c>
      <c r="E26" s="180">
        <v>11</v>
      </c>
      <c r="F26" s="180">
        <v>11</v>
      </c>
      <c r="G26" s="180">
        <v>11</v>
      </c>
      <c r="H26" s="180">
        <v>11</v>
      </c>
      <c r="I26" s="180"/>
      <c r="J26" s="227">
        <v>1779661</v>
      </c>
      <c r="K26" s="227">
        <f t="shared" si="6"/>
        <v>1779661</v>
      </c>
      <c r="L26" s="227">
        <f t="shared" si="6"/>
        <v>1779661</v>
      </c>
      <c r="N26" s="259"/>
      <c r="P26" s="259"/>
    </row>
    <row r="27" spans="1:16" x14ac:dyDescent="0.25">
      <c r="A27" s="335" t="s">
        <v>231</v>
      </c>
      <c r="B27" s="336"/>
      <c r="C27" s="337"/>
      <c r="D27" s="180"/>
      <c r="E27" s="180"/>
      <c r="F27" s="180"/>
      <c r="G27" s="180"/>
      <c r="H27" s="180"/>
      <c r="I27" s="180"/>
      <c r="J27" s="183">
        <f>J23+J24+J25+J26</f>
        <v>5737934</v>
      </c>
      <c r="K27" s="183">
        <f t="shared" ref="K27:L27" si="7">K23+K24+K25+K26</f>
        <v>5363144</v>
      </c>
      <c r="L27" s="183">
        <f t="shared" si="7"/>
        <v>5363144</v>
      </c>
    </row>
    <row r="28" spans="1:16" x14ac:dyDescent="0.25">
      <c r="A28" s="335" t="s">
        <v>230</v>
      </c>
      <c r="B28" s="336"/>
      <c r="C28" s="337"/>
      <c r="D28" s="182"/>
      <c r="E28" s="182"/>
      <c r="F28" s="182"/>
      <c r="G28" s="182"/>
      <c r="H28" s="182"/>
      <c r="I28" s="182"/>
      <c r="J28" s="183">
        <f>J22+J27</f>
        <v>32849472.003495574</v>
      </c>
      <c r="K28" s="183">
        <f>K22+K27</f>
        <v>31192000.003495574</v>
      </c>
      <c r="L28" s="183">
        <f>L22+L27</f>
        <v>31192000.003495574</v>
      </c>
    </row>
    <row r="29" spans="1:16" x14ac:dyDescent="0.25">
      <c r="J29" s="259"/>
    </row>
    <row r="30" spans="1:16" x14ac:dyDescent="0.25">
      <c r="M30" s="263"/>
    </row>
    <row r="32" spans="1:16" x14ac:dyDescent="0.25">
      <c r="A32" s="186" t="s">
        <v>234</v>
      </c>
    </row>
    <row r="33" spans="1:10" x14ac:dyDescent="0.25">
      <c r="A33" s="186" t="s">
        <v>178</v>
      </c>
    </row>
    <row r="35" spans="1:10" x14ac:dyDescent="0.25">
      <c r="J35" s="259"/>
    </row>
  </sheetData>
  <mergeCells count="7">
    <mergeCell ref="A28:C28"/>
    <mergeCell ref="A5:L5"/>
    <mergeCell ref="D7:H7"/>
    <mergeCell ref="I7:I8"/>
    <mergeCell ref="J7:L7"/>
    <mergeCell ref="A22:C22"/>
    <mergeCell ref="A27:C27"/>
  </mergeCells>
  <pageMargins left="0.70866141732283472" right="0.70866141732283472" top="0.74803149606299213" bottom="0.74803149606299213" header="0.31496062992125984" footer="0.31496062992125984"/>
  <pageSetup paperSize="9" scale="28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01.01.2016</vt:lpstr>
      <vt:lpstr>ОБЩИЙ</vt:lpstr>
      <vt:lpstr>ШКОЛЫ</vt:lpstr>
      <vt:lpstr>САДЫ</vt:lpstr>
      <vt:lpstr>Лист1</vt:lpstr>
      <vt:lpstr>ДОП ДДТ +ДЭБС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Бецку Александра Викторовна</dc:creator>
  <cp:lastModifiedBy>Отдел</cp:lastModifiedBy>
  <cp:lastPrinted>2020-03-11T10:12:13Z</cp:lastPrinted>
  <dcterms:created xsi:type="dcterms:W3CDTF">2018-11-21T04:22:49Z</dcterms:created>
  <dcterms:modified xsi:type="dcterms:W3CDTF">2020-03-11T10:12:19Z</dcterms:modified>
</cp:coreProperties>
</file>