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2" yWindow="-72" windowWidth="15456" windowHeight="9312" tabRatio="598" firstSheet="2" activeTab="2"/>
  </bookViews>
  <sheets>
    <sheet name="01.01.2016" sheetId="1" state="hidden" r:id="rId1"/>
    <sheet name="ОБЩИЙ" sheetId="3" state="hidden" r:id="rId2"/>
    <sheet name="ШКОЛЫ" sheetId="4" r:id="rId3"/>
    <sheet name="САДЫ" sheetId="12" r:id="rId4"/>
    <sheet name="ДОП ДДТ" sheetId="11" r:id="rId5"/>
    <sheet name="Лист2" sheetId="13" r:id="rId6"/>
  </sheets>
  <calcPr calcId="124519"/>
</workbook>
</file>

<file path=xl/calcChain.xml><?xml version="1.0" encoding="utf-8"?>
<calcChain xmlns="http://schemas.openxmlformats.org/spreadsheetml/2006/main">
  <c r="W119" i="12"/>
  <c r="L113"/>
  <c r="L112"/>
  <c r="L104"/>
  <c r="L105"/>
  <c r="L103"/>
  <c r="L98"/>
  <c r="L97"/>
  <c r="L90"/>
  <c r="L91"/>
  <c r="L92"/>
  <c r="L89"/>
  <c r="L81"/>
  <c r="L82"/>
  <c r="L83"/>
  <c r="L84"/>
  <c r="L80"/>
  <c r="L70"/>
  <c r="L71"/>
  <c r="L69"/>
  <c r="L61"/>
  <c r="L62"/>
  <c r="L60"/>
  <c r="L50"/>
  <c r="L51"/>
  <c r="L52"/>
  <c r="L53"/>
  <c r="L54"/>
  <c r="L55"/>
  <c r="L49"/>
  <c r="L39"/>
  <c r="L40"/>
  <c r="L38"/>
  <c r="AA21"/>
  <c r="L28"/>
  <c r="L29"/>
  <c r="L30"/>
  <c r="L31"/>
  <c r="L27"/>
  <c r="AB12"/>
  <c r="AA13"/>
  <c r="U17"/>
  <c r="L17"/>
  <c r="L18"/>
  <c r="L19"/>
  <c r="L20"/>
  <c r="L16"/>
  <c r="T166" i="4"/>
  <c r="T165"/>
  <c r="T162"/>
  <c r="T157"/>
  <c r="T156"/>
  <c r="T153"/>
  <c r="T145"/>
  <c r="M156"/>
  <c r="M145"/>
  <c r="M153"/>
  <c r="M157"/>
  <c r="M162"/>
  <c r="M165"/>
  <c r="M166"/>
  <c r="M169"/>
  <c r="T130"/>
  <c r="T128"/>
  <c r="T121"/>
  <c r="T119"/>
  <c r="T110"/>
  <c r="M110"/>
  <c r="M119"/>
  <c r="M121"/>
  <c r="M128"/>
  <c r="M130"/>
  <c r="M133"/>
  <c r="T78"/>
  <c r="T85"/>
  <c r="T87"/>
  <c r="T92"/>
  <c r="T94"/>
  <c r="M78"/>
  <c r="M85"/>
  <c r="M87"/>
  <c r="M92"/>
  <c r="M94"/>
  <c r="M98"/>
  <c r="T63"/>
  <c r="T61"/>
  <c r="T56"/>
  <c r="T54"/>
  <c r="T47"/>
  <c r="M47"/>
  <c r="M54"/>
  <c r="M56"/>
  <c r="M61"/>
  <c r="M63"/>
  <c r="M66"/>
  <c r="T35"/>
  <c r="T31"/>
  <c r="T29"/>
  <c r="T24"/>
  <c r="T22"/>
  <c r="T12"/>
  <c r="X46"/>
  <c r="M12" l="1"/>
  <c r="M22"/>
  <c r="M24"/>
  <c r="M29"/>
  <c r="M31"/>
  <c r="M35"/>
  <c r="U113" i="12"/>
  <c r="AA111"/>
  <c r="U105"/>
  <c r="AA102"/>
  <c r="U98"/>
  <c r="AA96"/>
  <c r="U91"/>
  <c r="AA88"/>
  <c r="U82"/>
  <c r="AA79"/>
  <c r="U71"/>
  <c r="AA68"/>
  <c r="U62"/>
  <c r="AA59"/>
  <c r="U50"/>
  <c r="AA48"/>
  <c r="U40"/>
  <c r="AA37"/>
  <c r="U31"/>
  <c r="J16" i="11"/>
  <c r="J15"/>
  <c r="J14"/>
  <c r="J13"/>
  <c r="J12"/>
  <c r="J11"/>
  <c r="T35" i="12"/>
  <c r="T182" i="4"/>
  <c r="L34" i="12"/>
  <c r="S22"/>
  <c r="L21"/>
  <c r="R182" i="4"/>
  <c r="R183"/>
  <c r="R187"/>
  <c r="R190"/>
  <c r="R191"/>
  <c r="R198"/>
  <c r="I11" i="11"/>
  <c r="J17"/>
  <c r="N113" i="12"/>
  <c r="N20"/>
  <c r="O20"/>
  <c r="O113"/>
  <c r="N105"/>
  <c r="O105"/>
  <c r="N98"/>
  <c r="O98"/>
  <c r="N91"/>
  <c r="O91"/>
  <c r="N84"/>
  <c r="O82" l="1"/>
  <c r="N71"/>
  <c r="N62"/>
  <c r="O62"/>
  <c r="N52"/>
  <c r="O52"/>
  <c r="N40"/>
  <c r="O40"/>
  <c r="O31"/>
  <c r="N30"/>
  <c r="N27"/>
  <c r="N28"/>
  <c r="I16" i="11"/>
  <c r="I12"/>
  <c r="I13"/>
  <c r="I14"/>
  <c r="I15"/>
  <c r="U96" i="12" l="1"/>
  <c r="U79"/>
  <c r="U59"/>
  <c r="U26"/>
  <c r="K113"/>
  <c r="K112"/>
  <c r="K105"/>
  <c r="K104"/>
  <c r="K103"/>
  <c r="K98"/>
  <c r="K97"/>
  <c r="K92"/>
  <c r="K91"/>
  <c r="K90"/>
  <c r="K89"/>
  <c r="K84"/>
  <c r="K83"/>
  <c r="K82"/>
  <c r="K81"/>
  <c r="K80"/>
  <c r="K71"/>
  <c r="K70"/>
  <c r="K69"/>
  <c r="K62"/>
  <c r="K61"/>
  <c r="K60"/>
  <c r="K52"/>
  <c r="K51"/>
  <c r="K50"/>
  <c r="K49"/>
  <c r="K40"/>
  <c r="K39"/>
  <c r="K38"/>
  <c r="K31"/>
  <c r="K30"/>
  <c r="K29"/>
  <c r="K28"/>
  <c r="K27"/>
  <c r="K19"/>
  <c r="K18"/>
  <c r="K17"/>
  <c r="K16"/>
  <c r="J113"/>
  <c r="J112"/>
  <c r="J105"/>
  <c r="J104"/>
  <c r="J103"/>
  <c r="J98"/>
  <c r="J97"/>
  <c r="J92"/>
  <c r="J91"/>
  <c r="J90"/>
  <c r="J89"/>
  <c r="J84"/>
  <c r="J83"/>
  <c r="J82"/>
  <c r="J81"/>
  <c r="J80"/>
  <c r="J71"/>
  <c r="J70"/>
  <c r="J69"/>
  <c r="J62"/>
  <c r="J61"/>
  <c r="J60"/>
  <c r="J52"/>
  <c r="J51"/>
  <c r="J50"/>
  <c r="J49"/>
  <c r="J40"/>
  <c r="J39"/>
  <c r="J38"/>
  <c r="J31"/>
  <c r="J30"/>
  <c r="J29"/>
  <c r="J28"/>
  <c r="J27"/>
  <c r="J19"/>
  <c r="J18"/>
  <c r="J17"/>
  <c r="J16"/>
  <c r="U88" l="1"/>
  <c r="I57" i="11"/>
  <c r="I58"/>
  <c r="I59"/>
  <c r="I60"/>
  <c r="I61"/>
  <c r="I62"/>
  <c r="I63" l="1"/>
  <c r="L117" i="12"/>
  <c r="L118"/>
  <c r="L108"/>
  <c r="L109"/>
  <c r="L99"/>
  <c r="L100"/>
  <c r="L94"/>
  <c r="L85"/>
  <c r="L86"/>
  <c r="L77"/>
  <c r="L65"/>
  <c r="L66"/>
  <c r="L56"/>
  <c r="L57"/>
  <c r="Q40"/>
  <c r="L46"/>
  <c r="L35"/>
  <c r="K56" i="11" l="1"/>
  <c r="J56"/>
  <c r="Q20" i="12"/>
  <c r="T20" s="1"/>
  <c r="U20" s="1"/>
  <c r="V20" s="1"/>
  <c r="Q16"/>
  <c r="L22"/>
  <c r="K16" i="11"/>
  <c r="K15"/>
  <c r="K14"/>
  <c r="K13"/>
  <c r="K12"/>
  <c r="K11"/>
  <c r="P15" i="12"/>
  <c r="P25"/>
  <c r="P58"/>
  <c r="R15"/>
  <c r="R25"/>
  <c r="R119" s="1"/>
  <c r="R58"/>
  <c r="G21"/>
  <c r="H21"/>
  <c r="I21"/>
  <c r="S15"/>
  <c r="K58" i="11" l="1"/>
  <c r="K60"/>
  <c r="K62"/>
  <c r="K57"/>
  <c r="K59"/>
  <c r="K61"/>
  <c r="J57"/>
  <c r="J59"/>
  <c r="J61"/>
  <c r="J60"/>
  <c r="J62"/>
  <c r="J58"/>
  <c r="P119" i="12"/>
  <c r="J63" i="11" l="1"/>
  <c r="K63"/>
  <c r="V104" i="12"/>
  <c r="V90"/>
  <c r="U118"/>
  <c r="M118"/>
  <c r="O117"/>
  <c r="M117"/>
  <c r="U117" s="1"/>
  <c r="V117" s="1"/>
  <c r="T116"/>
  <c r="U116" s="1"/>
  <c r="V116" s="1"/>
  <c r="M116"/>
  <c r="T115"/>
  <c r="U115" s="1"/>
  <c r="V115" s="1"/>
  <c r="M115"/>
  <c r="T114"/>
  <c r="U114" s="1"/>
  <c r="V114" s="1"/>
  <c r="M114"/>
  <c r="M111"/>
  <c r="M110"/>
  <c r="U109"/>
  <c r="M109"/>
  <c r="O108"/>
  <c r="N108"/>
  <c r="M108"/>
  <c r="F108"/>
  <c r="E108"/>
  <c r="T107"/>
  <c r="U107" s="1"/>
  <c r="V107" s="1"/>
  <c r="M107"/>
  <c r="T106"/>
  <c r="U106" s="1"/>
  <c r="U102" s="1"/>
  <c r="M106"/>
  <c r="V105"/>
  <c r="V103"/>
  <c r="M102"/>
  <c r="M101"/>
  <c r="U100"/>
  <c r="M100"/>
  <c r="O99"/>
  <c r="N99"/>
  <c r="M99"/>
  <c r="M96"/>
  <c r="M95"/>
  <c r="V94"/>
  <c r="M94"/>
  <c r="I93"/>
  <c r="H93"/>
  <c r="F93"/>
  <c r="E93"/>
  <c r="V91"/>
  <c r="V89"/>
  <c r="M88"/>
  <c r="M87"/>
  <c r="U86"/>
  <c r="M86"/>
  <c r="O85"/>
  <c r="N85"/>
  <c r="M85"/>
  <c r="M79"/>
  <c r="M78"/>
  <c r="U77"/>
  <c r="M77"/>
  <c r="I76"/>
  <c r="H76"/>
  <c r="G76"/>
  <c r="F76"/>
  <c r="E76"/>
  <c r="N76" s="1"/>
  <c r="T75"/>
  <c r="U75" s="1"/>
  <c r="V75" s="1"/>
  <c r="M75"/>
  <c r="T74"/>
  <c r="U74" s="1"/>
  <c r="V74" s="1"/>
  <c r="M74"/>
  <c r="T73"/>
  <c r="U73" s="1"/>
  <c r="V73" s="1"/>
  <c r="M73"/>
  <c r="T72"/>
  <c r="U72" s="1"/>
  <c r="V72" s="1"/>
  <c r="M72"/>
  <c r="M68"/>
  <c r="M67"/>
  <c r="V66"/>
  <c r="M66"/>
  <c r="N65"/>
  <c r="M65"/>
  <c r="T64"/>
  <c r="U64" s="1"/>
  <c r="V64" s="1"/>
  <c r="M64"/>
  <c r="T63"/>
  <c r="U63" s="1"/>
  <c r="V63" s="1"/>
  <c r="M63"/>
  <c r="M59"/>
  <c r="M58"/>
  <c r="V57"/>
  <c r="M57"/>
  <c r="O56"/>
  <c r="N56"/>
  <c r="M56"/>
  <c r="F56"/>
  <c r="E56"/>
  <c r="T55"/>
  <c r="U55" s="1"/>
  <c r="V55" s="1"/>
  <c r="M55"/>
  <c r="T54"/>
  <c r="U54" s="1"/>
  <c r="V54" s="1"/>
  <c r="M54"/>
  <c r="T53"/>
  <c r="U53" s="1"/>
  <c r="M53"/>
  <c r="G52"/>
  <c r="M48"/>
  <c r="M47"/>
  <c r="U46"/>
  <c r="M46"/>
  <c r="I45"/>
  <c r="H45"/>
  <c r="G45"/>
  <c r="F45"/>
  <c r="E45"/>
  <c r="T44"/>
  <c r="U44" s="1"/>
  <c r="M44"/>
  <c r="T43"/>
  <c r="U43" s="1"/>
  <c r="V43" s="1"/>
  <c r="M43"/>
  <c r="T42"/>
  <c r="U42" s="1"/>
  <c r="V42" s="1"/>
  <c r="M42"/>
  <c r="T41"/>
  <c r="U41" s="1"/>
  <c r="V41" s="1"/>
  <c r="M41"/>
  <c r="M37"/>
  <c r="M36"/>
  <c r="V35"/>
  <c r="M35"/>
  <c r="N34"/>
  <c r="M34"/>
  <c r="T33"/>
  <c r="U33" s="1"/>
  <c r="V33" s="1"/>
  <c r="M33"/>
  <c r="T32"/>
  <c r="U32" s="1"/>
  <c r="V32" s="1"/>
  <c r="M32"/>
  <c r="M26"/>
  <c r="M25"/>
  <c r="T24"/>
  <c r="U24" s="1"/>
  <c r="V24" s="1"/>
  <c r="M24"/>
  <c r="T23"/>
  <c r="U23" s="1"/>
  <c r="V23" s="1"/>
  <c r="M23"/>
  <c r="M22"/>
  <c r="M21"/>
  <c r="F21"/>
  <c r="E21"/>
  <c r="N21" s="1"/>
  <c r="O182" i="4"/>
  <c r="O198"/>
  <c r="O191"/>
  <c r="O190"/>
  <c r="O183"/>
  <c r="K195"/>
  <c r="K187"/>
  <c r="P182"/>
  <c r="P198"/>
  <c r="P191"/>
  <c r="P190"/>
  <c r="P187"/>
  <c r="P183"/>
  <c r="M334"/>
  <c r="N207"/>
  <c r="O337"/>
  <c r="N337"/>
  <c r="M337"/>
  <c r="M338" s="1"/>
  <c r="O334"/>
  <c r="O335" s="1"/>
  <c r="N334"/>
  <c r="I212"/>
  <c r="H212"/>
  <c r="G212"/>
  <c r="L333"/>
  <c r="M335" s="1"/>
  <c r="C341"/>
  <c r="P322"/>
  <c r="R145"/>
  <c r="R166"/>
  <c r="R172"/>
  <c r="K169"/>
  <c r="K166"/>
  <c r="K165"/>
  <c r="K162"/>
  <c r="K157"/>
  <c r="K156"/>
  <c r="K153"/>
  <c r="K145"/>
  <c r="O145" s="1"/>
  <c r="L169"/>
  <c r="L166"/>
  <c r="L165"/>
  <c r="L162"/>
  <c r="L157"/>
  <c r="L156"/>
  <c r="L153"/>
  <c r="L145"/>
  <c r="P145" s="1"/>
  <c r="O322"/>
  <c r="N322"/>
  <c r="P319"/>
  <c r="O319"/>
  <c r="N319"/>
  <c r="M318"/>
  <c r="C326"/>
  <c r="R110"/>
  <c r="K133"/>
  <c r="K130"/>
  <c r="K128"/>
  <c r="K121"/>
  <c r="K119"/>
  <c r="K110"/>
  <c r="O110" s="1"/>
  <c r="L133"/>
  <c r="L130"/>
  <c r="L128"/>
  <c r="L121"/>
  <c r="L119"/>
  <c r="L110"/>
  <c r="P110" s="1"/>
  <c r="N320" l="1"/>
  <c r="P320"/>
  <c r="O323"/>
  <c r="O324" s="1"/>
  <c r="O320"/>
  <c r="N323"/>
  <c r="N324" s="1"/>
  <c r="N331" s="1"/>
  <c r="P323"/>
  <c r="N338"/>
  <c r="N339" s="1"/>
  <c r="N345" s="1"/>
  <c r="M339"/>
  <c r="O338"/>
  <c r="O339" s="1"/>
  <c r="O343" s="1"/>
  <c r="O45" i="12"/>
  <c r="L45"/>
  <c r="M45" s="1"/>
  <c r="O76"/>
  <c r="L76"/>
  <c r="M76" s="1"/>
  <c r="N329" i="4"/>
  <c r="N325"/>
  <c r="N328"/>
  <c r="N340"/>
  <c r="N343"/>
  <c r="N344"/>
  <c r="O345"/>
  <c r="O341"/>
  <c r="O342"/>
  <c r="O330"/>
  <c r="O328"/>
  <c r="O326"/>
  <c r="O331"/>
  <c r="O329"/>
  <c r="O327"/>
  <c r="O325"/>
  <c r="Q319"/>
  <c r="P324"/>
  <c r="P334"/>
  <c r="N335"/>
  <c r="Q51" i="12"/>
  <c r="Q97"/>
  <c r="Q70"/>
  <c r="N112"/>
  <c r="Q18"/>
  <c r="Q19"/>
  <c r="Q17"/>
  <c r="S110"/>
  <c r="Q112"/>
  <c r="Q113"/>
  <c r="Q104"/>
  <c r="Q105"/>
  <c r="Q103"/>
  <c r="N97"/>
  <c r="Q98"/>
  <c r="N90"/>
  <c r="Q90"/>
  <c r="O80"/>
  <c r="O81"/>
  <c r="Q69"/>
  <c r="Q71"/>
  <c r="Q50"/>
  <c r="Q52"/>
  <c r="S58"/>
  <c r="S95"/>
  <c r="Q49"/>
  <c r="Q39"/>
  <c r="N38"/>
  <c r="Q30"/>
  <c r="T85"/>
  <c r="U85" s="1"/>
  <c r="V85" s="1"/>
  <c r="S87"/>
  <c r="S47"/>
  <c r="T65"/>
  <c r="U65" s="1"/>
  <c r="V65" s="1"/>
  <c r="T108"/>
  <c r="U108" s="1"/>
  <c r="V108" s="1"/>
  <c r="T117"/>
  <c r="S36"/>
  <c r="S67"/>
  <c r="S78"/>
  <c r="S101"/>
  <c r="G93"/>
  <c r="T56"/>
  <c r="U56" s="1"/>
  <c r="V56" s="1"/>
  <c r="S25"/>
  <c r="T34"/>
  <c r="U34" s="1"/>
  <c r="V34" s="1"/>
  <c r="T77"/>
  <c r="T99"/>
  <c r="U99" s="1"/>
  <c r="V99" s="1"/>
  <c r="V44"/>
  <c r="V106"/>
  <c r="V102" s="1"/>
  <c r="U22"/>
  <c r="S14"/>
  <c r="V22"/>
  <c r="T22"/>
  <c r="V53"/>
  <c r="U35"/>
  <c r="N45"/>
  <c r="T46"/>
  <c r="V46"/>
  <c r="U57"/>
  <c r="U66"/>
  <c r="V77"/>
  <c r="T86"/>
  <c r="V86"/>
  <c r="U94"/>
  <c r="T100"/>
  <c r="V100"/>
  <c r="T109"/>
  <c r="V109"/>
  <c r="T118"/>
  <c r="V118"/>
  <c r="T57"/>
  <c r="T66"/>
  <c r="T94"/>
  <c r="M344" i="4"/>
  <c r="M342"/>
  <c r="M340"/>
  <c r="M345"/>
  <c r="M343"/>
  <c r="M341"/>
  <c r="P331"/>
  <c r="P329"/>
  <c r="Q329" s="1"/>
  <c r="P327"/>
  <c r="P325"/>
  <c r="Q325" s="1"/>
  <c r="P330"/>
  <c r="P328"/>
  <c r="Q328" s="1"/>
  <c r="P326"/>
  <c r="P345" l="1"/>
  <c r="Q331"/>
  <c r="P343"/>
  <c r="O340"/>
  <c r="P340" s="1"/>
  <c r="O344"/>
  <c r="P344" s="1"/>
  <c r="N342"/>
  <c r="N341"/>
  <c r="P341" s="1"/>
  <c r="N326"/>
  <c r="Q326" s="1"/>
  <c r="N330"/>
  <c r="Q330" s="1"/>
  <c r="N327"/>
  <c r="Q327" s="1"/>
  <c r="P342"/>
  <c r="S119" i="12"/>
  <c r="L93"/>
  <c r="M93" s="1"/>
  <c r="Q96"/>
  <c r="Q95" s="1"/>
  <c r="Q111"/>
  <c r="Q110" s="1"/>
  <c r="U101"/>
  <c r="AB102" s="1"/>
  <c r="N39"/>
  <c r="N111"/>
  <c r="N110" s="1"/>
  <c r="Q15"/>
  <c r="O60"/>
  <c r="O61"/>
  <c r="Q61"/>
  <c r="Q62"/>
  <c r="Q60"/>
  <c r="V101"/>
  <c r="Q91"/>
  <c r="O79"/>
  <c r="O78" s="1"/>
  <c r="N82"/>
  <c r="Q80"/>
  <c r="O18"/>
  <c r="O16"/>
  <c r="O19"/>
  <c r="O17"/>
  <c r="Q89"/>
  <c r="N92"/>
  <c r="T92" s="1"/>
  <c r="Q102"/>
  <c r="Q101" s="1"/>
  <c r="O103"/>
  <c r="O104"/>
  <c r="N96"/>
  <c r="N95" s="1"/>
  <c r="Q82"/>
  <c r="N81"/>
  <c r="N89"/>
  <c r="N83"/>
  <c r="T83" s="1"/>
  <c r="Q81"/>
  <c r="Q68"/>
  <c r="Q67" s="1"/>
  <c r="O71"/>
  <c r="O69"/>
  <c r="O70"/>
  <c r="Q48"/>
  <c r="O51"/>
  <c r="O49"/>
  <c r="O50"/>
  <c r="Q38"/>
  <c r="N31"/>
  <c r="Q28"/>
  <c r="Q29"/>
  <c r="Q31"/>
  <c r="Q27"/>
  <c r="N29"/>
  <c r="O29"/>
  <c r="O27"/>
  <c r="O30"/>
  <c r="O28"/>
  <c r="O93"/>
  <c r="T93"/>
  <c r="U93" s="1"/>
  <c r="V93" s="1"/>
  <c r="T45"/>
  <c r="U45" s="1"/>
  <c r="V45" s="1"/>
  <c r="N37"/>
  <c r="N36" s="1"/>
  <c r="T76"/>
  <c r="U76" s="1"/>
  <c r="V76" s="1"/>
  <c r="T21"/>
  <c r="U21" s="1"/>
  <c r="V21" s="1"/>
  <c r="K24" i="11"/>
  <c r="L24" s="1"/>
  <c r="H24"/>
  <c r="G24"/>
  <c r="F24"/>
  <c r="E24"/>
  <c r="D24"/>
  <c r="H23"/>
  <c r="G23"/>
  <c r="F23"/>
  <c r="E23"/>
  <c r="D23"/>
  <c r="H21"/>
  <c r="G21"/>
  <c r="F21"/>
  <c r="E21"/>
  <c r="D21"/>
  <c r="H20"/>
  <c r="G20"/>
  <c r="F20"/>
  <c r="E20"/>
  <c r="D20"/>
  <c r="I19"/>
  <c r="J19" s="1"/>
  <c r="K19" s="1"/>
  <c r="L19" s="1"/>
  <c r="I18"/>
  <c r="J18" s="1"/>
  <c r="F17"/>
  <c r="E17"/>
  <c r="D17"/>
  <c r="N16"/>
  <c r="L16"/>
  <c r="H16"/>
  <c r="G16"/>
  <c r="L15"/>
  <c r="G15"/>
  <c r="H15" s="1"/>
  <c r="L14"/>
  <c r="M14"/>
  <c r="H14"/>
  <c r="G14"/>
  <c r="L13"/>
  <c r="L12"/>
  <c r="M12"/>
  <c r="H12"/>
  <c r="G12"/>
  <c r="L11"/>
  <c r="H11"/>
  <c r="X110" i="12" l="1"/>
  <c r="Y110" s="1"/>
  <c r="AB110"/>
  <c r="AC110" s="1"/>
  <c r="X95"/>
  <c r="Y95" s="1"/>
  <c r="AB95"/>
  <c r="AC95" s="1"/>
  <c r="X101"/>
  <c r="Y101" s="1"/>
  <c r="AB101"/>
  <c r="AC101" s="1"/>
  <c r="X67"/>
  <c r="Y67" s="1"/>
  <c r="AB67"/>
  <c r="AC67" s="1"/>
  <c r="M92"/>
  <c r="N88"/>
  <c r="N87" s="1"/>
  <c r="Q88"/>
  <c r="Q87" s="1"/>
  <c r="T82"/>
  <c r="V82" s="1"/>
  <c r="V79" s="1"/>
  <c r="Q14"/>
  <c r="Q37"/>
  <c r="Q36" s="1"/>
  <c r="U87"/>
  <c r="AB88" s="1"/>
  <c r="N60"/>
  <c r="M60"/>
  <c r="N61"/>
  <c r="T61" s="1"/>
  <c r="V61" s="1"/>
  <c r="M61"/>
  <c r="T62"/>
  <c r="V62" s="1"/>
  <c r="V59" s="1"/>
  <c r="M62"/>
  <c r="O15"/>
  <c r="Q59"/>
  <c r="Q58" s="1"/>
  <c r="O59"/>
  <c r="O58" s="1"/>
  <c r="M81"/>
  <c r="V83"/>
  <c r="Q79"/>
  <c r="Q78" s="1"/>
  <c r="N19"/>
  <c r="T19" s="1"/>
  <c r="M19"/>
  <c r="N18"/>
  <c r="T18" s="1"/>
  <c r="M18"/>
  <c r="N17"/>
  <c r="T17" s="1"/>
  <c r="M17"/>
  <c r="N16"/>
  <c r="N15" s="1"/>
  <c r="M16"/>
  <c r="O14"/>
  <c r="O119" s="1"/>
  <c r="V92"/>
  <c r="O112"/>
  <c r="M112"/>
  <c r="T113"/>
  <c r="V113" s="1"/>
  <c r="M113"/>
  <c r="N103"/>
  <c r="M103"/>
  <c r="N104"/>
  <c r="T104" s="1"/>
  <c r="M104"/>
  <c r="T105"/>
  <c r="M105"/>
  <c r="O102"/>
  <c r="O101" s="1"/>
  <c r="M83"/>
  <c r="M82"/>
  <c r="O97"/>
  <c r="M97"/>
  <c r="T98"/>
  <c r="V98" s="1"/>
  <c r="V96" s="1"/>
  <c r="M98"/>
  <c r="O89"/>
  <c r="T89" s="1"/>
  <c r="M89"/>
  <c r="O90"/>
  <c r="T90" s="1"/>
  <c r="M90"/>
  <c r="T91"/>
  <c r="M91"/>
  <c r="O88"/>
  <c r="O87" s="1"/>
  <c r="M84"/>
  <c r="O68"/>
  <c r="O67" s="1"/>
  <c r="N80"/>
  <c r="N79" s="1"/>
  <c r="M80"/>
  <c r="T81"/>
  <c r="V81" s="1"/>
  <c r="T84"/>
  <c r="Q47"/>
  <c r="O48"/>
  <c r="O47" s="1"/>
  <c r="N69"/>
  <c r="M69"/>
  <c r="N70"/>
  <c r="T70" s="1"/>
  <c r="V70" s="1"/>
  <c r="M70"/>
  <c r="T71"/>
  <c r="M71"/>
  <c r="N50"/>
  <c r="T50" s="1"/>
  <c r="V50" s="1"/>
  <c r="M50"/>
  <c r="M52"/>
  <c r="T52"/>
  <c r="V52" s="1"/>
  <c r="N51"/>
  <c r="T51" s="1"/>
  <c r="V51" s="1"/>
  <c r="M51"/>
  <c r="N49"/>
  <c r="M49"/>
  <c r="O39"/>
  <c r="T39" s="1"/>
  <c r="V39" s="1"/>
  <c r="M39"/>
  <c r="T40"/>
  <c r="V40" s="1"/>
  <c r="M40"/>
  <c r="O38"/>
  <c r="M38"/>
  <c r="Q26"/>
  <c r="T30"/>
  <c r="V30" s="1"/>
  <c r="M30"/>
  <c r="T31"/>
  <c r="V31" s="1"/>
  <c r="V26" s="1"/>
  <c r="V25" s="1"/>
  <c r="M31"/>
  <c r="T29"/>
  <c r="V29" s="1"/>
  <c r="M29"/>
  <c r="T28"/>
  <c r="V28" s="1"/>
  <c r="M28"/>
  <c r="M27"/>
  <c r="L17" i="11"/>
  <c r="H17"/>
  <c r="K17"/>
  <c r="G17"/>
  <c r="N12"/>
  <c r="N14"/>
  <c r="J20"/>
  <c r="I20" s="1"/>
  <c r="K18"/>
  <c r="X58" i="12" l="1"/>
  <c r="Y58" s="1"/>
  <c r="AB58"/>
  <c r="X78"/>
  <c r="Y78" s="1"/>
  <c r="AB78"/>
  <c r="AC78" s="1"/>
  <c r="X87"/>
  <c r="Y87" s="1"/>
  <c r="AB87"/>
  <c r="AC87" s="1"/>
  <c r="X36"/>
  <c r="Y36" s="1"/>
  <c r="AB36"/>
  <c r="AC36" s="1"/>
  <c r="X47"/>
  <c r="Y47" s="1"/>
  <c r="AB47"/>
  <c r="AC47" s="1"/>
  <c r="AB14"/>
  <c r="AC14" s="1"/>
  <c r="V88"/>
  <c r="V87" s="1"/>
  <c r="V71"/>
  <c r="X14"/>
  <c r="Y14" s="1"/>
  <c r="T60"/>
  <c r="N59"/>
  <c r="N58" s="1"/>
  <c r="T88"/>
  <c r="T87" s="1"/>
  <c r="W88" s="1"/>
  <c r="N14"/>
  <c r="N119" s="1"/>
  <c r="T16"/>
  <c r="O111"/>
  <c r="O110" s="1"/>
  <c r="T112"/>
  <c r="N102"/>
  <c r="N101" s="1"/>
  <c r="T103"/>
  <c r="T97"/>
  <c r="O96"/>
  <c r="O95" s="1"/>
  <c r="T80"/>
  <c r="N78"/>
  <c r="T69"/>
  <c r="N68"/>
  <c r="N67" s="1"/>
  <c r="T49"/>
  <c r="N48"/>
  <c r="N47" s="1"/>
  <c r="T38"/>
  <c r="O37"/>
  <c r="O36" s="1"/>
  <c r="Q25"/>
  <c r="AB25" s="1"/>
  <c r="AC25" s="1"/>
  <c r="O26"/>
  <c r="O25" s="1"/>
  <c r="N26"/>
  <c r="N25" s="1"/>
  <c r="T27"/>
  <c r="K20" i="11"/>
  <c r="K25" s="1"/>
  <c r="L18"/>
  <c r="L20" s="1"/>
  <c r="L25" s="1"/>
  <c r="Q119" i="12" l="1"/>
  <c r="U25"/>
  <c r="AB21" s="1"/>
  <c r="V27"/>
  <c r="V112"/>
  <c r="V111" s="1"/>
  <c r="V110" s="1"/>
  <c r="U111"/>
  <c r="U110" s="1"/>
  <c r="AB111" s="1"/>
  <c r="V38"/>
  <c r="V37" s="1"/>
  <c r="V36" s="1"/>
  <c r="U37"/>
  <c r="U36" s="1"/>
  <c r="AB37" s="1"/>
  <c r="T48"/>
  <c r="T47" s="1"/>
  <c r="V69"/>
  <c r="V68" s="1"/>
  <c r="V67" s="1"/>
  <c r="U68"/>
  <c r="U67" s="1"/>
  <c r="AB68" s="1"/>
  <c r="T79"/>
  <c r="T78" s="1"/>
  <c r="V97"/>
  <c r="V95" s="1"/>
  <c r="U95"/>
  <c r="AB96" s="1"/>
  <c r="T59"/>
  <c r="T58" s="1"/>
  <c r="W71"/>
  <c r="T15"/>
  <c r="T14" s="1"/>
  <c r="U15"/>
  <c r="T26"/>
  <c r="T68"/>
  <c r="T67" s="1"/>
  <c r="T96"/>
  <c r="T95" s="1"/>
  <c r="T37"/>
  <c r="T36" s="1"/>
  <c r="T102"/>
  <c r="T101" s="1"/>
  <c r="W102" s="1"/>
  <c r="T111"/>
  <c r="T110" s="1"/>
  <c r="V84"/>
  <c r="X25"/>
  <c r="Y25" s="1"/>
  <c r="W97" l="1"/>
  <c r="W111"/>
  <c r="T25"/>
  <c r="W26" s="1"/>
  <c r="V60"/>
  <c r="V58" s="1"/>
  <c r="U58"/>
  <c r="V80"/>
  <c r="U78"/>
  <c r="V78"/>
  <c r="W68"/>
  <c r="V49"/>
  <c r="V48" s="1"/>
  <c r="V47" s="1"/>
  <c r="U48"/>
  <c r="U47" s="1"/>
  <c r="W37"/>
  <c r="N309" i="4"/>
  <c r="M309"/>
  <c r="L309"/>
  <c r="N306"/>
  <c r="M306"/>
  <c r="M310" s="1"/>
  <c r="L306"/>
  <c r="C313"/>
  <c r="K305"/>
  <c r="R78"/>
  <c r="K98"/>
  <c r="K94"/>
  <c r="K92"/>
  <c r="K87"/>
  <c r="K85"/>
  <c r="K78"/>
  <c r="O78" s="1"/>
  <c r="L98"/>
  <c r="L94"/>
  <c r="L92"/>
  <c r="L87"/>
  <c r="L85"/>
  <c r="L78"/>
  <c r="P78" s="1"/>
  <c r="N296"/>
  <c r="M296"/>
  <c r="L296"/>
  <c r="N293"/>
  <c r="M293"/>
  <c r="L293"/>
  <c r="C300"/>
  <c r="K292"/>
  <c r="R47"/>
  <c r="K66"/>
  <c r="K63"/>
  <c r="K61"/>
  <c r="K56"/>
  <c r="K54"/>
  <c r="K47"/>
  <c r="O47" s="1"/>
  <c r="L66"/>
  <c r="L63"/>
  <c r="L61"/>
  <c r="L56"/>
  <c r="L54"/>
  <c r="L47"/>
  <c r="P47" s="1"/>
  <c r="N283"/>
  <c r="M283"/>
  <c r="L283"/>
  <c r="N280"/>
  <c r="M280"/>
  <c r="L280"/>
  <c r="C287"/>
  <c r="K279"/>
  <c r="N267"/>
  <c r="M267"/>
  <c r="L267"/>
  <c r="R12"/>
  <c r="R35"/>
  <c r="R31"/>
  <c r="K29"/>
  <c r="K35"/>
  <c r="K31"/>
  <c r="K24"/>
  <c r="K22"/>
  <c r="K12"/>
  <c r="O12" s="1"/>
  <c r="L35"/>
  <c r="L31"/>
  <c r="L29"/>
  <c r="L22"/>
  <c r="L24"/>
  <c r="L12"/>
  <c r="P12" s="1"/>
  <c r="C271"/>
  <c r="N264"/>
  <c r="N268" s="1"/>
  <c r="M264"/>
  <c r="L264"/>
  <c r="L268" s="1"/>
  <c r="K263"/>
  <c r="W79" i="12" l="1"/>
  <c r="AB79"/>
  <c r="W59"/>
  <c r="AB59"/>
  <c r="W48"/>
  <c r="AB48"/>
  <c r="T119"/>
  <c r="M265" i="4"/>
  <c r="M281"/>
  <c r="L284"/>
  <c r="L285" s="1"/>
  <c r="N284"/>
  <c r="N285" s="1"/>
  <c r="N297"/>
  <c r="N298" s="1"/>
  <c r="L294"/>
  <c r="N294"/>
  <c r="L297"/>
  <c r="L298" s="1"/>
  <c r="M311"/>
  <c r="L310"/>
  <c r="L311" s="1"/>
  <c r="N310"/>
  <c r="N311" s="1"/>
  <c r="L269"/>
  <c r="L275" s="1"/>
  <c r="N269"/>
  <c r="M268"/>
  <c r="M269" s="1"/>
  <c r="O280"/>
  <c r="N281"/>
  <c r="M284"/>
  <c r="M285" s="1"/>
  <c r="M297"/>
  <c r="M298" s="1"/>
  <c r="L307"/>
  <c r="N307"/>
  <c r="L273"/>
  <c r="L274"/>
  <c r="L270"/>
  <c r="N275"/>
  <c r="N273"/>
  <c r="N271"/>
  <c r="N274"/>
  <c r="N272"/>
  <c r="N270"/>
  <c r="M275"/>
  <c r="M273"/>
  <c r="M271"/>
  <c r="M274"/>
  <c r="M272"/>
  <c r="M270"/>
  <c r="O270" s="1"/>
  <c r="L289"/>
  <c r="L287"/>
  <c r="L290"/>
  <c r="L288"/>
  <c r="L286"/>
  <c r="N289"/>
  <c r="N287"/>
  <c r="N290"/>
  <c r="N288"/>
  <c r="N286"/>
  <c r="L302"/>
  <c r="L300"/>
  <c r="L303"/>
  <c r="L301"/>
  <c r="L299"/>
  <c r="M315"/>
  <c r="M313"/>
  <c r="M316"/>
  <c r="M314"/>
  <c r="M312"/>
  <c r="L316"/>
  <c r="L314"/>
  <c r="O314" s="1"/>
  <c r="L312"/>
  <c r="L315"/>
  <c r="O315" s="1"/>
  <c r="L313"/>
  <c r="N316"/>
  <c r="N314"/>
  <c r="N312"/>
  <c r="N315"/>
  <c r="N313"/>
  <c r="M290"/>
  <c r="M288"/>
  <c r="M286"/>
  <c r="M289"/>
  <c r="M287"/>
  <c r="M303"/>
  <c r="M301"/>
  <c r="M299"/>
  <c r="M302"/>
  <c r="M300"/>
  <c r="N302"/>
  <c r="N300"/>
  <c r="N303"/>
  <c r="N301"/>
  <c r="N299"/>
  <c r="L265"/>
  <c r="N265"/>
  <c r="L281"/>
  <c r="O306"/>
  <c r="M307"/>
  <c r="O264"/>
  <c r="M294"/>
  <c r="O293"/>
  <c r="L272" l="1"/>
  <c r="L271"/>
  <c r="O313"/>
  <c r="O312"/>
  <c r="O316"/>
  <c r="O299"/>
  <c r="O303"/>
  <c r="O302"/>
  <c r="O286"/>
  <c r="O290"/>
  <c r="O289"/>
  <c r="O272"/>
  <c r="O271"/>
  <c r="O275"/>
  <c r="O301"/>
  <c r="O300"/>
  <c r="O288"/>
  <c r="O287"/>
  <c r="O274"/>
  <c r="O273"/>
  <c r="U211" l="1"/>
  <c r="N211"/>
  <c r="N209"/>
  <c r="U209"/>
  <c r="U180"/>
  <c r="N180"/>
  <c r="N178"/>
  <c r="U178"/>
  <c r="U143"/>
  <c r="N143"/>
  <c r="U141"/>
  <c r="N141"/>
  <c r="U108"/>
  <c r="N108"/>
  <c r="U106"/>
  <c r="N106"/>
  <c r="N45"/>
  <c r="U74"/>
  <c r="N74"/>
  <c r="N76"/>
  <c r="U76"/>
  <c r="U45"/>
  <c r="U43"/>
  <c r="N43"/>
  <c r="O203"/>
  <c r="O171"/>
  <c r="O135"/>
  <c r="O100"/>
  <c r="O68"/>
  <c r="X216" l="1"/>
  <c r="T179"/>
  <c r="V72"/>
  <c r="V104"/>
  <c r="N208" l="1"/>
  <c r="N176"/>
  <c r="N177"/>
  <c r="N139"/>
  <c r="N140"/>
  <c r="N107"/>
  <c r="N105"/>
  <c r="S77" l="1"/>
  <c r="N42"/>
  <c r="N73"/>
  <c r="N184" l="1"/>
  <c r="T184" s="1"/>
  <c r="U184" s="1"/>
  <c r="N183"/>
  <c r="T183" s="1"/>
  <c r="S212" l="1"/>
  <c r="O187"/>
  <c r="N187" s="1"/>
  <c r="J187"/>
  <c r="O186"/>
  <c r="N186" s="1"/>
  <c r="T186" s="1"/>
  <c r="U186" s="1"/>
  <c r="J186"/>
  <c r="T187" l="1"/>
  <c r="U187" s="1"/>
  <c r="P166"/>
  <c r="S181"/>
  <c r="E170"/>
  <c r="F170"/>
  <c r="E173"/>
  <c r="F173"/>
  <c r="H173"/>
  <c r="I173"/>
  <c r="S144"/>
  <c r="O101"/>
  <c r="S109"/>
  <c r="F36"/>
  <c r="G36"/>
  <c r="H36"/>
  <c r="I36"/>
  <c r="E36"/>
  <c r="P35"/>
  <c r="O35"/>
  <c r="S46"/>
  <c r="N210" l="1"/>
  <c r="T210"/>
  <c r="U210" s="1"/>
  <c r="T142"/>
  <c r="U142" s="1"/>
  <c r="N142"/>
  <c r="T107"/>
  <c r="U107" s="1"/>
  <c r="T75"/>
  <c r="U75" s="1"/>
  <c r="N75"/>
  <c r="Q46"/>
  <c r="T44"/>
  <c r="U44" s="1"/>
  <c r="N44"/>
  <c r="N179"/>
  <c r="U179"/>
  <c r="N206" l="1"/>
  <c r="N104"/>
  <c r="N103"/>
  <c r="N72"/>
  <c r="N71"/>
  <c r="N40"/>
  <c r="K196" l="1"/>
  <c r="N138" l="1"/>
  <c r="J195"/>
  <c r="T39"/>
  <c r="U39" s="1"/>
  <c r="T70"/>
  <c r="U70" s="1"/>
  <c r="Q77"/>
  <c r="Q212"/>
  <c r="Q181"/>
  <c r="Q144"/>
  <c r="Q109"/>
  <c r="T102"/>
  <c r="U102" s="1"/>
  <c r="T137"/>
  <c r="U137" s="1"/>
  <c r="T174"/>
  <c r="U174" s="1"/>
  <c r="T205"/>
  <c r="U205" s="1"/>
  <c r="N205"/>
  <c r="N39"/>
  <c r="N70"/>
  <c r="N102"/>
  <c r="N137"/>
  <c r="N174"/>
  <c r="N175" l="1"/>
  <c r="N172"/>
  <c r="T172" s="1"/>
  <c r="U172" s="1"/>
  <c r="N35"/>
  <c r="X182"/>
  <c r="X191"/>
  <c r="X172" l="1"/>
  <c r="R173"/>
  <c r="Y182" l="1"/>
  <c r="R202"/>
  <c r="J35" l="1"/>
  <c r="U35" l="1"/>
  <c r="H170"/>
  <c r="I170"/>
  <c r="J68" l="1"/>
  <c r="T206" l="1"/>
  <c r="U206" s="1"/>
  <c r="V17" i="12" l="1"/>
  <c r="V19"/>
  <c r="V18"/>
  <c r="T176" i="4"/>
  <c r="U176" s="1"/>
  <c r="T175"/>
  <c r="U175" s="1"/>
  <c r="T139"/>
  <c r="U139" s="1"/>
  <c r="U138"/>
  <c r="U104"/>
  <c r="T103"/>
  <c r="U103" s="1"/>
  <c r="V16" i="12" l="1"/>
  <c r="V15" s="1"/>
  <c r="T41" i="4"/>
  <c r="U41" s="1"/>
  <c r="T40"/>
  <c r="U40" s="1"/>
  <c r="T71"/>
  <c r="U71" s="1"/>
  <c r="V14" i="12" l="1"/>
  <c r="V119" s="1"/>
  <c r="U14"/>
  <c r="W15"/>
  <c r="U72" i="4"/>
  <c r="Q213"/>
  <c r="U119" i="12" l="1"/>
  <c r="W182" i="4"/>
  <c r="W183"/>
  <c r="W190"/>
  <c r="W191"/>
  <c r="J78"/>
  <c r="S213"/>
  <c r="R204"/>
  <c r="P204"/>
  <c r="M204"/>
  <c r="I204"/>
  <c r="H204"/>
  <c r="F204"/>
  <c r="E204"/>
  <c r="J203"/>
  <c r="I202"/>
  <c r="H202"/>
  <c r="G202"/>
  <c r="F202"/>
  <c r="E202"/>
  <c r="J201"/>
  <c r="T201"/>
  <c r="U201" s="1"/>
  <c r="J200"/>
  <c r="T200"/>
  <c r="U200" s="1"/>
  <c r="P202"/>
  <c r="U196"/>
  <c r="T196"/>
  <c r="J196"/>
  <c r="O196"/>
  <c r="N196" s="1"/>
  <c r="U194"/>
  <c r="T194"/>
  <c r="J194"/>
  <c r="O194"/>
  <c r="N194" s="1"/>
  <c r="U193"/>
  <c r="T193"/>
  <c r="J193"/>
  <c r="O193"/>
  <c r="N193" s="1"/>
  <c r="N191"/>
  <c r="J188"/>
  <c r="G188"/>
  <c r="O188" s="1"/>
  <c r="N188" s="1"/>
  <c r="T188" s="1"/>
  <c r="U188" s="1"/>
  <c r="J185"/>
  <c r="O185"/>
  <c r="N185" s="1"/>
  <c r="T185" s="1"/>
  <c r="U185" s="1"/>
  <c r="P173"/>
  <c r="M173"/>
  <c r="J171"/>
  <c r="J169"/>
  <c r="T169" s="1"/>
  <c r="G169"/>
  <c r="G170" s="1"/>
  <c r="U168"/>
  <c r="T168"/>
  <c r="J168"/>
  <c r="G168"/>
  <c r="O168" s="1"/>
  <c r="N168" s="1"/>
  <c r="J166"/>
  <c r="J165"/>
  <c r="I164"/>
  <c r="H164"/>
  <c r="F164"/>
  <c r="E164"/>
  <c r="J163"/>
  <c r="U163" s="1"/>
  <c r="G163"/>
  <c r="O163" s="1"/>
  <c r="N163" s="1"/>
  <c r="R162"/>
  <c r="J162"/>
  <c r="U161"/>
  <c r="T161"/>
  <c r="J161"/>
  <c r="O161"/>
  <c r="N161" s="1"/>
  <c r="U160"/>
  <c r="T160"/>
  <c r="J160"/>
  <c r="O160"/>
  <c r="N160" s="1"/>
  <c r="U159"/>
  <c r="T159"/>
  <c r="J159"/>
  <c r="O159"/>
  <c r="N159" s="1"/>
  <c r="J157"/>
  <c r="R157"/>
  <c r="J156"/>
  <c r="P156"/>
  <c r="I155"/>
  <c r="H155"/>
  <c r="H181" s="1"/>
  <c r="F155"/>
  <c r="F181" s="1"/>
  <c r="E155"/>
  <c r="E181" s="1"/>
  <c r="J154"/>
  <c r="U154" s="1"/>
  <c r="G154"/>
  <c r="O154" s="1"/>
  <c r="N154" s="1"/>
  <c r="J153"/>
  <c r="R153"/>
  <c r="U152"/>
  <c r="T152"/>
  <c r="J152"/>
  <c r="O152"/>
  <c r="N152" s="1"/>
  <c r="U151"/>
  <c r="T151"/>
  <c r="J151"/>
  <c r="O151"/>
  <c r="N151" s="1"/>
  <c r="U150"/>
  <c r="T150"/>
  <c r="J150"/>
  <c r="O150"/>
  <c r="N150" s="1"/>
  <c r="U149"/>
  <c r="T149"/>
  <c r="J149"/>
  <c r="O149"/>
  <c r="N149" s="1"/>
  <c r="U148"/>
  <c r="T148"/>
  <c r="J148"/>
  <c r="O148"/>
  <c r="N148" s="1"/>
  <c r="U147"/>
  <c r="T147"/>
  <c r="J147"/>
  <c r="O147"/>
  <c r="N147" s="1"/>
  <c r="J145"/>
  <c r="R136"/>
  <c r="P136"/>
  <c r="M136"/>
  <c r="I136"/>
  <c r="H136"/>
  <c r="F136"/>
  <c r="E136"/>
  <c r="J135"/>
  <c r="I134"/>
  <c r="H134"/>
  <c r="F134"/>
  <c r="E134"/>
  <c r="G133"/>
  <c r="P133" s="1"/>
  <c r="U132"/>
  <c r="T132"/>
  <c r="J132"/>
  <c r="G132"/>
  <c r="O132" s="1"/>
  <c r="N132" s="1"/>
  <c r="J130"/>
  <c r="I129"/>
  <c r="H129"/>
  <c r="F129"/>
  <c r="E129"/>
  <c r="J128"/>
  <c r="R128"/>
  <c r="U127"/>
  <c r="T127"/>
  <c r="J127"/>
  <c r="O127"/>
  <c r="N127" s="1"/>
  <c r="U126"/>
  <c r="T126"/>
  <c r="J126"/>
  <c r="O126"/>
  <c r="N126" s="1"/>
  <c r="U125"/>
  <c r="T125"/>
  <c r="J125"/>
  <c r="O125"/>
  <c r="N125" s="1"/>
  <c r="U124"/>
  <c r="T124"/>
  <c r="J124"/>
  <c r="O124"/>
  <c r="N124" s="1"/>
  <c r="U123"/>
  <c r="T123"/>
  <c r="J123"/>
  <c r="O123"/>
  <c r="N123" s="1"/>
  <c r="J121"/>
  <c r="I120"/>
  <c r="H120"/>
  <c r="H144" s="1"/>
  <c r="F120"/>
  <c r="F144" s="1"/>
  <c r="E120"/>
  <c r="E144" s="1"/>
  <c r="J119"/>
  <c r="R119"/>
  <c r="U118"/>
  <c r="T118"/>
  <c r="J118"/>
  <c r="O118"/>
  <c r="N118" s="1"/>
  <c r="U117"/>
  <c r="T117"/>
  <c r="J117"/>
  <c r="O117"/>
  <c r="N117" s="1"/>
  <c r="U116"/>
  <c r="T116"/>
  <c r="J116"/>
  <c r="O116"/>
  <c r="N116" s="1"/>
  <c r="U115"/>
  <c r="T115"/>
  <c r="J115"/>
  <c r="O115"/>
  <c r="N115" s="1"/>
  <c r="U114"/>
  <c r="T114"/>
  <c r="J114"/>
  <c r="O114"/>
  <c r="N114" s="1"/>
  <c r="U113"/>
  <c r="T113"/>
  <c r="J113"/>
  <c r="O113"/>
  <c r="N113" s="1"/>
  <c r="U112"/>
  <c r="T112"/>
  <c r="J112"/>
  <c r="O112"/>
  <c r="N112" s="1"/>
  <c r="J110"/>
  <c r="R101"/>
  <c r="P101"/>
  <c r="M101"/>
  <c r="I101"/>
  <c r="H101"/>
  <c r="F101"/>
  <c r="E101"/>
  <c r="J100"/>
  <c r="I99"/>
  <c r="H99"/>
  <c r="F99"/>
  <c r="E99"/>
  <c r="J98"/>
  <c r="G98"/>
  <c r="U97"/>
  <c r="T97"/>
  <c r="J97"/>
  <c r="G97"/>
  <c r="O97" s="1"/>
  <c r="N97" s="1"/>
  <c r="U96"/>
  <c r="T96"/>
  <c r="J96"/>
  <c r="G96"/>
  <c r="O96" s="1"/>
  <c r="N96" s="1"/>
  <c r="J94"/>
  <c r="I93"/>
  <c r="H93"/>
  <c r="F93"/>
  <c r="E93"/>
  <c r="J92"/>
  <c r="R92"/>
  <c r="U91"/>
  <c r="T91"/>
  <c r="J91"/>
  <c r="O91"/>
  <c r="N91" s="1"/>
  <c r="U90"/>
  <c r="T90"/>
  <c r="J90"/>
  <c r="O90"/>
  <c r="N90" s="1"/>
  <c r="U89"/>
  <c r="T89"/>
  <c r="J89"/>
  <c r="O89"/>
  <c r="N89" s="1"/>
  <c r="J87"/>
  <c r="G93"/>
  <c r="I86"/>
  <c r="I109" s="1"/>
  <c r="H86"/>
  <c r="H109" s="1"/>
  <c r="F86"/>
  <c r="F109" s="1"/>
  <c r="E86"/>
  <c r="E109" s="1"/>
  <c r="J85"/>
  <c r="R85"/>
  <c r="U84"/>
  <c r="T84"/>
  <c r="J84"/>
  <c r="O84"/>
  <c r="N84" s="1"/>
  <c r="U83"/>
  <c r="T83"/>
  <c r="J83"/>
  <c r="O83"/>
  <c r="N83" s="1"/>
  <c r="U82"/>
  <c r="T82"/>
  <c r="J82"/>
  <c r="O82"/>
  <c r="N82" s="1"/>
  <c r="U81"/>
  <c r="T81"/>
  <c r="J81"/>
  <c r="O81"/>
  <c r="N81" s="1"/>
  <c r="U80"/>
  <c r="T80"/>
  <c r="J80"/>
  <c r="O80"/>
  <c r="N80" s="1"/>
  <c r="R69"/>
  <c r="P69"/>
  <c r="M69"/>
  <c r="I69"/>
  <c r="H69"/>
  <c r="F69"/>
  <c r="E69"/>
  <c r="O69"/>
  <c r="I67"/>
  <c r="H67"/>
  <c r="F67"/>
  <c r="E67"/>
  <c r="R66"/>
  <c r="P66"/>
  <c r="U66"/>
  <c r="U65"/>
  <c r="T65"/>
  <c r="J65"/>
  <c r="O65"/>
  <c r="N65" s="1"/>
  <c r="J63"/>
  <c r="I62"/>
  <c r="H62"/>
  <c r="F62"/>
  <c r="E62"/>
  <c r="J61"/>
  <c r="U61" s="1"/>
  <c r="G61"/>
  <c r="R61" s="1"/>
  <c r="U60"/>
  <c r="T60"/>
  <c r="J60"/>
  <c r="O60"/>
  <c r="N60" s="1"/>
  <c r="U59"/>
  <c r="T59"/>
  <c r="J59"/>
  <c r="O59"/>
  <c r="N59" s="1"/>
  <c r="U58"/>
  <c r="T58"/>
  <c r="J58"/>
  <c r="O58"/>
  <c r="N58" s="1"/>
  <c r="J56"/>
  <c r="U56" s="1"/>
  <c r="I55"/>
  <c r="H55"/>
  <c r="H77" s="1"/>
  <c r="F55"/>
  <c r="F77" s="1"/>
  <c r="E55"/>
  <c r="E77" s="1"/>
  <c r="R54"/>
  <c r="P54"/>
  <c r="J54"/>
  <c r="U54" s="1"/>
  <c r="U53"/>
  <c r="T53"/>
  <c r="J53"/>
  <c r="O53"/>
  <c r="N53" s="1"/>
  <c r="U52"/>
  <c r="T52"/>
  <c r="J52"/>
  <c r="O52"/>
  <c r="N52" s="1"/>
  <c r="U51"/>
  <c r="T51"/>
  <c r="J51"/>
  <c r="O51"/>
  <c r="N51" s="1"/>
  <c r="U50"/>
  <c r="T50"/>
  <c r="J50"/>
  <c r="O50"/>
  <c r="N50" s="1"/>
  <c r="U49"/>
  <c r="T49"/>
  <c r="J49"/>
  <c r="O49"/>
  <c r="N49" s="1"/>
  <c r="J47"/>
  <c r="R38"/>
  <c r="P38"/>
  <c r="M38"/>
  <c r="I38"/>
  <c r="H38"/>
  <c r="F38"/>
  <c r="E38"/>
  <c r="J37"/>
  <c r="O37" s="1"/>
  <c r="U34"/>
  <c r="T34"/>
  <c r="U33"/>
  <c r="T33"/>
  <c r="J33"/>
  <c r="G33"/>
  <c r="O33" s="1"/>
  <c r="N33" s="1"/>
  <c r="J31"/>
  <c r="P31"/>
  <c r="P36" s="1"/>
  <c r="I30"/>
  <c r="H30"/>
  <c r="F30"/>
  <c r="E30"/>
  <c r="J29"/>
  <c r="R29"/>
  <c r="U28"/>
  <c r="T28"/>
  <c r="J28"/>
  <c r="O28"/>
  <c r="N28" s="1"/>
  <c r="U27"/>
  <c r="T27"/>
  <c r="J27"/>
  <c r="O27"/>
  <c r="N27" s="1"/>
  <c r="U26"/>
  <c r="T26"/>
  <c r="J26"/>
  <c r="O26"/>
  <c r="N26" s="1"/>
  <c r="J24"/>
  <c r="U24" s="1"/>
  <c r="I23"/>
  <c r="H23"/>
  <c r="F23"/>
  <c r="F46" s="1"/>
  <c r="E23"/>
  <c r="E46" s="1"/>
  <c r="J22"/>
  <c r="U22" s="1"/>
  <c r="U21"/>
  <c r="T21"/>
  <c r="J21"/>
  <c r="O21"/>
  <c r="N21" s="1"/>
  <c r="U20"/>
  <c r="T20"/>
  <c r="J20"/>
  <c r="G20"/>
  <c r="O20" s="1"/>
  <c r="N20" s="1"/>
  <c r="U19"/>
  <c r="T19"/>
  <c r="J19"/>
  <c r="O19"/>
  <c r="N19" s="1"/>
  <c r="U18"/>
  <c r="T18"/>
  <c r="J18"/>
  <c r="O18"/>
  <c r="N18" s="1"/>
  <c r="U17"/>
  <c r="T17"/>
  <c r="J17"/>
  <c r="O17"/>
  <c r="N17" s="1"/>
  <c r="U16"/>
  <c r="T16"/>
  <c r="J16"/>
  <c r="O16"/>
  <c r="N16" s="1"/>
  <c r="U15"/>
  <c r="T15"/>
  <c r="J15"/>
  <c r="O15"/>
  <c r="N15" s="1"/>
  <c r="U14"/>
  <c r="T14"/>
  <c r="J14"/>
  <c r="G14"/>
  <c r="O14" s="1"/>
  <c r="N14" s="1"/>
  <c r="J12"/>
  <c r="Q102" i="3"/>
  <c r="S103"/>
  <c r="S97"/>
  <c r="S96"/>
  <c r="S90"/>
  <c r="S89"/>
  <c r="S83"/>
  <c r="S82"/>
  <c r="S73"/>
  <c r="S72"/>
  <c r="S63"/>
  <c r="S62"/>
  <c r="S56"/>
  <c r="S55"/>
  <c r="S48"/>
  <c r="S47"/>
  <c r="S40"/>
  <c r="S39"/>
  <c r="S33"/>
  <c r="S32"/>
  <c r="S25"/>
  <c r="S24"/>
  <c r="S20"/>
  <c r="S19"/>
  <c r="Q22"/>
  <c r="T191" i="4" l="1"/>
  <c r="G173"/>
  <c r="G38"/>
  <c r="H46"/>
  <c r="I46"/>
  <c r="I181"/>
  <c r="I77"/>
  <c r="I144"/>
  <c r="R22"/>
  <c r="O22"/>
  <c r="R36"/>
  <c r="R63"/>
  <c r="R67" s="1"/>
  <c r="P63"/>
  <c r="G120"/>
  <c r="G134"/>
  <c r="R130"/>
  <c r="R134" s="1"/>
  <c r="P130"/>
  <c r="G155"/>
  <c r="G23"/>
  <c r="G69"/>
  <c r="R94"/>
  <c r="R99" s="1"/>
  <c r="P94"/>
  <c r="G101"/>
  <c r="G136"/>
  <c r="N171"/>
  <c r="T171" s="1"/>
  <c r="T173" s="1"/>
  <c r="U173" s="1"/>
  <c r="P195"/>
  <c r="P197" s="1"/>
  <c r="G204"/>
  <c r="G86"/>
  <c r="N78"/>
  <c r="O54"/>
  <c r="N54" s="1"/>
  <c r="P92"/>
  <c r="P99"/>
  <c r="T154"/>
  <c r="O189"/>
  <c r="R189"/>
  <c r="R55"/>
  <c r="J66"/>
  <c r="T66"/>
  <c r="O162"/>
  <c r="N190"/>
  <c r="R197"/>
  <c r="R212" s="1"/>
  <c r="G30"/>
  <c r="P29"/>
  <c r="G62"/>
  <c r="P61"/>
  <c r="P67"/>
  <c r="G67"/>
  <c r="G99"/>
  <c r="G129"/>
  <c r="P128"/>
  <c r="O133"/>
  <c r="P153"/>
  <c r="G164"/>
  <c r="P162"/>
  <c r="T163"/>
  <c r="P165"/>
  <c r="P189"/>
  <c r="P212" s="1"/>
  <c r="O200"/>
  <c r="N200" s="1"/>
  <c r="O173"/>
  <c r="O201"/>
  <c r="N201" s="1"/>
  <c r="G55"/>
  <c r="P55"/>
  <c r="P22"/>
  <c r="P23" s="1"/>
  <c r="P24"/>
  <c r="O29"/>
  <c r="O31"/>
  <c r="O36" s="1"/>
  <c r="P134"/>
  <c r="T62"/>
  <c r="T98"/>
  <c r="U98"/>
  <c r="O24"/>
  <c r="R24"/>
  <c r="R30" s="1"/>
  <c r="P56"/>
  <c r="O61"/>
  <c r="O63"/>
  <c r="O66"/>
  <c r="N66" s="1"/>
  <c r="R86"/>
  <c r="P85"/>
  <c r="P86" s="1"/>
  <c r="P87"/>
  <c r="P93" s="1"/>
  <c r="O92"/>
  <c r="O94"/>
  <c r="O98"/>
  <c r="N100"/>
  <c r="R120"/>
  <c r="P119"/>
  <c r="P121"/>
  <c r="P129" s="1"/>
  <c r="O128"/>
  <c r="O130"/>
  <c r="J133"/>
  <c r="P155"/>
  <c r="O153"/>
  <c r="O156"/>
  <c r="R156"/>
  <c r="R164" s="1"/>
  <c r="P157"/>
  <c r="P164" s="1"/>
  <c r="O165"/>
  <c r="R165"/>
  <c r="U169"/>
  <c r="N182"/>
  <c r="N198"/>
  <c r="T198" s="1"/>
  <c r="O56"/>
  <c r="R56"/>
  <c r="R62" s="1"/>
  <c r="O85"/>
  <c r="O87"/>
  <c r="R87"/>
  <c r="R93" s="1"/>
  <c r="O119"/>
  <c r="O121"/>
  <c r="R121"/>
  <c r="R129" s="1"/>
  <c r="R155"/>
  <c r="O157"/>
  <c r="O166"/>
  <c r="O195"/>
  <c r="U241" i="3"/>
  <c r="T241"/>
  <c r="N119" i="4" l="1"/>
  <c r="N61"/>
  <c r="U191"/>
  <c r="T202"/>
  <c r="U198"/>
  <c r="U119"/>
  <c r="T190"/>
  <c r="U190" s="1"/>
  <c r="N189"/>
  <c r="P109"/>
  <c r="U78"/>
  <c r="R23"/>
  <c r="R46" s="1"/>
  <c r="U183"/>
  <c r="R77"/>
  <c r="N173"/>
  <c r="U171"/>
  <c r="U182"/>
  <c r="V182"/>
  <c r="N166"/>
  <c r="X171"/>
  <c r="R144"/>
  <c r="R109"/>
  <c r="N157"/>
  <c r="U157" s="1"/>
  <c r="R170"/>
  <c r="R181" s="1"/>
  <c r="N128"/>
  <c r="N92"/>
  <c r="U92" s="1"/>
  <c r="P30"/>
  <c r="P46" s="1"/>
  <c r="G77"/>
  <c r="N162"/>
  <c r="U162" s="1"/>
  <c r="G46"/>
  <c r="G181"/>
  <c r="Y172" s="1"/>
  <c r="Z172" s="1"/>
  <c r="Z173" s="1"/>
  <c r="G109"/>
  <c r="N12"/>
  <c r="G144"/>
  <c r="N101"/>
  <c r="T101" s="1"/>
  <c r="U101" s="1"/>
  <c r="T100"/>
  <c r="U100" s="1"/>
  <c r="N202"/>
  <c r="U202"/>
  <c r="P170"/>
  <c r="P181" s="1"/>
  <c r="N153"/>
  <c r="U153" s="1"/>
  <c r="P120"/>
  <c r="P144" s="1"/>
  <c r="P62"/>
  <c r="P77" s="1"/>
  <c r="N29"/>
  <c r="N68"/>
  <c r="O202"/>
  <c r="N195"/>
  <c r="T195" s="1"/>
  <c r="U195" s="1"/>
  <c r="N85"/>
  <c r="O129"/>
  <c r="N121"/>
  <c r="U121" s="1"/>
  <c r="O170"/>
  <c r="N165"/>
  <c r="U165" s="1"/>
  <c r="N110"/>
  <c r="O120"/>
  <c r="O86"/>
  <c r="O93"/>
  <c r="N87"/>
  <c r="N203"/>
  <c r="O204"/>
  <c r="O164"/>
  <c r="N156"/>
  <c r="U156" s="1"/>
  <c r="N135"/>
  <c r="O136"/>
  <c r="N130"/>
  <c r="O134"/>
  <c r="O99"/>
  <c r="N94"/>
  <c r="O67"/>
  <c r="N63"/>
  <c r="O38"/>
  <c r="N37"/>
  <c r="N31"/>
  <c r="O23"/>
  <c r="O197"/>
  <c r="O212" s="1"/>
  <c r="N212" s="1"/>
  <c r="N22"/>
  <c r="U62"/>
  <c r="O155"/>
  <c r="N145"/>
  <c r="O62"/>
  <c r="N56"/>
  <c r="N62" s="1"/>
  <c r="U133"/>
  <c r="T133"/>
  <c r="O30"/>
  <c r="N24"/>
  <c r="O55"/>
  <c r="N47"/>
  <c r="N22" i="3"/>
  <c r="U164" i="4" l="1"/>
  <c r="T120"/>
  <c r="W144"/>
  <c r="X144" s="1"/>
  <c r="W109"/>
  <c r="X109" s="1"/>
  <c r="W23"/>
  <c r="N86"/>
  <c r="N93"/>
  <c r="O77"/>
  <c r="O181"/>
  <c r="U189"/>
  <c r="T197"/>
  <c r="U128"/>
  <c r="U129" s="1"/>
  <c r="T129"/>
  <c r="U29"/>
  <c r="U30" s="1"/>
  <c r="N36"/>
  <c r="T36"/>
  <c r="T164"/>
  <c r="U166"/>
  <c r="U170" s="1"/>
  <c r="O144"/>
  <c r="N144" s="1"/>
  <c r="O109"/>
  <c r="O46"/>
  <c r="N46" s="1"/>
  <c r="N204"/>
  <c r="T204" s="1"/>
  <c r="U204" s="1"/>
  <c r="T203"/>
  <c r="U203" s="1"/>
  <c r="T189"/>
  <c r="N170"/>
  <c r="N129"/>
  <c r="N181"/>
  <c r="N77"/>
  <c r="N164"/>
  <c r="P213"/>
  <c r="W212"/>
  <c r="X212" s="1"/>
  <c r="U12"/>
  <c r="U23" s="1"/>
  <c r="T23"/>
  <c r="W46"/>
  <c r="N155"/>
  <c r="N136"/>
  <c r="T136" s="1"/>
  <c r="U136" s="1"/>
  <c r="T135"/>
  <c r="U135" s="1"/>
  <c r="N120"/>
  <c r="N69"/>
  <c r="T69" s="1"/>
  <c r="U69" s="1"/>
  <c r="T68"/>
  <c r="U68" s="1"/>
  <c r="N55"/>
  <c r="N99"/>
  <c r="N67"/>
  <c r="N23"/>
  <c r="N38"/>
  <c r="T37"/>
  <c r="N30"/>
  <c r="N134"/>
  <c r="U130"/>
  <c r="U134" s="1"/>
  <c r="N197"/>
  <c r="N109"/>
  <c r="U255" i="3"/>
  <c r="T255"/>
  <c r="T259" s="1"/>
  <c r="Q255"/>
  <c r="Q259" s="1"/>
  <c r="U248"/>
  <c r="T248"/>
  <c r="Q248"/>
  <c r="U247"/>
  <c r="T247"/>
  <c r="Q247"/>
  <c r="V170" i="4" l="1"/>
  <c r="U110"/>
  <c r="N213"/>
  <c r="T30"/>
  <c r="U87"/>
  <c r="U93" s="1"/>
  <c r="T93"/>
  <c r="U85"/>
  <c r="T86"/>
  <c r="U86" s="1"/>
  <c r="T170"/>
  <c r="W170"/>
  <c r="R213"/>
  <c r="W181"/>
  <c r="X181" s="1"/>
  <c r="V137"/>
  <c r="U145"/>
  <c r="U155" s="1"/>
  <c r="U181" s="1"/>
  <c r="T155"/>
  <c r="U47"/>
  <c r="U55" s="1"/>
  <c r="T55"/>
  <c r="U94"/>
  <c r="U99" s="1"/>
  <c r="T99"/>
  <c r="U63"/>
  <c r="U67" s="1"/>
  <c r="T67"/>
  <c r="U31"/>
  <c r="U36" s="1"/>
  <c r="U37"/>
  <c r="U38" s="1"/>
  <c r="T38"/>
  <c r="T46" s="1"/>
  <c r="W34" s="1"/>
  <c r="O213"/>
  <c r="T134"/>
  <c r="U242" i="3"/>
  <c r="T242"/>
  <c r="Q242"/>
  <c r="V241"/>
  <c r="Q241"/>
  <c r="V214"/>
  <c r="U214"/>
  <c r="V199"/>
  <c r="V200"/>
  <c r="U199"/>
  <c r="U200"/>
  <c r="V190"/>
  <c r="V188"/>
  <c r="U190"/>
  <c r="U188"/>
  <c r="V140"/>
  <c r="U140"/>
  <c r="V137"/>
  <c r="U137"/>
  <c r="O255"/>
  <c r="O248"/>
  <c r="O247"/>
  <c r="O242"/>
  <c r="O241"/>
  <c r="G14"/>
  <c r="U109" i="4" l="1"/>
  <c r="T109"/>
  <c r="W99" s="1"/>
  <c r="U46"/>
  <c r="T181"/>
  <c r="W171" s="1"/>
  <c r="T77"/>
  <c r="W66" s="1"/>
  <c r="U77"/>
  <c r="T144"/>
  <c r="W136" s="1"/>
  <c r="W77"/>
  <c r="X77" s="1"/>
  <c r="U120"/>
  <c r="U144" s="1"/>
  <c r="Q14" i="3"/>
  <c r="N14"/>
  <c r="G257"/>
  <c r="U257" s="1"/>
  <c r="J268"/>
  <c r="J267"/>
  <c r="U213" i="4" l="1"/>
  <c r="T213"/>
  <c r="Z181"/>
  <c r="V257" i="3"/>
  <c r="N241"/>
  <c r="F133"/>
  <c r="T154"/>
  <c r="T142"/>
  <c r="Q142"/>
  <c r="G260"/>
  <c r="O260" s="1"/>
  <c r="G132"/>
  <c r="G133" s="1"/>
  <c r="G129"/>
  <c r="O257"/>
  <c r="G258"/>
  <c r="J258"/>
  <c r="J257"/>
  <c r="O252"/>
  <c r="G252"/>
  <c r="T252" s="1"/>
  <c r="G253"/>
  <c r="O253" s="1"/>
  <c r="K252"/>
  <c r="G251"/>
  <c r="O251" s="1"/>
  <c r="G250"/>
  <c r="O250" s="1"/>
  <c r="G245"/>
  <c r="O245" s="1"/>
  <c r="G244"/>
  <c r="J244"/>
  <c r="K236"/>
  <c r="K233"/>
  <c r="K232"/>
  <c r="G238"/>
  <c r="O238" s="1"/>
  <c r="G236"/>
  <c r="G235"/>
  <c r="O235" s="1"/>
  <c r="G233"/>
  <c r="G232"/>
  <c r="T232" s="1"/>
  <c r="K229"/>
  <c r="K224"/>
  <c r="K223"/>
  <c r="G227"/>
  <c r="O227" s="1"/>
  <c r="G228"/>
  <c r="O228" s="1"/>
  <c r="G229"/>
  <c r="Q229" s="1"/>
  <c r="G230"/>
  <c r="G226"/>
  <c r="O226" s="1"/>
  <c r="G224"/>
  <c r="Q224" s="1"/>
  <c r="G223"/>
  <c r="T223" s="1"/>
  <c r="K220"/>
  <c r="J214"/>
  <c r="G214"/>
  <c r="O214" s="1"/>
  <c r="N214" s="1"/>
  <c r="K212"/>
  <c r="G216"/>
  <c r="O216" s="1"/>
  <c r="G217"/>
  <c r="O217" s="1"/>
  <c r="G218"/>
  <c r="O218" s="1"/>
  <c r="G219"/>
  <c r="O219" s="1"/>
  <c r="G220"/>
  <c r="T220" s="1"/>
  <c r="G221"/>
  <c r="O221" s="1"/>
  <c r="G215"/>
  <c r="O215" s="1"/>
  <c r="G212"/>
  <c r="T212" s="1"/>
  <c r="G209"/>
  <c r="O209" s="1"/>
  <c r="K207"/>
  <c r="K204"/>
  <c r="J204" s="1"/>
  <c r="G206"/>
  <c r="O206" s="1"/>
  <c r="G204"/>
  <c r="Q204" s="1"/>
  <c r="J200"/>
  <c r="G200"/>
  <c r="O200" s="1"/>
  <c r="N200" s="1"/>
  <c r="J199"/>
  <c r="G199"/>
  <c r="O199" s="1"/>
  <c r="N199" s="1"/>
  <c r="K202"/>
  <c r="K195"/>
  <c r="G198"/>
  <c r="O198" s="1"/>
  <c r="G201"/>
  <c r="O201" s="1"/>
  <c r="G202"/>
  <c r="T202" s="1"/>
  <c r="G197"/>
  <c r="O197" s="1"/>
  <c r="G195"/>
  <c r="O195" s="1"/>
  <c r="J190"/>
  <c r="G190"/>
  <c r="O190" s="1"/>
  <c r="N190" s="1"/>
  <c r="G188"/>
  <c r="O188" s="1"/>
  <c r="N188" s="1"/>
  <c r="J188"/>
  <c r="K193"/>
  <c r="G193"/>
  <c r="T193" s="1"/>
  <c r="G187"/>
  <c r="O187" s="1"/>
  <c r="G189"/>
  <c r="O189" s="1"/>
  <c r="G191"/>
  <c r="O191" s="1"/>
  <c r="G192"/>
  <c r="O192" s="1"/>
  <c r="G186"/>
  <c r="O186" s="1"/>
  <c r="K184"/>
  <c r="G184"/>
  <c r="K179"/>
  <c r="K175"/>
  <c r="G181"/>
  <c r="O181" s="1"/>
  <c r="G179"/>
  <c r="G178"/>
  <c r="O178" s="1"/>
  <c r="G177"/>
  <c r="O177" s="1"/>
  <c r="G175"/>
  <c r="O175" s="1"/>
  <c r="K173"/>
  <c r="G171"/>
  <c r="O171" s="1"/>
  <c r="G172"/>
  <c r="O172" s="1"/>
  <c r="G173"/>
  <c r="O173" s="1"/>
  <c r="G170"/>
  <c r="O170" s="1"/>
  <c r="K168"/>
  <c r="G168"/>
  <c r="K166"/>
  <c r="G166"/>
  <c r="G162"/>
  <c r="O162" s="1"/>
  <c r="G163"/>
  <c r="O163" s="1"/>
  <c r="G164"/>
  <c r="O164" s="1"/>
  <c r="G165"/>
  <c r="O165" s="1"/>
  <c r="G161"/>
  <c r="O161" s="1"/>
  <c r="K159"/>
  <c r="G159"/>
  <c r="O159" s="1"/>
  <c r="G156"/>
  <c r="O156" s="1"/>
  <c r="K154"/>
  <c r="O154" s="1"/>
  <c r="K151"/>
  <c r="G153"/>
  <c r="O153" s="1"/>
  <c r="G151"/>
  <c r="O151" s="1"/>
  <c r="K149"/>
  <c r="K144"/>
  <c r="G149"/>
  <c r="O149" s="1"/>
  <c r="G147"/>
  <c r="O147" s="1"/>
  <c r="G148"/>
  <c r="O148" s="1"/>
  <c r="G146"/>
  <c r="O146" s="1"/>
  <c r="G144"/>
  <c r="O144" s="1"/>
  <c r="G138"/>
  <c r="O138" s="1"/>
  <c r="G139"/>
  <c r="O139" s="1"/>
  <c r="G140"/>
  <c r="O140" s="1"/>
  <c r="N140" s="1"/>
  <c r="G141"/>
  <c r="O141" s="1"/>
  <c r="G137"/>
  <c r="O137" s="1"/>
  <c r="N137" s="1"/>
  <c r="G135"/>
  <c r="O135" s="1"/>
  <c r="K135"/>
  <c r="K142"/>
  <c r="O142" s="1"/>
  <c r="J140"/>
  <c r="J137"/>
  <c r="K125"/>
  <c r="K127"/>
  <c r="K120"/>
  <c r="K118"/>
  <c r="K108"/>
  <c r="J108" s="1"/>
  <c r="I131"/>
  <c r="H131"/>
  <c r="F131"/>
  <c r="E131"/>
  <c r="O129"/>
  <c r="G127"/>
  <c r="G125"/>
  <c r="O125" s="1"/>
  <c r="G123"/>
  <c r="O123" s="1"/>
  <c r="G124"/>
  <c r="O124" s="1"/>
  <c r="G122"/>
  <c r="O122" s="1"/>
  <c r="G120"/>
  <c r="O120" s="1"/>
  <c r="G118"/>
  <c r="G111"/>
  <c r="O111" s="1"/>
  <c r="G112"/>
  <c r="O112" s="1"/>
  <c r="G113"/>
  <c r="O113" s="1"/>
  <c r="G114"/>
  <c r="O114" s="1"/>
  <c r="G115"/>
  <c r="O115" s="1"/>
  <c r="N115" s="1"/>
  <c r="G116"/>
  <c r="O116" s="1"/>
  <c r="G117"/>
  <c r="O117" s="1"/>
  <c r="G110"/>
  <c r="O110" s="1"/>
  <c r="V115"/>
  <c r="U115"/>
  <c r="J115"/>
  <c r="G108"/>
  <c r="T108" s="1"/>
  <c r="O244" l="1"/>
  <c r="U244"/>
  <c r="V244" s="1"/>
  <c r="O258"/>
  <c r="N258" s="1"/>
  <c r="U258"/>
  <c r="O118"/>
  <c r="O127"/>
  <c r="O166"/>
  <c r="O168"/>
  <c r="O179"/>
  <c r="O184"/>
  <c r="O233"/>
  <c r="O220"/>
  <c r="Q166"/>
  <c r="Q195"/>
  <c r="Q220"/>
  <c r="T173"/>
  <c r="N257"/>
  <c r="Q149"/>
  <c r="Q173"/>
  <c r="Q252"/>
  <c r="T149"/>
  <c r="T166"/>
  <c r="T195"/>
  <c r="Q233"/>
  <c r="T233"/>
  <c r="Q232"/>
  <c r="O232"/>
  <c r="O229"/>
  <c r="O224"/>
  <c r="T224"/>
  <c r="O223"/>
  <c r="Q223"/>
  <c r="O212"/>
  <c r="Q212"/>
  <c r="T204"/>
  <c r="O204"/>
  <c r="O202"/>
  <c r="Q202"/>
  <c r="Q193"/>
  <c r="O193"/>
  <c r="Q184"/>
  <c r="T184"/>
  <c r="Q175"/>
  <c r="T175"/>
  <c r="Q168"/>
  <c r="T168"/>
  <c r="Q159"/>
  <c r="T159"/>
  <c r="Q151"/>
  <c r="T151"/>
  <c r="Q144"/>
  <c r="T144"/>
  <c r="Q135"/>
  <c r="T135"/>
  <c r="Q127"/>
  <c r="T127"/>
  <c r="T125"/>
  <c r="Q125"/>
  <c r="Q120"/>
  <c r="T120"/>
  <c r="G119"/>
  <c r="T118"/>
  <c r="Q118"/>
  <c r="Q108"/>
  <c r="O14"/>
  <c r="O108"/>
  <c r="G126"/>
  <c r="V258" l="1"/>
  <c r="U259"/>
  <c r="O259"/>
  <c r="O22"/>
  <c r="K267"/>
  <c r="M22"/>
  <c r="M14"/>
  <c r="U14" s="1"/>
  <c r="I81"/>
  <c r="H81"/>
  <c r="F81"/>
  <c r="E81"/>
  <c r="G15"/>
  <c r="J177" l="1"/>
  <c r="J178"/>
  <c r="H38"/>
  <c r="U38" s="1"/>
  <c r="I102" l="1"/>
  <c r="I95"/>
  <c r="I88"/>
  <c r="I71"/>
  <c r="I61"/>
  <c r="I54"/>
  <c r="I46"/>
  <c r="I38"/>
  <c r="I31"/>
  <c r="I18"/>
  <c r="H102"/>
  <c r="H95"/>
  <c r="H88"/>
  <c r="H71"/>
  <c r="H61"/>
  <c r="H54"/>
  <c r="H46"/>
  <c r="H31"/>
  <c r="H18"/>
  <c r="M15"/>
  <c r="O21"/>
  <c r="M16"/>
  <c r="U16" s="1"/>
  <c r="M18"/>
  <c r="G23"/>
  <c r="Q23" s="1"/>
  <c r="E102"/>
  <c r="E95"/>
  <c r="E88"/>
  <c r="E71"/>
  <c r="E61"/>
  <c r="E54"/>
  <c r="E46"/>
  <c r="E38"/>
  <c r="E31"/>
  <c r="E18"/>
  <c r="F18"/>
  <c r="G16"/>
  <c r="O16" s="1"/>
  <c r="Q38" l="1"/>
  <c r="T22"/>
  <c r="U22" s="1"/>
  <c r="V248"/>
  <c r="V247"/>
  <c r="V255"/>
  <c r="V259" s="1"/>
  <c r="N260"/>
  <c r="Q154"/>
  <c r="G167"/>
  <c r="G150"/>
  <c r="N108"/>
  <c r="U21" l="1"/>
  <c r="V22"/>
  <c r="N125"/>
  <c r="U125" s="1"/>
  <c r="V125" s="1"/>
  <c r="J125"/>
  <c r="F102" l="1"/>
  <c r="F95"/>
  <c r="F88"/>
  <c r="M76"/>
  <c r="G80" l="1"/>
  <c r="O80" s="1"/>
  <c r="G79"/>
  <c r="O79" s="1"/>
  <c r="M79"/>
  <c r="U79" s="1"/>
  <c r="N79"/>
  <c r="V79"/>
  <c r="M80"/>
  <c r="U80" s="1"/>
  <c r="M74"/>
  <c r="F71"/>
  <c r="G70"/>
  <c r="Q70" s="1"/>
  <c r="M70"/>
  <c r="U70" s="1"/>
  <c r="M68"/>
  <c r="V68" s="1"/>
  <c r="G68"/>
  <c r="Q68" s="1"/>
  <c r="M69"/>
  <c r="V69" s="1"/>
  <c r="G69"/>
  <c r="F61"/>
  <c r="F54"/>
  <c r="G52"/>
  <c r="Q52" s="1"/>
  <c r="G51"/>
  <c r="O51" s="1"/>
  <c r="M52"/>
  <c r="U52" s="1"/>
  <c r="F46"/>
  <c r="F38"/>
  <c r="G38" s="1"/>
  <c r="F31"/>
  <c r="G31" s="1"/>
  <c r="Q31" s="1"/>
  <c r="G17"/>
  <c r="M17"/>
  <c r="V16"/>
  <c r="V15"/>
  <c r="Q69" l="1"/>
  <c r="N69"/>
  <c r="N80"/>
  <c r="Q80"/>
  <c r="Q79"/>
  <c r="T79" s="1"/>
  <c r="N70"/>
  <c r="N16"/>
  <c r="Q15"/>
  <c r="O15"/>
  <c r="N15"/>
  <c r="N17"/>
  <c r="O17"/>
  <c r="G18"/>
  <c r="Q18" s="1"/>
  <c r="N51"/>
  <c r="O70"/>
  <c r="G71"/>
  <c r="N71" s="1"/>
  <c r="V80"/>
  <c r="G54"/>
  <c r="Q16"/>
  <c r="O68"/>
  <c r="Q51"/>
  <c r="V52"/>
  <c r="N68"/>
  <c r="U68"/>
  <c r="V70"/>
  <c r="U69"/>
  <c r="U15"/>
  <c r="N52"/>
  <c r="O52"/>
  <c r="O69"/>
  <c r="U18"/>
  <c r="K268"/>
  <c r="I259"/>
  <c r="H259"/>
  <c r="T69" l="1"/>
  <c r="O13"/>
  <c r="T80"/>
  <c r="T15"/>
  <c r="T51"/>
  <c r="T16"/>
  <c r="N13"/>
  <c r="T70"/>
  <c r="T52"/>
  <c r="T68"/>
  <c r="V18"/>
  <c r="T14"/>
  <c r="G259"/>
  <c r="F259"/>
  <c r="E259"/>
  <c r="V218"/>
  <c r="U218"/>
  <c r="J218"/>
  <c r="N218"/>
  <c r="V217"/>
  <c r="U217"/>
  <c r="J217"/>
  <c r="N217"/>
  <c r="V186"/>
  <c r="V187"/>
  <c r="U186"/>
  <c r="U187"/>
  <c r="J186"/>
  <c r="N186"/>
  <c r="J187"/>
  <c r="N187"/>
  <c r="V162"/>
  <c r="U162"/>
  <c r="J162"/>
  <c r="N162"/>
  <c r="E155"/>
  <c r="J144"/>
  <c r="J142"/>
  <c r="V129"/>
  <c r="U129"/>
  <c r="J129"/>
  <c r="N129"/>
  <c r="V116"/>
  <c r="U116"/>
  <c r="J116"/>
  <c r="N116"/>
  <c r="V111"/>
  <c r="U111"/>
  <c r="J111"/>
  <c r="N111"/>
  <c r="G81"/>
  <c r="N81" s="1"/>
  <c r="G30"/>
  <c r="N255"/>
  <c r="N259" s="1"/>
  <c r="V227"/>
  <c r="U227"/>
  <c r="J227"/>
  <c r="N227"/>
  <c r="E133"/>
  <c r="G78"/>
  <c r="G76"/>
  <c r="N76" s="1"/>
  <c r="G77"/>
  <c r="G53"/>
  <c r="Q53" s="1"/>
  <c r="V253" l="1"/>
  <c r="U253"/>
  <c r="J253"/>
  <c r="N253"/>
  <c r="V245"/>
  <c r="U245"/>
  <c r="N245"/>
  <c r="J245"/>
  <c r="V215" l="1"/>
  <c r="U215"/>
  <c r="U216"/>
  <c r="U219"/>
  <c r="J215"/>
  <c r="N215"/>
  <c r="G100"/>
  <c r="G101"/>
  <c r="Q101" s="1"/>
  <c r="G102"/>
  <c r="G99"/>
  <c r="G93"/>
  <c r="G94"/>
  <c r="G95"/>
  <c r="Q95" s="1"/>
  <c r="G92"/>
  <c r="M87"/>
  <c r="U87" s="1"/>
  <c r="G87"/>
  <c r="Q87" s="1"/>
  <c r="G86"/>
  <c r="Q86" s="1"/>
  <c r="G88"/>
  <c r="Q88" s="1"/>
  <c r="G85"/>
  <c r="O85" s="1"/>
  <c r="Q76"/>
  <c r="Q78"/>
  <c r="N78"/>
  <c r="O76"/>
  <c r="Q77"/>
  <c r="O78"/>
  <c r="G75"/>
  <c r="Q75" s="1"/>
  <c r="G67"/>
  <c r="M67"/>
  <c r="U67" s="1"/>
  <c r="G66"/>
  <c r="Q71"/>
  <c r="G65"/>
  <c r="G60"/>
  <c r="Q60" s="1"/>
  <c r="G59"/>
  <c r="N59" s="1"/>
  <c r="G58"/>
  <c r="N58" s="1"/>
  <c r="N53"/>
  <c r="O53"/>
  <c r="G50"/>
  <c r="G45"/>
  <c r="O45" s="1"/>
  <c r="G44"/>
  <c r="Q44" s="1"/>
  <c r="G43"/>
  <c r="O43" s="1"/>
  <c r="G42"/>
  <c r="O42" s="1"/>
  <c r="G37"/>
  <c r="O37" s="1"/>
  <c r="G36"/>
  <c r="Q36" s="1"/>
  <c r="G35"/>
  <c r="Q35" s="1"/>
  <c r="Q30"/>
  <c r="G29"/>
  <c r="Q29" s="1"/>
  <c r="G28"/>
  <c r="Q28" s="1"/>
  <c r="G27"/>
  <c r="Q27" s="1"/>
  <c r="N18"/>
  <c r="N12" s="1"/>
  <c r="Q81"/>
  <c r="G61"/>
  <c r="Q61" s="1"/>
  <c r="Q54"/>
  <c r="G46"/>
  <c r="Q46" s="1"/>
  <c r="O99" l="1"/>
  <c r="Q99"/>
  <c r="N99"/>
  <c r="Q93"/>
  <c r="O93"/>
  <c r="Q92"/>
  <c r="O92"/>
  <c r="Q94"/>
  <c r="O94"/>
  <c r="Q100"/>
  <c r="Q98" s="1"/>
  <c r="N100"/>
  <c r="O75"/>
  <c r="N75"/>
  <c r="O67"/>
  <c r="N67"/>
  <c r="O66"/>
  <c r="N66"/>
  <c r="O65"/>
  <c r="O64" s="1"/>
  <c r="N65"/>
  <c r="N64" s="1"/>
  <c r="N63" s="1"/>
  <c r="Q26"/>
  <c r="Q25" s="1"/>
  <c r="O27"/>
  <c r="M53"/>
  <c r="V53" s="1"/>
  <c r="N35"/>
  <c r="O35"/>
  <c r="N45"/>
  <c r="Q45"/>
  <c r="O58"/>
  <c r="O71"/>
  <c r="Q66"/>
  <c r="N85"/>
  <c r="Q85"/>
  <c r="Q84" s="1"/>
  <c r="Q83" s="1"/>
  <c r="O50"/>
  <c r="O49" s="1"/>
  <c r="Q50"/>
  <c r="Q49" s="1"/>
  <c r="Q48" s="1"/>
  <c r="U53"/>
  <c r="N38"/>
  <c r="T38" s="1"/>
  <c r="O38"/>
  <c r="Q37"/>
  <c r="Q34" s="1"/>
  <c r="N43"/>
  <c r="Q43"/>
  <c r="O60"/>
  <c r="Q67"/>
  <c r="T53"/>
  <c r="N54"/>
  <c r="O54"/>
  <c r="O81"/>
  <c r="O77"/>
  <c r="Q74"/>
  <c r="N87"/>
  <c r="O87"/>
  <c r="N95"/>
  <c r="N93"/>
  <c r="O95"/>
  <c r="N102"/>
  <c r="O102"/>
  <c r="O100"/>
  <c r="N29"/>
  <c r="N42"/>
  <c r="O46"/>
  <c r="O44"/>
  <c r="O41" s="1"/>
  <c r="Q42"/>
  <c r="N50"/>
  <c r="N49" s="1"/>
  <c r="V67"/>
  <c r="Q65"/>
  <c r="Q64" s="1"/>
  <c r="O29"/>
  <c r="N27"/>
  <c r="N36"/>
  <c r="N37"/>
  <c r="O36"/>
  <c r="N46"/>
  <c r="N44"/>
  <c r="O61"/>
  <c r="N77"/>
  <c r="N88"/>
  <c r="N86"/>
  <c r="O88"/>
  <c r="O86"/>
  <c r="N92"/>
  <c r="N94"/>
  <c r="N101"/>
  <c r="O101"/>
  <c r="V87"/>
  <c r="Q58"/>
  <c r="N60"/>
  <c r="N57" s="1"/>
  <c r="O59"/>
  <c r="Q59"/>
  <c r="O28"/>
  <c r="O30"/>
  <c r="N28"/>
  <c r="N30"/>
  <c r="Q91" l="1"/>
  <c r="Q90" s="1"/>
  <c r="N98"/>
  <c r="O91"/>
  <c r="O90" s="1"/>
  <c r="O74"/>
  <c r="N74"/>
  <c r="N73" s="1"/>
  <c r="N97"/>
  <c r="O63"/>
  <c r="N48"/>
  <c r="T66"/>
  <c r="Q41"/>
  <c r="T67"/>
  <c r="T71"/>
  <c r="O84"/>
  <c r="O83" s="1"/>
  <c r="Q63"/>
  <c r="O98"/>
  <c r="O26"/>
  <c r="N84"/>
  <c r="N83" s="1"/>
  <c r="O34"/>
  <c r="Q57"/>
  <c r="T87"/>
  <c r="O57"/>
  <c r="O48"/>
  <c r="U17"/>
  <c r="U13" s="1"/>
  <c r="U12" s="1"/>
  <c r="V17"/>
  <c r="Q17"/>
  <c r="Q13" s="1"/>
  <c r="Q12" s="1"/>
  <c r="O18"/>
  <c r="O12" s="1"/>
  <c r="V198"/>
  <c r="V201"/>
  <c r="U198"/>
  <c r="U201"/>
  <c r="U197"/>
  <c r="U189"/>
  <c r="T18" l="1"/>
  <c r="T17"/>
  <c r="T13" s="1"/>
  <c r="V251"/>
  <c r="V250"/>
  <c r="U251"/>
  <c r="U250"/>
  <c r="N251"/>
  <c r="J251"/>
  <c r="J250"/>
  <c r="F261"/>
  <c r="H261"/>
  <c r="I261"/>
  <c r="N261"/>
  <c r="F222"/>
  <c r="H222"/>
  <c r="I222"/>
  <c r="J233"/>
  <c r="U233" s="1"/>
  <c r="F239"/>
  <c r="H239"/>
  <c r="I239"/>
  <c r="F231"/>
  <c r="H231"/>
  <c r="I231"/>
  <c r="F237"/>
  <c r="H237"/>
  <c r="I237"/>
  <c r="V235"/>
  <c r="U235"/>
  <c r="N235"/>
  <c r="J235"/>
  <c r="G237"/>
  <c r="V228"/>
  <c r="V226"/>
  <c r="U228"/>
  <c r="U226"/>
  <c r="N228"/>
  <c r="N226"/>
  <c r="J228"/>
  <c r="J226"/>
  <c r="N221"/>
  <c r="V219"/>
  <c r="V216"/>
  <c r="N216"/>
  <c r="J216"/>
  <c r="J219"/>
  <c r="G207"/>
  <c r="J198"/>
  <c r="J201"/>
  <c r="N209"/>
  <c r="F210"/>
  <c r="H210"/>
  <c r="I210"/>
  <c r="F208"/>
  <c r="H208"/>
  <c r="I208"/>
  <c r="V206"/>
  <c r="U206"/>
  <c r="N206"/>
  <c r="J206"/>
  <c r="F203"/>
  <c r="H203"/>
  <c r="I203"/>
  <c r="V197"/>
  <c r="J197"/>
  <c r="F194"/>
  <c r="H194"/>
  <c r="I194"/>
  <c r="V191"/>
  <c r="V192"/>
  <c r="V189"/>
  <c r="U191"/>
  <c r="U192"/>
  <c r="J191"/>
  <c r="J192"/>
  <c r="J189"/>
  <c r="V154"/>
  <c r="F155"/>
  <c r="H155"/>
  <c r="I155"/>
  <c r="J123"/>
  <c r="J124"/>
  <c r="J122"/>
  <c r="F182"/>
  <c r="H182"/>
  <c r="I182"/>
  <c r="V178"/>
  <c r="V177"/>
  <c r="U178"/>
  <c r="U177"/>
  <c r="F180"/>
  <c r="H180"/>
  <c r="I180"/>
  <c r="N177"/>
  <c r="N178"/>
  <c r="F167"/>
  <c r="H167"/>
  <c r="I167"/>
  <c r="F174"/>
  <c r="H174"/>
  <c r="I174"/>
  <c r="J170"/>
  <c r="J171"/>
  <c r="V171"/>
  <c r="V172"/>
  <c r="V170"/>
  <c r="U171"/>
  <c r="U172"/>
  <c r="U170"/>
  <c r="J172"/>
  <c r="N171"/>
  <c r="N170"/>
  <c r="N172"/>
  <c r="V163"/>
  <c r="V164"/>
  <c r="V165"/>
  <c r="V161"/>
  <c r="U163"/>
  <c r="U164"/>
  <c r="U165"/>
  <c r="U161"/>
  <c r="N163"/>
  <c r="N164"/>
  <c r="N165"/>
  <c r="N161"/>
  <c r="J161"/>
  <c r="J163"/>
  <c r="J164"/>
  <c r="J165"/>
  <c r="F157"/>
  <c r="H157"/>
  <c r="I157"/>
  <c r="V153"/>
  <c r="U153"/>
  <c r="N153"/>
  <c r="J153"/>
  <c r="F150"/>
  <c r="H150"/>
  <c r="I150"/>
  <c r="E150"/>
  <c r="V146"/>
  <c r="V147"/>
  <c r="V148"/>
  <c r="U146"/>
  <c r="U147"/>
  <c r="U148"/>
  <c r="J146"/>
  <c r="J147"/>
  <c r="J148"/>
  <c r="N146"/>
  <c r="N147"/>
  <c r="N148"/>
  <c r="H143"/>
  <c r="I143"/>
  <c r="F143"/>
  <c r="V138"/>
  <c r="V139"/>
  <c r="V141"/>
  <c r="U138"/>
  <c r="U139"/>
  <c r="U141"/>
  <c r="J138"/>
  <c r="J139"/>
  <c r="J141"/>
  <c r="N138"/>
  <c r="N139"/>
  <c r="N141"/>
  <c r="N123"/>
  <c r="N124"/>
  <c r="N122"/>
  <c r="N112"/>
  <c r="N113"/>
  <c r="N114"/>
  <c r="N117"/>
  <c r="N110"/>
  <c r="Q133"/>
  <c r="T133"/>
  <c r="T131"/>
  <c r="F126"/>
  <c r="V123"/>
  <c r="V124"/>
  <c r="V122"/>
  <c r="U123"/>
  <c r="U124"/>
  <c r="U122"/>
  <c r="V112"/>
  <c r="V113"/>
  <c r="V114"/>
  <c r="V117"/>
  <c r="V110"/>
  <c r="U112"/>
  <c r="U113"/>
  <c r="U114"/>
  <c r="U117"/>
  <c r="U110"/>
  <c r="J112"/>
  <c r="J113"/>
  <c r="J114"/>
  <c r="J117"/>
  <c r="J110"/>
  <c r="F119"/>
  <c r="L268"/>
  <c r="L267"/>
  <c r="T261"/>
  <c r="Q261"/>
  <c r="M261"/>
  <c r="E261"/>
  <c r="J260"/>
  <c r="V260" s="1"/>
  <c r="J252"/>
  <c r="V242"/>
  <c r="T246"/>
  <c r="Q246"/>
  <c r="T239"/>
  <c r="Q239"/>
  <c r="M239"/>
  <c r="E239"/>
  <c r="J238"/>
  <c r="V238" s="1"/>
  <c r="E237"/>
  <c r="J236"/>
  <c r="E231"/>
  <c r="T229"/>
  <c r="E222"/>
  <c r="J221"/>
  <c r="V221" s="1"/>
  <c r="T210"/>
  <c r="Q210"/>
  <c r="M210"/>
  <c r="E210"/>
  <c r="J209"/>
  <c r="V209" s="1"/>
  <c r="E208"/>
  <c r="J207"/>
  <c r="U207" s="1"/>
  <c r="E203"/>
  <c r="J202"/>
  <c r="E194"/>
  <c r="T182"/>
  <c r="Q182"/>
  <c r="M182"/>
  <c r="E182"/>
  <c r="J181"/>
  <c r="V181" s="1"/>
  <c r="E180"/>
  <c r="J179"/>
  <c r="E174"/>
  <c r="E167"/>
  <c r="T157"/>
  <c r="Q157"/>
  <c r="M157"/>
  <c r="E157"/>
  <c r="N156"/>
  <c r="J156"/>
  <c r="V156" s="1"/>
  <c r="V157" s="1"/>
  <c r="J151"/>
  <c r="U151" s="1"/>
  <c r="E143"/>
  <c r="U142"/>
  <c r="M133"/>
  <c r="I133"/>
  <c r="H133"/>
  <c r="J132"/>
  <c r="O132" s="1"/>
  <c r="V130"/>
  <c r="U130"/>
  <c r="I126"/>
  <c r="H126"/>
  <c r="E126"/>
  <c r="I119"/>
  <c r="H119"/>
  <c r="E119"/>
  <c r="M102"/>
  <c r="V102" s="1"/>
  <c r="M101"/>
  <c r="V101" s="1"/>
  <c r="M100"/>
  <c r="V100" s="1"/>
  <c r="O97"/>
  <c r="M99"/>
  <c r="M98"/>
  <c r="M97"/>
  <c r="M95"/>
  <c r="V95" s="1"/>
  <c r="M94"/>
  <c r="V94" s="1"/>
  <c r="M93"/>
  <c r="V93" s="1"/>
  <c r="M92"/>
  <c r="V92" s="1"/>
  <c r="M91"/>
  <c r="M90"/>
  <c r="M88"/>
  <c r="V88" s="1"/>
  <c r="M86"/>
  <c r="V86" s="1"/>
  <c r="M85"/>
  <c r="V85" s="1"/>
  <c r="M84"/>
  <c r="M83"/>
  <c r="M81"/>
  <c r="V81" s="1"/>
  <c r="M78"/>
  <c r="V78" s="1"/>
  <c r="M77"/>
  <c r="V77" s="1"/>
  <c r="V76"/>
  <c r="Q73"/>
  <c r="M75"/>
  <c r="V75" s="1"/>
  <c r="M73"/>
  <c r="M71"/>
  <c r="V71" s="1"/>
  <c r="M66"/>
  <c r="U66" s="1"/>
  <c r="M65"/>
  <c r="V65" s="1"/>
  <c r="M64"/>
  <c r="M63"/>
  <c r="N61"/>
  <c r="M61"/>
  <c r="U61" s="1"/>
  <c r="M60"/>
  <c r="V60" s="1"/>
  <c r="M59"/>
  <c r="U59" s="1"/>
  <c r="Q56"/>
  <c r="O56"/>
  <c r="M58"/>
  <c r="V58" s="1"/>
  <c r="M57"/>
  <c r="M56"/>
  <c r="M54"/>
  <c r="V54" s="1"/>
  <c r="M51"/>
  <c r="M50"/>
  <c r="V50" s="1"/>
  <c r="M49"/>
  <c r="M48"/>
  <c r="M46"/>
  <c r="V46" s="1"/>
  <c r="M45"/>
  <c r="V45" s="1"/>
  <c r="M44"/>
  <c r="V44" s="1"/>
  <c r="M43"/>
  <c r="V43" s="1"/>
  <c r="Q40"/>
  <c r="O40"/>
  <c r="M42"/>
  <c r="V42" s="1"/>
  <c r="M41"/>
  <c r="M40"/>
  <c r="M38"/>
  <c r="V38" s="1"/>
  <c r="M37"/>
  <c r="V37" s="1"/>
  <c r="M36"/>
  <c r="V36" s="1"/>
  <c r="O33"/>
  <c r="M35"/>
  <c r="V35" s="1"/>
  <c r="M34"/>
  <c r="M33"/>
  <c r="O31"/>
  <c r="O25" s="1"/>
  <c r="N31"/>
  <c r="M31"/>
  <c r="M30"/>
  <c r="V30" s="1"/>
  <c r="M29"/>
  <c r="V29" s="1"/>
  <c r="M28"/>
  <c r="V28" s="1"/>
  <c r="M27"/>
  <c r="M26"/>
  <c r="M25"/>
  <c r="O23"/>
  <c r="N23"/>
  <c r="M23"/>
  <c r="N21"/>
  <c r="Q21"/>
  <c r="Q20" s="1"/>
  <c r="M21"/>
  <c r="M20"/>
  <c r="H205" i="1"/>
  <c r="I205" s="1"/>
  <c r="J205" s="1"/>
  <c r="H204"/>
  <c r="H203"/>
  <c r="I203" s="1"/>
  <c r="J203" s="1"/>
  <c r="F202"/>
  <c r="E202"/>
  <c r="D202"/>
  <c r="O196"/>
  <c r="N196"/>
  <c r="K196"/>
  <c r="G196"/>
  <c r="F196"/>
  <c r="E196"/>
  <c r="Q195"/>
  <c r="P195"/>
  <c r="M195"/>
  <c r="L195" s="1"/>
  <c r="M194"/>
  <c r="L194" s="1"/>
  <c r="H194"/>
  <c r="P194" s="1"/>
  <c r="Q192"/>
  <c r="Q193" s="1"/>
  <c r="P192"/>
  <c r="P193" s="1"/>
  <c r="O192"/>
  <c r="O193" s="1"/>
  <c r="N192"/>
  <c r="N193" s="1"/>
  <c r="M192"/>
  <c r="M193" s="1"/>
  <c r="O190"/>
  <c r="N190"/>
  <c r="M190"/>
  <c r="H190"/>
  <c r="Q190" s="1"/>
  <c r="M189"/>
  <c r="L189" s="1"/>
  <c r="H189"/>
  <c r="P189" s="1"/>
  <c r="Q188"/>
  <c r="P188"/>
  <c r="O188"/>
  <c r="N188"/>
  <c r="M188"/>
  <c r="Q187"/>
  <c r="P187"/>
  <c r="O187"/>
  <c r="N187"/>
  <c r="M187"/>
  <c r="Q185"/>
  <c r="P185"/>
  <c r="M185"/>
  <c r="L185" s="1"/>
  <c r="P184"/>
  <c r="Q184" s="1"/>
  <c r="O184"/>
  <c r="N184"/>
  <c r="M184"/>
  <c r="Q183"/>
  <c r="P183"/>
  <c r="O183"/>
  <c r="N183"/>
  <c r="M183"/>
  <c r="O181"/>
  <c r="N181"/>
  <c r="K181"/>
  <c r="G181"/>
  <c r="F181"/>
  <c r="E181"/>
  <c r="Q180"/>
  <c r="P180"/>
  <c r="I180"/>
  <c r="M180" s="1"/>
  <c r="L180" s="1"/>
  <c r="M179"/>
  <c r="H179"/>
  <c r="P179" s="1"/>
  <c r="G178"/>
  <c r="F178"/>
  <c r="E178"/>
  <c r="I177"/>
  <c r="H177" s="1"/>
  <c r="Q176"/>
  <c r="P176"/>
  <c r="M176"/>
  <c r="L176" s="1"/>
  <c r="O175"/>
  <c r="O178" s="1"/>
  <c r="N175"/>
  <c r="N178" s="1"/>
  <c r="I175"/>
  <c r="H175" s="1"/>
  <c r="G174"/>
  <c r="F174"/>
  <c r="E174"/>
  <c r="Q173"/>
  <c r="P173"/>
  <c r="I173"/>
  <c r="M173" s="1"/>
  <c r="L173" s="1"/>
  <c r="O172"/>
  <c r="N172"/>
  <c r="I172"/>
  <c r="H172" s="1"/>
  <c r="Q171"/>
  <c r="P171"/>
  <c r="M171"/>
  <c r="L171" s="1"/>
  <c r="O170"/>
  <c r="N170"/>
  <c r="I170"/>
  <c r="H170" s="1"/>
  <c r="O169"/>
  <c r="N169"/>
  <c r="I169"/>
  <c r="H169" s="1"/>
  <c r="G168"/>
  <c r="F168"/>
  <c r="E168"/>
  <c r="M167"/>
  <c r="L167" s="1"/>
  <c r="H167"/>
  <c r="Q167" s="1"/>
  <c r="O166"/>
  <c r="N166"/>
  <c r="I166"/>
  <c r="H166" s="1"/>
  <c r="Q165"/>
  <c r="P165"/>
  <c r="M165"/>
  <c r="L165" s="1"/>
  <c r="O164"/>
  <c r="N164"/>
  <c r="I164"/>
  <c r="H164" s="1"/>
  <c r="O162"/>
  <c r="N162"/>
  <c r="K162"/>
  <c r="G162"/>
  <c r="F162"/>
  <c r="E162"/>
  <c r="Q161"/>
  <c r="P161"/>
  <c r="I161"/>
  <c r="M161" s="1"/>
  <c r="M160"/>
  <c r="L160" s="1"/>
  <c r="H160"/>
  <c r="Q160" s="1"/>
  <c r="Q162" s="1"/>
  <c r="G159"/>
  <c r="F159"/>
  <c r="E159"/>
  <c r="I158"/>
  <c r="H158" s="1"/>
  <c r="Q158" s="1"/>
  <c r="Q157"/>
  <c r="P157"/>
  <c r="M157"/>
  <c r="L157" s="1"/>
  <c r="O156"/>
  <c r="O159" s="1"/>
  <c r="N156"/>
  <c r="N159" s="1"/>
  <c r="I156"/>
  <c r="M156" s="1"/>
  <c r="G155"/>
  <c r="F155"/>
  <c r="E155"/>
  <c r="O154"/>
  <c r="N154"/>
  <c r="I154"/>
  <c r="H154" s="1"/>
  <c r="Q153"/>
  <c r="P153"/>
  <c r="M153"/>
  <c r="L153" s="1"/>
  <c r="O152"/>
  <c r="N152"/>
  <c r="N155" s="1"/>
  <c r="I152"/>
  <c r="H152" s="1"/>
  <c r="G151"/>
  <c r="F151"/>
  <c r="E151"/>
  <c r="O150"/>
  <c r="N150"/>
  <c r="I150"/>
  <c r="M150" s="1"/>
  <c r="Q149"/>
  <c r="P149"/>
  <c r="M149"/>
  <c r="L149" s="1"/>
  <c r="O148"/>
  <c r="N148"/>
  <c r="N151" s="1"/>
  <c r="I148"/>
  <c r="M148" s="1"/>
  <c r="O146"/>
  <c r="N146"/>
  <c r="K146"/>
  <c r="G146"/>
  <c r="F146"/>
  <c r="E146"/>
  <c r="Q145"/>
  <c r="P145"/>
  <c r="I145"/>
  <c r="M145" s="1"/>
  <c r="L145" s="1"/>
  <c r="M144"/>
  <c r="H144"/>
  <c r="P144" s="1"/>
  <c r="G143"/>
  <c r="F143"/>
  <c r="E143"/>
  <c r="I142"/>
  <c r="H142" s="1"/>
  <c r="P142" s="1"/>
  <c r="Q141"/>
  <c r="P141"/>
  <c r="M141"/>
  <c r="L141" s="1"/>
  <c r="O140"/>
  <c r="O143" s="1"/>
  <c r="N140"/>
  <c r="N143" s="1"/>
  <c r="I140"/>
  <c r="H140" s="1"/>
  <c r="P140" s="1"/>
  <c r="G139"/>
  <c r="F139"/>
  <c r="E139"/>
  <c r="O138"/>
  <c r="N138"/>
  <c r="I138"/>
  <c r="M138" s="1"/>
  <c r="Q137"/>
  <c r="P137"/>
  <c r="M137"/>
  <c r="L137" s="1"/>
  <c r="O136"/>
  <c r="O139" s="1"/>
  <c r="N136"/>
  <c r="I136"/>
  <c r="M136" s="1"/>
  <c r="G135"/>
  <c r="F135"/>
  <c r="E135"/>
  <c r="O134"/>
  <c r="N134"/>
  <c r="I134"/>
  <c r="H134" s="1"/>
  <c r="P134" s="1"/>
  <c r="Q133"/>
  <c r="P133"/>
  <c r="M133"/>
  <c r="L133" s="1"/>
  <c r="O132"/>
  <c r="O135" s="1"/>
  <c r="N132"/>
  <c r="N135" s="1"/>
  <c r="I132"/>
  <c r="H132" s="1"/>
  <c r="P132" s="1"/>
  <c r="O130"/>
  <c r="N130"/>
  <c r="K130"/>
  <c r="G130"/>
  <c r="F130"/>
  <c r="E130"/>
  <c r="Q129"/>
  <c r="P129"/>
  <c r="I129"/>
  <c r="M129" s="1"/>
  <c r="M128"/>
  <c r="L128" s="1"/>
  <c r="H128"/>
  <c r="Q128" s="1"/>
  <c r="Q130" s="1"/>
  <c r="G127"/>
  <c r="F127"/>
  <c r="E127"/>
  <c r="Q126"/>
  <c r="P126"/>
  <c r="Q125"/>
  <c r="P125"/>
  <c r="M125"/>
  <c r="L125" s="1"/>
  <c r="O124"/>
  <c r="O127" s="1"/>
  <c r="N124"/>
  <c r="N127" s="1"/>
  <c r="I124"/>
  <c r="M124" s="1"/>
  <c r="G123"/>
  <c r="F123"/>
  <c r="E123"/>
  <c r="O122"/>
  <c r="N122"/>
  <c r="I122"/>
  <c r="H122" s="1"/>
  <c r="P122" s="1"/>
  <c r="Q121"/>
  <c r="P121"/>
  <c r="M121"/>
  <c r="L121" s="1"/>
  <c r="O120"/>
  <c r="N120"/>
  <c r="I120"/>
  <c r="H120" s="1"/>
  <c r="P120" s="1"/>
  <c r="P123" s="1"/>
  <c r="G119"/>
  <c r="F119"/>
  <c r="E119"/>
  <c r="O118"/>
  <c r="N118"/>
  <c r="I118"/>
  <c r="M118" s="1"/>
  <c r="Q117"/>
  <c r="P117"/>
  <c r="M117"/>
  <c r="L117" s="1"/>
  <c r="O116"/>
  <c r="N116"/>
  <c r="I116"/>
  <c r="M116" s="1"/>
  <c r="O114"/>
  <c r="N114"/>
  <c r="K114"/>
  <c r="G114"/>
  <c r="F114"/>
  <c r="E114"/>
  <c r="Q113"/>
  <c r="P113"/>
  <c r="I113"/>
  <c r="M113" s="1"/>
  <c r="L113" s="1"/>
  <c r="M112"/>
  <c r="H112"/>
  <c r="P112" s="1"/>
  <c r="G111"/>
  <c r="F111"/>
  <c r="E111"/>
  <c r="Q110"/>
  <c r="P110"/>
  <c r="Q109"/>
  <c r="P109"/>
  <c r="M109"/>
  <c r="L109" s="1"/>
  <c r="O108"/>
  <c r="O111" s="1"/>
  <c r="N108"/>
  <c r="N111" s="1"/>
  <c r="I108"/>
  <c r="H108" s="1"/>
  <c r="P108" s="1"/>
  <c r="G107"/>
  <c r="F107"/>
  <c r="E107"/>
  <c r="Q106"/>
  <c r="P106"/>
  <c r="Q105"/>
  <c r="P105"/>
  <c r="M105"/>
  <c r="L105" s="1"/>
  <c r="O104"/>
  <c r="O107" s="1"/>
  <c r="N104"/>
  <c r="N107" s="1"/>
  <c r="I104"/>
  <c r="M104" s="1"/>
  <c r="G103"/>
  <c r="F103"/>
  <c r="E103"/>
  <c r="O102"/>
  <c r="N102"/>
  <c r="I102"/>
  <c r="H102" s="1"/>
  <c r="P102" s="1"/>
  <c r="Q101"/>
  <c r="P101"/>
  <c r="M101"/>
  <c r="L101" s="1"/>
  <c r="O100"/>
  <c r="N100"/>
  <c r="N103" s="1"/>
  <c r="I100"/>
  <c r="H100" s="1"/>
  <c r="P100" s="1"/>
  <c r="P103" s="1"/>
  <c r="Q207" i="3" l="1"/>
  <c r="O207"/>
  <c r="N20"/>
  <c r="V27"/>
  <c r="V26" s="1"/>
  <c r="U27"/>
  <c r="V23"/>
  <c r="U23"/>
  <c r="V99"/>
  <c r="V98" s="1"/>
  <c r="V97" s="1"/>
  <c r="U99"/>
  <c r="V132"/>
  <c r="V133" s="1"/>
  <c r="O133"/>
  <c r="V74"/>
  <c r="V73" s="1"/>
  <c r="T31"/>
  <c r="V14"/>
  <c r="V13" s="1"/>
  <c r="U51"/>
  <c r="V51"/>
  <c r="V49" s="1"/>
  <c r="V48" s="1"/>
  <c r="V31"/>
  <c r="U31"/>
  <c r="Q254"/>
  <c r="N174" i="1"/>
  <c r="M186"/>
  <c r="O186"/>
  <c r="O230" i="3"/>
  <c r="V182"/>
  <c r="V34"/>
  <c r="V33" s="1"/>
  <c r="V91"/>
  <c r="V90" s="1"/>
  <c r="V239"/>
  <c r="O246"/>
  <c r="N246" s="1"/>
  <c r="V246"/>
  <c r="G222"/>
  <c r="T126"/>
  <c r="Q126"/>
  <c r="V41"/>
  <c r="V40" s="1"/>
  <c r="V84"/>
  <c r="V83" s="1"/>
  <c r="N250"/>
  <c r="U246"/>
  <c r="G261"/>
  <c r="N219"/>
  <c r="N198"/>
  <c r="N191"/>
  <c r="Q222"/>
  <c r="T254"/>
  <c r="T262" s="1"/>
  <c r="N189"/>
  <c r="N201"/>
  <c r="N192"/>
  <c r="T222"/>
  <c r="Q237"/>
  <c r="G231"/>
  <c r="N197"/>
  <c r="V261"/>
  <c r="V233"/>
  <c r="G239"/>
  <c r="O73"/>
  <c r="Q97"/>
  <c r="Q104" s="1"/>
  <c r="O261"/>
  <c r="O208"/>
  <c r="N242"/>
  <c r="N248"/>
  <c r="G182"/>
  <c r="G157"/>
  <c r="T194"/>
  <c r="G194"/>
  <c r="G203"/>
  <c r="G208"/>
  <c r="Q208"/>
  <c r="T208"/>
  <c r="G155"/>
  <c r="G174"/>
  <c r="G210"/>
  <c r="Q167"/>
  <c r="U154"/>
  <c r="U155" s="1"/>
  <c r="J154"/>
  <c r="G143"/>
  <c r="N26"/>
  <c r="N25" s="1"/>
  <c r="O155" i="1"/>
  <c r="N168"/>
  <c r="L187"/>
  <c r="G180" i="3"/>
  <c r="O103" i="1"/>
  <c r="O151"/>
  <c r="T50" i="3"/>
  <c r="T49" s="1"/>
  <c r="O167"/>
  <c r="T180"/>
  <c r="G131"/>
  <c r="T167"/>
  <c r="Q174"/>
  <c r="Q180"/>
  <c r="Q33"/>
  <c r="P111" i="1"/>
  <c r="O119"/>
  <c r="P143"/>
  <c r="O168"/>
  <c r="T59" i="3"/>
  <c r="U204"/>
  <c r="U208" s="1"/>
  <c r="T231"/>
  <c r="Q119"/>
  <c r="Q150"/>
  <c r="Q131"/>
  <c r="T29"/>
  <c r="T35"/>
  <c r="T37"/>
  <c r="T78"/>
  <c r="T88"/>
  <c r="T92"/>
  <c r="T94"/>
  <c r="T101"/>
  <c r="J135"/>
  <c r="U135" s="1"/>
  <c r="U143" s="1"/>
  <c r="U156"/>
  <c r="U157" s="1"/>
  <c r="N166"/>
  <c r="N224"/>
  <c r="N229"/>
  <c r="T100"/>
  <c r="T21"/>
  <c r="T28"/>
  <c r="T36"/>
  <c r="T42"/>
  <c r="T44"/>
  <c r="T46"/>
  <c r="T60"/>
  <c r="T75"/>
  <c r="T77"/>
  <c r="T81"/>
  <c r="T86"/>
  <c r="T95"/>
  <c r="T99"/>
  <c r="T23"/>
  <c r="T27"/>
  <c r="U28"/>
  <c r="T30"/>
  <c r="U37"/>
  <c r="U42"/>
  <c r="T45"/>
  <c r="U46"/>
  <c r="T54"/>
  <c r="T58"/>
  <c r="T61"/>
  <c r="V61"/>
  <c r="U65"/>
  <c r="U64" s="1"/>
  <c r="T76"/>
  <c r="U77"/>
  <c r="T85"/>
  <c r="U86"/>
  <c r="U92"/>
  <c r="U101"/>
  <c r="J120"/>
  <c r="U120" s="1"/>
  <c r="U126" s="1"/>
  <c r="J168"/>
  <c r="U168" s="1"/>
  <c r="J173"/>
  <c r="U173" s="1"/>
  <c r="J184"/>
  <c r="U184" s="1"/>
  <c r="J193"/>
  <c r="U193" s="1"/>
  <c r="U209"/>
  <c r="U221"/>
  <c r="U30"/>
  <c r="U35"/>
  <c r="T43"/>
  <c r="U44"/>
  <c r="U60"/>
  <c r="U75"/>
  <c r="U81"/>
  <c r="T93"/>
  <c r="U94"/>
  <c r="T102"/>
  <c r="N247"/>
  <c r="O157"/>
  <c r="N157"/>
  <c r="V179"/>
  <c r="U179"/>
  <c r="V236"/>
  <c r="U236"/>
  <c r="O20"/>
  <c r="U29"/>
  <c r="N34"/>
  <c r="N33" s="1"/>
  <c r="U36"/>
  <c r="N41"/>
  <c r="N40" s="1"/>
  <c r="U43"/>
  <c r="U45"/>
  <c r="U50"/>
  <c r="U54"/>
  <c r="N56"/>
  <c r="U58"/>
  <c r="V59"/>
  <c r="V57" s="1"/>
  <c r="V66"/>
  <c r="V64" s="1"/>
  <c r="T65"/>
  <c r="U71"/>
  <c r="U76"/>
  <c r="U78"/>
  <c r="U85"/>
  <c r="U88"/>
  <c r="N91"/>
  <c r="N90" s="1"/>
  <c r="U93"/>
  <c r="U95"/>
  <c r="U100"/>
  <c r="U102"/>
  <c r="J118"/>
  <c r="J127"/>
  <c r="U127" s="1"/>
  <c r="N132"/>
  <c r="U132"/>
  <c r="U133" s="1"/>
  <c r="V142"/>
  <c r="J149"/>
  <c r="V151"/>
  <c r="V155" s="1"/>
  <c r="J159"/>
  <c r="J166"/>
  <c r="J175"/>
  <c r="N181"/>
  <c r="U181"/>
  <c r="U182" s="1"/>
  <c r="J195"/>
  <c r="V207"/>
  <c r="J212"/>
  <c r="J220"/>
  <c r="J223"/>
  <c r="J224"/>
  <c r="U224" s="1"/>
  <c r="J229"/>
  <c r="J232"/>
  <c r="U232" s="1"/>
  <c r="N238"/>
  <c r="U238"/>
  <c r="U239" s="1"/>
  <c r="U260"/>
  <c r="U261" s="1"/>
  <c r="H104" i="1"/>
  <c r="Q104" s="1"/>
  <c r="Q107" s="1"/>
  <c r="P114"/>
  <c r="H118"/>
  <c r="Q118" s="1"/>
  <c r="N123"/>
  <c r="M122"/>
  <c r="L122" s="1"/>
  <c r="M127"/>
  <c r="L136"/>
  <c r="P146"/>
  <c r="M132"/>
  <c r="H136"/>
  <c r="Q136" s="1"/>
  <c r="L138"/>
  <c r="N191"/>
  <c r="L188"/>
  <c r="L190"/>
  <c r="H202"/>
  <c r="I204"/>
  <c r="J204" s="1"/>
  <c r="J202" s="1"/>
  <c r="L116"/>
  <c r="L150"/>
  <c r="H156"/>
  <c r="Q156" s="1"/>
  <c r="Q159" s="1"/>
  <c r="P181"/>
  <c r="N186"/>
  <c r="L186" s="1"/>
  <c r="L184"/>
  <c r="L192"/>
  <c r="L193" s="1"/>
  <c r="P196"/>
  <c r="N115"/>
  <c r="L104"/>
  <c r="L107" s="1"/>
  <c r="M108"/>
  <c r="M111" s="1"/>
  <c r="H116"/>
  <c r="N119"/>
  <c r="N131" s="1"/>
  <c r="L118"/>
  <c r="M120"/>
  <c r="M123" s="1"/>
  <c r="O123"/>
  <c r="H124"/>
  <c r="Q124" s="1"/>
  <c r="Q127" s="1"/>
  <c r="L124"/>
  <c r="L127" s="1"/>
  <c r="P128"/>
  <c r="P130" s="1"/>
  <c r="P135"/>
  <c r="M134"/>
  <c r="L134" s="1"/>
  <c r="M139"/>
  <c r="N139"/>
  <c r="N147" s="1"/>
  <c r="H138"/>
  <c r="Q138" s="1"/>
  <c r="H148"/>
  <c r="Q148" s="1"/>
  <c r="N163"/>
  <c r="H150"/>
  <c r="Q150" s="1"/>
  <c r="P160"/>
  <c r="P162" s="1"/>
  <c r="P167"/>
  <c r="O174"/>
  <c r="O182" s="1"/>
  <c r="M181"/>
  <c r="L183"/>
  <c r="N197"/>
  <c r="P186"/>
  <c r="M191"/>
  <c r="O191"/>
  <c r="O197" s="1"/>
  <c r="P190"/>
  <c r="P191" s="1"/>
  <c r="L196"/>
  <c r="P104"/>
  <c r="P107" s="1"/>
  <c r="P115" s="1"/>
  <c r="O147"/>
  <c r="L139"/>
  <c r="N182"/>
  <c r="L129"/>
  <c r="L130" s="1"/>
  <c r="M130"/>
  <c r="L108"/>
  <c r="L111" s="1"/>
  <c r="M114"/>
  <c r="L112"/>
  <c r="L114" s="1"/>
  <c r="L132"/>
  <c r="P152"/>
  <c r="Q152"/>
  <c r="P154"/>
  <c r="Q154"/>
  <c r="M159"/>
  <c r="L156"/>
  <c r="L159" s="1"/>
  <c r="P164"/>
  <c r="Q164"/>
  <c r="P166"/>
  <c r="Q166"/>
  <c r="P169"/>
  <c r="Q169"/>
  <c r="P175"/>
  <c r="Q175"/>
  <c r="P177"/>
  <c r="Q177"/>
  <c r="M146"/>
  <c r="L144"/>
  <c r="L146" s="1"/>
  <c r="M151"/>
  <c r="L148"/>
  <c r="L161"/>
  <c r="L162" s="1"/>
  <c r="M162"/>
  <c r="P170"/>
  <c r="Q170"/>
  <c r="P172"/>
  <c r="Q172"/>
  <c r="Q102"/>
  <c r="M107"/>
  <c r="M119"/>
  <c r="Q140"/>
  <c r="Q144"/>
  <c r="Q146" s="1"/>
  <c r="M100"/>
  <c r="O115"/>
  <c r="M102"/>
  <c r="L102" s="1"/>
  <c r="Q108"/>
  <c r="Q111" s="1"/>
  <c r="Q112"/>
  <c r="Q114" s="1"/>
  <c r="Q120"/>
  <c r="Q123" s="1"/>
  <c r="Q122"/>
  <c r="P124"/>
  <c r="P127" s="1"/>
  <c r="Q132"/>
  <c r="Q134"/>
  <c r="P138"/>
  <c r="M140"/>
  <c r="Q142"/>
  <c r="O163"/>
  <c r="Q186"/>
  <c r="Q100"/>
  <c r="M152"/>
  <c r="M154"/>
  <c r="L154" s="1"/>
  <c r="P158"/>
  <c r="M164"/>
  <c r="M166"/>
  <c r="L166" s="1"/>
  <c r="M169"/>
  <c r="M170"/>
  <c r="L170" s="1"/>
  <c r="M172"/>
  <c r="L172" s="1"/>
  <c r="M175"/>
  <c r="Q179"/>
  <c r="Q181" s="1"/>
  <c r="Q189"/>
  <c r="Q191" s="1"/>
  <c r="Q194"/>
  <c r="Q196" s="1"/>
  <c r="M196"/>
  <c r="M197" s="1"/>
  <c r="L179"/>
  <c r="L181" s="1"/>
  <c r="P148" l="1"/>
  <c r="T98" i="3"/>
  <c r="T97" s="1"/>
  <c r="U108"/>
  <c r="V108"/>
  <c r="U74"/>
  <c r="U73" s="1"/>
  <c r="T74"/>
  <c r="T73" s="1"/>
  <c r="T64"/>
  <c r="T63" s="1"/>
  <c r="N220"/>
  <c r="N223"/>
  <c r="V63"/>
  <c r="U57"/>
  <c r="U56" s="1"/>
  <c r="V204"/>
  <c r="V208" s="1"/>
  <c r="O182"/>
  <c r="U49"/>
  <c r="U48" s="1"/>
  <c r="N182"/>
  <c r="V25"/>
  <c r="T12"/>
  <c r="N212"/>
  <c r="T48"/>
  <c r="T155"/>
  <c r="Q231"/>
  <c r="Q240" s="1"/>
  <c r="V12"/>
  <c r="O222"/>
  <c r="N233"/>
  <c r="O237"/>
  <c r="N232"/>
  <c r="N237" s="1"/>
  <c r="O239"/>
  <c r="N154"/>
  <c r="U84"/>
  <c r="U83" s="1"/>
  <c r="T84"/>
  <c r="T83" s="1"/>
  <c r="T237"/>
  <c r="T240" s="1"/>
  <c r="U26"/>
  <c r="U25" s="1"/>
  <c r="N118"/>
  <c r="N119" s="1"/>
  <c r="N120"/>
  <c r="O126"/>
  <c r="U98"/>
  <c r="U34"/>
  <c r="U33" s="1"/>
  <c r="U63"/>
  <c r="U41"/>
  <c r="U40" s="1"/>
  <c r="Q134"/>
  <c r="Q155"/>
  <c r="L135" i="1"/>
  <c r="U91" i="3"/>
  <c r="U90" s="1"/>
  <c r="T57"/>
  <c r="T56" s="1"/>
  <c r="T26"/>
  <c r="T25" s="1"/>
  <c r="T41"/>
  <c r="T40" s="1"/>
  <c r="T91"/>
  <c r="T90" s="1"/>
  <c r="T34"/>
  <c r="T33" s="1"/>
  <c r="N252"/>
  <c r="U252" s="1"/>
  <c r="O254"/>
  <c r="N254" s="1"/>
  <c r="N262" s="1"/>
  <c r="Q262"/>
  <c r="O180"/>
  <c r="O203"/>
  <c r="O194"/>
  <c r="Q194"/>
  <c r="Q203"/>
  <c r="T203"/>
  <c r="T211" s="1"/>
  <c r="N239"/>
  <c r="U194"/>
  <c r="N193"/>
  <c r="U20"/>
  <c r="N195"/>
  <c r="N144"/>
  <c r="N184"/>
  <c r="T174"/>
  <c r="T183" s="1"/>
  <c r="V120"/>
  <c r="V126" s="1"/>
  <c r="N204"/>
  <c r="N208" s="1"/>
  <c r="N202"/>
  <c r="N149"/>
  <c r="N168"/>
  <c r="V168"/>
  <c r="N135"/>
  <c r="V135"/>
  <c r="V143" s="1"/>
  <c r="N133"/>
  <c r="O174"/>
  <c r="N175"/>
  <c r="N180" s="1"/>
  <c r="V184"/>
  <c r="O143"/>
  <c r="Q183"/>
  <c r="N173"/>
  <c r="N159"/>
  <c r="N167" s="1"/>
  <c r="Q143"/>
  <c r="T150"/>
  <c r="N142"/>
  <c r="O119"/>
  <c r="N151"/>
  <c r="N127"/>
  <c r="N131" s="1"/>
  <c r="T143"/>
  <c r="L151" i="1"/>
  <c r="O150" i="3"/>
  <c r="V173"/>
  <c r="U97"/>
  <c r="O155"/>
  <c r="P118" i="1"/>
  <c r="O131"/>
  <c r="T20" i="3"/>
  <c r="O131"/>
  <c r="T119"/>
  <c r="T134" s="1"/>
  <c r="V193"/>
  <c r="V56"/>
  <c r="U174"/>
  <c r="V232"/>
  <c r="V237" s="1"/>
  <c r="U237"/>
  <c r="V224"/>
  <c r="V220"/>
  <c r="U220"/>
  <c r="V202"/>
  <c r="U202"/>
  <c r="V175"/>
  <c r="V180" s="1"/>
  <c r="U175"/>
  <c r="U180" s="1"/>
  <c r="V159"/>
  <c r="U159"/>
  <c r="V149"/>
  <c r="U149"/>
  <c r="V127"/>
  <c r="V131" s="1"/>
  <c r="U131"/>
  <c r="V118"/>
  <c r="U118"/>
  <c r="V229"/>
  <c r="U229"/>
  <c r="V223"/>
  <c r="U223"/>
  <c r="V212"/>
  <c r="U212"/>
  <c r="V195"/>
  <c r="U195"/>
  <c r="U203" s="1"/>
  <c r="V166"/>
  <c r="U166"/>
  <c r="V144"/>
  <c r="U144"/>
  <c r="L119" i="1"/>
  <c r="I202"/>
  <c r="Q139"/>
  <c r="P156"/>
  <c r="P136"/>
  <c r="L120"/>
  <c r="L123" s="1"/>
  <c r="P197"/>
  <c r="P159"/>
  <c r="P139"/>
  <c r="P147" s="1"/>
  <c r="Q135"/>
  <c r="Q143"/>
  <c r="Q116"/>
  <c r="Q119" s="1"/>
  <c r="Q131" s="1"/>
  <c r="P116"/>
  <c r="P119" s="1"/>
  <c r="P131" s="1"/>
  <c r="P150"/>
  <c r="P151" s="1"/>
  <c r="M135"/>
  <c r="L191"/>
  <c r="L197" s="1"/>
  <c r="Q151"/>
  <c r="L169"/>
  <c r="L174" s="1"/>
  <c r="M174"/>
  <c r="M155"/>
  <c r="M163" s="1"/>
  <c r="L163" s="1"/>
  <c r="L152"/>
  <c r="L155" s="1"/>
  <c r="M178"/>
  <c r="L175"/>
  <c r="L178" s="1"/>
  <c r="M103"/>
  <c r="M115" s="1"/>
  <c r="L115" s="1"/>
  <c r="L100"/>
  <c r="L103" s="1"/>
  <c r="Q103"/>
  <c r="Q115" s="1"/>
  <c r="M131"/>
  <c r="Q178"/>
  <c r="Q174"/>
  <c r="Q168"/>
  <c r="Q155"/>
  <c r="Q163" s="1"/>
  <c r="L164"/>
  <c r="L168" s="1"/>
  <c r="M168"/>
  <c r="M143"/>
  <c r="L140"/>
  <c r="L143" s="1"/>
  <c r="Q197"/>
  <c r="P178"/>
  <c r="P174"/>
  <c r="P168"/>
  <c r="P155"/>
  <c r="V203" i="3" l="1"/>
  <c r="O134"/>
  <c r="N134" s="1"/>
  <c r="W33"/>
  <c r="U254"/>
  <c r="U262" s="1"/>
  <c r="V252"/>
  <c r="V254" s="1"/>
  <c r="V262" s="1"/>
  <c r="N126"/>
  <c r="N222"/>
  <c r="M147" i="1"/>
  <c r="L147" s="1"/>
  <c r="Q211" i="3"/>
  <c r="N155"/>
  <c r="Q158"/>
  <c r="O183"/>
  <c r="N183" s="1"/>
  <c r="O262"/>
  <c r="N194"/>
  <c r="N203"/>
  <c r="V222"/>
  <c r="V21"/>
  <c r="V20" s="1"/>
  <c r="V194"/>
  <c r="O158"/>
  <c r="N150"/>
  <c r="N174"/>
  <c r="N143"/>
  <c r="V174"/>
  <c r="T158"/>
  <c r="L131" i="1"/>
  <c r="V119" i="3"/>
  <c r="V134" s="1"/>
  <c r="V150"/>
  <c r="V158" s="1"/>
  <c r="U167"/>
  <c r="U183" s="1"/>
  <c r="U119"/>
  <c r="U134" s="1"/>
  <c r="U150"/>
  <c r="U158" s="1"/>
  <c r="U222"/>
  <c r="V167"/>
  <c r="Q147" i="1"/>
  <c r="P163"/>
  <c r="P182"/>
  <c r="L182"/>
  <c r="Q182"/>
  <c r="M182"/>
  <c r="N158" i="3" l="1"/>
  <c r="V183"/>
  <c r="L26" i="1"/>
  <c r="M41"/>
  <c r="M40"/>
  <c r="M39"/>
  <c r="M33"/>
  <c r="M32"/>
  <c r="M26"/>
  <c r="M25"/>
  <c r="M24"/>
  <c r="M18"/>
  <c r="N92"/>
  <c r="N91"/>
  <c r="M92"/>
  <c r="M91"/>
  <c r="L92"/>
  <c r="L91"/>
  <c r="N85"/>
  <c r="N86"/>
  <c r="N87"/>
  <c r="N84"/>
  <c r="M85"/>
  <c r="M84"/>
  <c r="L85"/>
  <c r="L84"/>
  <c r="N78"/>
  <c r="N76" s="1"/>
  <c r="N77"/>
  <c r="M78"/>
  <c r="M77"/>
  <c r="L78"/>
  <c r="L79"/>
  <c r="L80"/>
  <c r="L81"/>
  <c r="L77"/>
  <c r="N70"/>
  <c r="N71"/>
  <c r="N69"/>
  <c r="M70"/>
  <c r="M71"/>
  <c r="M69"/>
  <c r="L70"/>
  <c r="L71"/>
  <c r="L69"/>
  <c r="N62"/>
  <c r="N63"/>
  <c r="N61"/>
  <c r="M62"/>
  <c r="M63"/>
  <c r="M61"/>
  <c r="L62"/>
  <c r="L63"/>
  <c r="L61"/>
  <c r="N55"/>
  <c r="N54"/>
  <c r="M55"/>
  <c r="M54"/>
  <c r="L55"/>
  <c r="L54"/>
  <c r="N48"/>
  <c r="M48"/>
  <c r="L48"/>
  <c r="N47"/>
  <c r="M47"/>
  <c r="L47"/>
  <c r="N44"/>
  <c r="N40"/>
  <c r="N41"/>
  <c r="N39"/>
  <c r="L40"/>
  <c r="L41"/>
  <c r="L39"/>
  <c r="N36"/>
  <c r="N33"/>
  <c r="N32"/>
  <c r="L32"/>
  <c r="N25"/>
  <c r="N26"/>
  <c r="L25"/>
  <c r="L24"/>
  <c r="N46" l="1"/>
  <c r="N83"/>
  <c r="N53"/>
  <c r="M38"/>
  <c r="M23"/>
  <c r="M68"/>
  <c r="M31"/>
  <c r="M53"/>
  <c r="N38"/>
  <c r="N37" s="1"/>
  <c r="M60"/>
  <c r="N90"/>
  <c r="M46"/>
  <c r="N68"/>
  <c r="M76"/>
  <c r="M90"/>
  <c r="M83"/>
  <c r="N60"/>
  <c r="N31"/>
  <c r="N30" s="1"/>
  <c r="N24" l="1"/>
  <c r="N23" s="1"/>
  <c r="O25"/>
  <c r="P25" s="1"/>
  <c r="Q25" s="1"/>
  <c r="M17"/>
  <c r="L90"/>
  <c r="L83"/>
  <c r="O83" s="1"/>
  <c r="P83" s="1"/>
  <c r="Q83" s="1"/>
  <c r="L76"/>
  <c r="L75" s="1"/>
  <c r="N18"/>
  <c r="N17" s="1"/>
  <c r="O77"/>
  <c r="P77" s="1"/>
  <c r="Q77" s="1"/>
  <c r="O78"/>
  <c r="P78" s="1"/>
  <c r="Q78" s="1"/>
  <c r="O84"/>
  <c r="P84" s="1"/>
  <c r="Q84" s="1"/>
  <c r="O85"/>
  <c r="P85" s="1"/>
  <c r="Q85" s="1"/>
  <c r="O90"/>
  <c r="P90" s="1"/>
  <c r="Q90" s="1"/>
  <c r="O91"/>
  <c r="P91" s="1"/>
  <c r="Q91" s="1"/>
  <c r="O92"/>
  <c r="P92" s="1"/>
  <c r="Q92" s="1"/>
  <c r="N12"/>
  <c r="N13"/>
  <c r="N14"/>
  <c r="N15"/>
  <c r="N19"/>
  <c r="N20"/>
  <c r="N21"/>
  <c r="N27"/>
  <c r="N28"/>
  <c r="N29"/>
  <c r="N34"/>
  <c r="N35"/>
  <c r="N42"/>
  <c r="N43"/>
  <c r="N49"/>
  <c r="N50"/>
  <c r="N51"/>
  <c r="N45" s="1"/>
  <c r="N56"/>
  <c r="N57"/>
  <c r="N58"/>
  <c r="N52" s="1"/>
  <c r="N64"/>
  <c r="N65"/>
  <c r="N66"/>
  <c r="N59" s="1"/>
  <c r="N72"/>
  <c r="N73"/>
  <c r="N74"/>
  <c r="N67" s="1"/>
  <c r="N79"/>
  <c r="N80"/>
  <c r="N81"/>
  <c r="N75" s="1"/>
  <c r="N88"/>
  <c r="N82" s="1"/>
  <c r="N93"/>
  <c r="N94"/>
  <c r="N95"/>
  <c r="N89" s="1"/>
  <c r="N11"/>
  <c r="M12"/>
  <c r="M13"/>
  <c r="M14"/>
  <c r="M15"/>
  <c r="M19"/>
  <c r="M20"/>
  <c r="M21"/>
  <c r="M27"/>
  <c r="M28"/>
  <c r="M29"/>
  <c r="M34"/>
  <c r="M35"/>
  <c r="M36"/>
  <c r="M30" s="1"/>
  <c r="M42"/>
  <c r="M43"/>
  <c r="M44"/>
  <c r="M37" s="1"/>
  <c r="M49"/>
  <c r="M50"/>
  <c r="M51"/>
  <c r="M45" s="1"/>
  <c r="M56"/>
  <c r="M57"/>
  <c r="M58"/>
  <c r="M52" s="1"/>
  <c r="M64"/>
  <c r="M65"/>
  <c r="M66"/>
  <c r="M59" s="1"/>
  <c r="M72"/>
  <c r="M73"/>
  <c r="M74"/>
  <c r="M67" s="1"/>
  <c r="M79"/>
  <c r="O79" s="1"/>
  <c r="P79" s="1"/>
  <c r="Q79" s="1"/>
  <c r="M80"/>
  <c r="O80" s="1"/>
  <c r="P80" s="1"/>
  <c r="Q80" s="1"/>
  <c r="M81"/>
  <c r="M75" s="1"/>
  <c r="M86"/>
  <c r="M87"/>
  <c r="M88"/>
  <c r="M82" s="1"/>
  <c r="M93"/>
  <c r="M94"/>
  <c r="M95"/>
  <c r="M89" s="1"/>
  <c r="M11"/>
  <c r="L12"/>
  <c r="O12" s="1"/>
  <c r="P12" s="1"/>
  <c r="Q12" s="1"/>
  <c r="L13"/>
  <c r="O13" s="1"/>
  <c r="P13" s="1"/>
  <c r="Q13" s="1"/>
  <c r="L14"/>
  <c r="O14" s="1"/>
  <c r="P14" s="1"/>
  <c r="Q14" s="1"/>
  <c r="L15"/>
  <c r="L18"/>
  <c r="L17" s="1"/>
  <c r="L19"/>
  <c r="L20"/>
  <c r="L21"/>
  <c r="L27"/>
  <c r="L28"/>
  <c r="L29"/>
  <c r="L33"/>
  <c r="O33" s="1"/>
  <c r="P33" s="1"/>
  <c r="Q33" s="1"/>
  <c r="L34"/>
  <c r="O34" s="1"/>
  <c r="P34" s="1"/>
  <c r="Q34" s="1"/>
  <c r="L35"/>
  <c r="O35" s="1"/>
  <c r="P35" s="1"/>
  <c r="Q35" s="1"/>
  <c r="L36"/>
  <c r="O36" s="1"/>
  <c r="P36" s="1"/>
  <c r="Q36" s="1"/>
  <c r="L38"/>
  <c r="O40"/>
  <c r="P40" s="1"/>
  <c r="Q40" s="1"/>
  <c r="O41"/>
  <c r="P41" s="1"/>
  <c r="Q41" s="1"/>
  <c r="L42"/>
  <c r="O42" s="1"/>
  <c r="P42" s="1"/>
  <c r="Q42" s="1"/>
  <c r="L43"/>
  <c r="L44"/>
  <c r="L46"/>
  <c r="O48"/>
  <c r="P48" s="1"/>
  <c r="Q48" s="1"/>
  <c r="L49"/>
  <c r="L50"/>
  <c r="O50" s="1"/>
  <c r="P50" s="1"/>
  <c r="Q50" s="1"/>
  <c r="L51"/>
  <c r="L53"/>
  <c r="O55"/>
  <c r="P55" s="1"/>
  <c r="Q55" s="1"/>
  <c r="L56"/>
  <c r="L57"/>
  <c r="L58"/>
  <c r="O58" s="1"/>
  <c r="P58" s="1"/>
  <c r="Q58" s="1"/>
  <c r="O61"/>
  <c r="P61" s="1"/>
  <c r="Q61" s="1"/>
  <c r="O62"/>
  <c r="P62" s="1"/>
  <c r="Q62" s="1"/>
  <c r="O63"/>
  <c r="P63" s="1"/>
  <c r="Q63" s="1"/>
  <c r="L64"/>
  <c r="O64" s="1"/>
  <c r="P64" s="1"/>
  <c r="Q64" s="1"/>
  <c r="L65"/>
  <c r="L66"/>
  <c r="O66" s="1"/>
  <c r="P66" s="1"/>
  <c r="Q66" s="1"/>
  <c r="L68"/>
  <c r="O70"/>
  <c r="P70" s="1"/>
  <c r="Q70" s="1"/>
  <c r="O71"/>
  <c r="P71" s="1"/>
  <c r="Q71" s="1"/>
  <c r="L72"/>
  <c r="O72" s="1"/>
  <c r="P72" s="1"/>
  <c r="Q72" s="1"/>
  <c r="L73"/>
  <c r="L74"/>
  <c r="L86"/>
  <c r="L87"/>
  <c r="O87" s="1"/>
  <c r="P87" s="1"/>
  <c r="Q87" s="1"/>
  <c r="L88"/>
  <c r="O88" s="1"/>
  <c r="P88" s="1"/>
  <c r="Q88" s="1"/>
  <c r="L93"/>
  <c r="O93" s="1"/>
  <c r="P93" s="1"/>
  <c r="Q93" s="1"/>
  <c r="L94"/>
  <c r="L95"/>
  <c r="O95" s="1"/>
  <c r="P95" s="1"/>
  <c r="Q95" s="1"/>
  <c r="L11"/>
  <c r="O11" s="1"/>
  <c r="P11" s="1"/>
  <c r="Q11" s="1"/>
  <c r="O73" l="1"/>
  <c r="P73" s="1"/>
  <c r="Q73" s="1"/>
  <c r="O29"/>
  <c r="P29" s="1"/>
  <c r="Q29" s="1"/>
  <c r="O20"/>
  <c r="P20" s="1"/>
  <c r="Q20" s="1"/>
  <c r="O74"/>
  <c r="P74" s="1"/>
  <c r="Q74" s="1"/>
  <c r="O94"/>
  <c r="P94" s="1"/>
  <c r="Q94" s="1"/>
  <c r="O86"/>
  <c r="P86" s="1"/>
  <c r="Q86" s="1"/>
  <c r="O65"/>
  <c r="P65" s="1"/>
  <c r="Q65" s="1"/>
  <c r="O15"/>
  <c r="P15" s="1"/>
  <c r="Q15" s="1"/>
  <c r="O56"/>
  <c r="P56" s="1"/>
  <c r="Q56" s="1"/>
  <c r="O44"/>
  <c r="P44" s="1"/>
  <c r="Q44" s="1"/>
  <c r="O27"/>
  <c r="P27" s="1"/>
  <c r="Q27" s="1"/>
  <c r="L16"/>
  <c r="O57"/>
  <c r="P57" s="1"/>
  <c r="Q57" s="1"/>
  <c r="O51"/>
  <c r="P51" s="1"/>
  <c r="Q51" s="1"/>
  <c r="O49"/>
  <c r="P49" s="1"/>
  <c r="Q49" s="1"/>
  <c r="O43"/>
  <c r="P43" s="1"/>
  <c r="Q43" s="1"/>
  <c r="O28"/>
  <c r="P28" s="1"/>
  <c r="Q28" s="1"/>
  <c r="O21"/>
  <c r="P21" s="1"/>
  <c r="Q21" s="1"/>
  <c r="O19"/>
  <c r="P19" s="1"/>
  <c r="Q19" s="1"/>
  <c r="N16"/>
  <c r="M10"/>
  <c r="M9" s="1"/>
  <c r="N10"/>
  <c r="N9" s="1"/>
  <c r="O81"/>
  <c r="P81" s="1"/>
  <c r="Q81" s="1"/>
  <c r="O75"/>
  <c r="P75" s="1"/>
  <c r="Q75" s="1"/>
  <c r="L89"/>
  <c r="L31"/>
  <c r="L30" s="1"/>
  <c r="O30" s="1"/>
  <c r="P30" s="1"/>
  <c r="Q30" s="1"/>
  <c r="N22"/>
  <c r="O76"/>
  <c r="P76" s="1"/>
  <c r="Q76" s="1"/>
  <c r="L82"/>
  <c r="O82" s="1"/>
  <c r="P82" s="1"/>
  <c r="Q82" s="1"/>
  <c r="L67"/>
  <c r="O67" s="1"/>
  <c r="P67" s="1"/>
  <c r="Q67" s="1"/>
  <c r="O68"/>
  <c r="P68" s="1"/>
  <c r="Q68" s="1"/>
  <c r="L45"/>
  <c r="O45" s="1"/>
  <c r="P45" s="1"/>
  <c r="Q45" s="1"/>
  <c r="O46"/>
  <c r="P46" s="1"/>
  <c r="Q46" s="1"/>
  <c r="O38"/>
  <c r="O37" s="1"/>
  <c r="L37"/>
  <c r="L52"/>
  <c r="O52" s="1"/>
  <c r="P52" s="1"/>
  <c r="Q52" s="1"/>
  <c r="O53"/>
  <c r="P53" s="1"/>
  <c r="Q53" s="1"/>
  <c r="O31"/>
  <c r="P31" s="1"/>
  <c r="Q31" s="1"/>
  <c r="O69"/>
  <c r="P69" s="1"/>
  <c r="Q69" s="1"/>
  <c r="O39"/>
  <c r="P39" s="1"/>
  <c r="Q39" s="1"/>
  <c r="O32"/>
  <c r="P32" s="1"/>
  <c r="Q32" s="1"/>
  <c r="L10"/>
  <c r="L60"/>
  <c r="M16"/>
  <c r="O54"/>
  <c r="P54" s="1"/>
  <c r="Q54" s="1"/>
  <c r="O47"/>
  <c r="P47" s="1"/>
  <c r="Q47" s="1"/>
  <c r="M22"/>
  <c r="O24"/>
  <c r="P24" s="1"/>
  <c r="Q24" s="1"/>
  <c r="L23"/>
  <c r="L22" s="1"/>
  <c r="O26"/>
  <c r="P26" s="1"/>
  <c r="Q26" s="1"/>
  <c r="O23"/>
  <c r="P23" s="1"/>
  <c r="Q23" s="1"/>
  <c r="O17"/>
  <c r="P17" s="1"/>
  <c r="Q17" s="1"/>
  <c r="O89"/>
  <c r="P89" s="1"/>
  <c r="Q89" s="1"/>
  <c r="O18"/>
  <c r="P18" s="1"/>
  <c r="Q18" s="1"/>
  <c r="K12"/>
  <c r="K13"/>
  <c r="K14"/>
  <c r="K15"/>
  <c r="K16"/>
  <c r="K17"/>
  <c r="K18"/>
  <c r="K19"/>
  <c r="K20"/>
  <c r="K21"/>
  <c r="K22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11"/>
  <c r="O16" l="1"/>
  <c r="P16" s="1"/>
  <c r="Q16" s="1"/>
  <c r="P38"/>
  <c r="P37" s="1"/>
  <c r="O22"/>
  <c r="P22" s="1"/>
  <c r="Q22" s="1"/>
  <c r="L59"/>
  <c r="O59" s="1"/>
  <c r="P59" s="1"/>
  <c r="Q59" s="1"/>
  <c r="O60"/>
  <c r="P60" s="1"/>
  <c r="Q60" s="1"/>
  <c r="O10"/>
  <c r="P10" s="1"/>
  <c r="Q10" s="1"/>
  <c r="L9"/>
  <c r="O9" s="1"/>
  <c r="K23"/>
  <c r="Q38" l="1"/>
  <c r="Q37" s="1"/>
  <c r="P9"/>
  <c r="Q9"/>
  <c r="U210" i="3"/>
  <c r="U211" s="1"/>
  <c r="O210"/>
  <c r="O211" s="1"/>
  <c r="N211" l="1"/>
  <c r="N210"/>
  <c r="V210"/>
  <c r="V211" s="1"/>
  <c r="O231"/>
  <c r="O240" s="1"/>
  <c r="J230"/>
  <c r="U230" s="1"/>
  <c r="U231" s="1"/>
  <c r="U240" s="1"/>
  <c r="N230" l="1"/>
  <c r="V230"/>
  <c r="V231" s="1"/>
  <c r="V240" s="1"/>
  <c r="N231" l="1"/>
  <c r="N240" s="1"/>
  <c r="T212" i="4" l="1"/>
  <c r="U197"/>
  <c r="U212" s="1"/>
  <c r="M15" i="11"/>
  <c r="N15" s="1"/>
  <c r="M11"/>
  <c r="N11" s="1"/>
  <c r="W203" i="4" l="1"/>
  <c r="I17" i="11"/>
  <c r="J25" l="1"/>
  <c r="N17"/>
  <c r="O17" s="1"/>
</calcChain>
</file>

<file path=xl/comments1.xml><?xml version="1.0" encoding="utf-8"?>
<comments xmlns="http://schemas.openxmlformats.org/spreadsheetml/2006/main">
  <authors>
    <author>Бецку</author>
  </authors>
  <commentList>
    <comment ref="N16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6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3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3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4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4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-0,53</t>
        </r>
      </text>
    </comment>
    <comment ref="N49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49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6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71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71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81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81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89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89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97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97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105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05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-0,27</t>
        </r>
      </text>
    </comment>
    <comment ref="N113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13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<sst xmlns="http://schemas.openxmlformats.org/spreadsheetml/2006/main" count="3778" uniqueCount="349">
  <si>
    <t>Группы общеразвивающей направленности (за исключением малокомплектных образовательных организаций)</t>
  </si>
  <si>
    <t>Нормативные затраты на оказание муниципальных услуг (работ) на 2016-2018 гг</t>
  </si>
  <si>
    <t>Приложение 3</t>
  </si>
  <si>
    <t>Наименование учреждения</t>
  </si>
  <si>
    <t>Ед. изм. объема услуги</t>
  </si>
  <si>
    <t>Значение объема муниципальной услуги (работы)</t>
  </si>
  <si>
    <t>Базовый норматив затрат на единицу объема</t>
  </si>
  <si>
    <t>Нормативные затраты на оказание муниципальной услуги (работы)</t>
  </si>
  <si>
    <t>2016 год</t>
  </si>
  <si>
    <t>2017 год</t>
  </si>
  <si>
    <t>2018 год</t>
  </si>
  <si>
    <t>в т.ч. Местный бюджет</t>
  </si>
  <si>
    <t>Итого:</t>
  </si>
  <si>
    <t>в соответствии с реестром</t>
  </si>
  <si>
    <t>в соответствии с перечнем</t>
  </si>
  <si>
    <t>по ОКЕИ</t>
  </si>
  <si>
    <t>в натуральных показателях</t>
  </si>
  <si>
    <t>в рублях</t>
  </si>
  <si>
    <t>МБДОУ д/с № 4</t>
  </si>
  <si>
    <t>до 3 лет</t>
  </si>
  <si>
    <t>чел.</t>
  </si>
  <si>
    <t>32</t>
  </si>
  <si>
    <t>0</t>
  </si>
  <si>
    <t>0,00</t>
  </si>
  <si>
    <t>от 3 до 7 лет</t>
  </si>
  <si>
    <t>88</t>
  </si>
  <si>
    <t>Мат. база</t>
  </si>
  <si>
    <t>120</t>
  </si>
  <si>
    <r>
      <rPr>
        <b/>
        <sz val="11"/>
        <rFont val="Times New Roman"/>
        <family val="1"/>
        <charset val="204"/>
      </rPr>
      <t>Присмотр и уход</t>
    </r>
  </si>
  <si>
    <t>МБДОУ д/с № 5</t>
  </si>
  <si>
    <t>Группы общеразвивающей направленности, созданные в малокомплектных образовательных организациях</t>
  </si>
  <si>
    <t>группы</t>
  </si>
  <si>
    <t>3</t>
  </si>
  <si>
    <t>Административноуправленческий и учебновспомогательный персонал</t>
  </si>
  <si>
    <t>37</t>
  </si>
  <si>
    <t>МБДОУ д/с № 7</t>
  </si>
  <si>
    <t>29</t>
  </si>
  <si>
    <t>43</t>
  </si>
  <si>
    <t>Группы компенсирующей направленности (за исключением малокомплектных образовательных организаций)</t>
  </si>
  <si>
    <t>48</t>
  </si>
  <si>
    <t>МБДОУ д/с № 8</t>
  </si>
  <si>
    <t>19</t>
  </si>
  <si>
    <t>87</t>
  </si>
  <si>
    <t>106</t>
  </si>
  <si>
    <t>МБДОУ д/с № 9</t>
  </si>
  <si>
    <t>52</t>
  </si>
  <si>
    <t>93</t>
  </si>
  <si>
    <t>72</t>
  </si>
  <si>
    <t>217</t>
  </si>
  <si>
    <t>МБДОУ д/с № 10</t>
  </si>
  <si>
    <t>21</t>
  </si>
  <si>
    <t>Мат.база</t>
  </si>
  <si>
    <t>108</t>
  </si>
  <si>
    <t>МБДОУ д/с № 12</t>
  </si>
  <si>
    <t>41</t>
  </si>
  <si>
    <t>109</t>
  </si>
  <si>
    <t>150</t>
  </si>
  <si>
    <t>МБДОУ д/с № 13</t>
  </si>
  <si>
    <t>18</t>
  </si>
  <si>
    <t>95</t>
  </si>
  <si>
    <t>113</t>
  </si>
  <si>
    <t>МБДОУ д/с № 14</t>
  </si>
  <si>
    <t>45</t>
  </si>
  <si>
    <t>190</t>
  </si>
  <si>
    <t>235</t>
  </si>
  <si>
    <t>МБДОУ д/с № 15</t>
  </si>
  <si>
    <t>31</t>
  </si>
  <si>
    <t>140</t>
  </si>
  <si>
    <t>МБДОУ д/с № 18</t>
  </si>
  <si>
    <t>28</t>
  </si>
  <si>
    <t>112</t>
  </si>
  <si>
    <t>МАДОУ д/с№ 17</t>
  </si>
  <si>
    <t>47</t>
  </si>
  <si>
    <t>198</t>
  </si>
  <si>
    <t>245</t>
  </si>
  <si>
    <r>
      <rPr>
        <b/>
        <sz val="11"/>
        <rFont val="Times New Roman"/>
        <family val="1"/>
        <charset val="204"/>
      </rPr>
      <t>Присмотр н уход</t>
    </r>
  </si>
  <si>
    <t>Реализация основных общеобразовательных программ дошкольного образования</t>
  </si>
  <si>
    <t>Административно-управленческий и учебно-вспомогательный персонал</t>
  </si>
  <si>
    <t>Группы общеразвивающей направленности, в которых воспитанники посещают бассейн</t>
  </si>
  <si>
    <t>в т.ч. Краевой бюджет пед.персонал</t>
  </si>
  <si>
    <t>в т.ч. Краевой бюджет адм-упр.и уч.-вспом.  персонал</t>
  </si>
  <si>
    <t>Наименование услуги</t>
  </si>
  <si>
    <t>27113,68</t>
  </si>
  <si>
    <t>в т.ч. Краевой бюджет адм-упр.и уч.-вспом. Персонал,руб.</t>
  </si>
  <si>
    <t>в т.ч. Местный бюджет, руб.</t>
  </si>
  <si>
    <t>в т.ч. Краевой бюджет пед.персонал, руб.</t>
  </si>
  <si>
    <t>Наименование услуги и уникальный номер реестровой записи</t>
  </si>
  <si>
    <t>Форма организации обучения детей</t>
  </si>
  <si>
    <t>Всего:</t>
  </si>
  <si>
    <t>краевой норматив на общеобразовательные программы</t>
  </si>
  <si>
    <t>краевой норматив на административно-управленч. и учебно-вспомогат.персонал</t>
  </si>
  <si>
    <t>норматив финансирования из местного бюджета</t>
  </si>
  <si>
    <t>Всего на 2016 год:</t>
  </si>
  <si>
    <t>в т.ч на  общеобразовательные программы</t>
  </si>
  <si>
    <t>на содержание административно-управленч. и учебно-вспомогат.персонал</t>
  </si>
  <si>
    <t>за счет финансирования из местного бюджета</t>
  </si>
  <si>
    <t>2017 год, всего</t>
  </si>
  <si>
    <t>2018 год, всего</t>
  </si>
  <si>
    <t>МБОУ Школа №2 им.Ю.А.Гагарина</t>
  </si>
  <si>
    <t>Реализация основных общеобразовательных программ начального общего образования</t>
  </si>
  <si>
    <t>Обучение детей  в образовательных организациях, реализующих программы общего образования (k = 1)</t>
  </si>
  <si>
    <t>человек</t>
  </si>
  <si>
    <t>Инклюзивное обучение детей c ограниченными возможностями здоровья в общеобразовательных классах образовательных организаций (k = 9)</t>
  </si>
  <si>
    <t>Х</t>
  </si>
  <si>
    <t>х</t>
  </si>
  <si>
    <t>Индивидуальное обучение детей при наличии соответствующего медицинского заключения и детей-инвалидов на дому (k = 10) город</t>
  </si>
  <si>
    <t>итого по услуге: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</si>
  <si>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</si>
  <si>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</si>
  <si>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</si>
  <si>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(город)</t>
  </si>
  <si>
    <t>. 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</si>
  <si>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Всего по учреждению:</t>
  </si>
  <si>
    <t>МБОУ СОШ №4</t>
  </si>
  <si>
    <t>МБОУ СОШ №5</t>
  </si>
  <si>
    <t>МБОУ СОШ № 9</t>
  </si>
  <si>
    <t>МАОУ гимназия №10</t>
  </si>
  <si>
    <t>Обучение детей, находящихся на длительном лечении в медицинских учреждениях (индивидуальное, групповое) (k = 11)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</si>
  <si>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</si>
  <si>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МБОУ СОШ № 7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</si>
  <si>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</si>
  <si>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</si>
  <si>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2\46</t>
  </si>
  <si>
    <t>2\49</t>
  </si>
  <si>
    <t>642642,05- на 1 класс+20730,64 на 1 человека</t>
  </si>
  <si>
    <t>642642,05- на 1 класс+ 952,08- на 1 человека</t>
  </si>
  <si>
    <t>3857,41- на 1 человека</t>
  </si>
  <si>
    <t>15921,15- на 1 человека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</si>
  <si>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</si>
  <si>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4\61</t>
  </si>
  <si>
    <t>4\63</t>
  </si>
  <si>
    <t>604145,69 на 1 класс+ 20730,64 на 1 человека</t>
  </si>
  <si>
    <t>604145,69- на 1 класс+ 952,08 на 1 человека</t>
  </si>
  <si>
    <t>6\107</t>
  </si>
  <si>
    <t>6\109</t>
  </si>
  <si>
    <t>6\112</t>
  </si>
  <si>
    <t>3\66</t>
  </si>
  <si>
    <t>5\112</t>
  </si>
  <si>
    <t>955112,98- на 1 класс+ 20947,76 на 1 человека</t>
  </si>
  <si>
    <t>955112,98- на 1 класс+ 1169,2 на 1 человека</t>
  </si>
  <si>
    <t>3\47</t>
  </si>
  <si>
    <t>6\99</t>
  </si>
  <si>
    <t>756594,85 на 1 класс+ 20947,76 на 1 человека</t>
  </si>
  <si>
    <t>756594,85- на 1 класс+1169,2 на 1 человека</t>
  </si>
  <si>
    <t>. Индивидуальное обучение детей при наличии соответствующего медицинского заключения и детей-инвалидов на дому (k = 10) село</t>
  </si>
  <si>
    <t>6\113</t>
  </si>
  <si>
    <t>8\146</t>
  </si>
  <si>
    <t>9\174</t>
  </si>
  <si>
    <t>1\7</t>
  </si>
  <si>
    <t>2\17</t>
  </si>
  <si>
    <t>808407,62 на 1 класс+ 21146,23 на 1 человека</t>
  </si>
  <si>
    <t>808407,62 на 1 класс+1367,67 на 1 человека</t>
  </si>
  <si>
    <t>Форма организации обучения. Направленность групп</t>
  </si>
  <si>
    <t>к Приказу от 31.12.2015_№ 317</t>
  </si>
  <si>
    <t>2. Общеобразовательные учреждения</t>
  </si>
  <si>
    <t>1. Дошкольные образовательные учреждения</t>
  </si>
  <si>
    <t>3. Учреждения дополнительного образования детей (местный бюджет)</t>
  </si>
  <si>
    <t>МБОУ ДО "ДДТ"</t>
  </si>
  <si>
    <t xml:space="preserve">Реализация дополнительных общеразвивающих программ (учреждения дополнительного образования детей) </t>
  </si>
  <si>
    <t>Психолого-медико-педагогическое обследование детей</t>
  </si>
  <si>
    <t>МБОУ ДО "ДЭБС"</t>
  </si>
  <si>
    <t>Кочанова Марина Александровна (39144)3-09-14</t>
  </si>
  <si>
    <t>Группы комбинированной направленности (за исключением малокомплектных образовательных организаций), городской населенный пункт</t>
  </si>
  <si>
    <t>Инклюзивное обучение детей c ограниченными возможностями здоровья в общеобразовательных классах образовательных организаций (k = 9) в т.ч.:</t>
  </si>
  <si>
    <t>t=4</t>
  </si>
  <si>
    <t>t=6</t>
  </si>
  <si>
    <t>t=7</t>
  </si>
  <si>
    <t>t=8</t>
  </si>
  <si>
    <t>t=12</t>
  </si>
  <si>
    <t>t=5</t>
  </si>
  <si>
    <t>t=10</t>
  </si>
  <si>
    <t>t=2</t>
  </si>
  <si>
    <r>
      <t xml:space="preserve">Обучение детей  в образовательных организациях, реализующих программы общего образования </t>
    </r>
    <r>
      <rPr>
        <b/>
        <sz val="11"/>
        <color theme="1"/>
        <rFont val="Times New Roman"/>
        <family val="1"/>
        <charset val="204"/>
      </rPr>
      <t>математический класс</t>
    </r>
    <r>
      <rPr>
        <sz val="11"/>
        <color theme="1"/>
        <rFont val="Times New Roman"/>
        <family val="1"/>
        <charset val="204"/>
      </rPr>
      <t xml:space="preserve"> (k = 1)</t>
    </r>
  </si>
  <si>
    <t>Индивидуальное обучение детей при наличии соответствующего медицинского заключения и детей-инвалидов на дому (k = 10) село</t>
  </si>
  <si>
    <t>Обучение детей, находящихся на длительном лечении в медицинских учреждениях (индивидуальное, групповое) (k = 11) село</t>
  </si>
  <si>
    <t>Приложение № 3</t>
  </si>
  <si>
    <t>2019 год</t>
  </si>
  <si>
    <t>чел.-час.</t>
  </si>
  <si>
    <t>Чесалина Татьяна Викторовна (39144)3-16-33</t>
  </si>
  <si>
    <t>Разновозрастные группы общеразвивающей направленности (за исключением малокомплектных образовательных организаций)</t>
  </si>
  <si>
    <t>до 3 лет (b=3)</t>
  </si>
  <si>
    <t>от 3 до 7 лет (b=8)</t>
  </si>
  <si>
    <t>Группы комбинированной направленности, в которых воспитанники посещают бассейн</t>
  </si>
  <si>
    <t>2020 год</t>
  </si>
  <si>
    <t>2020 год, всего</t>
  </si>
  <si>
    <t>4001,99- на 1 человека</t>
  </si>
  <si>
    <t>Дополнительное образование детей в образовательных организациях, реализующих основные общеобразовательные программы (село)</t>
  </si>
  <si>
    <t>Дополнительное образование детей в образовательных организациях, реализующих основные общеобразовательные программы (город)</t>
  </si>
  <si>
    <t>3\34</t>
  </si>
  <si>
    <t>к Приказу от 27.12.2017 г. № 244</t>
  </si>
  <si>
    <t>t=9</t>
  </si>
  <si>
    <t>\</t>
  </si>
  <si>
    <t>3\67</t>
  </si>
  <si>
    <t>1\19</t>
  </si>
  <si>
    <t>628912,16- на 1 класс+ 1351,63 на 1 человека</t>
  </si>
  <si>
    <t>668575,57- на 1 класс+ 1351,63- на 1 человека</t>
  </si>
  <si>
    <t>787313,28- на 1 класс+1649,65 на 1 человека</t>
  </si>
  <si>
    <t>993246,10- на 1 класс+ 1649,65 на 1 человека</t>
  </si>
  <si>
    <t>4\86</t>
  </si>
  <si>
    <t>2\29</t>
  </si>
  <si>
    <t>841148,96 на 1 класс+1998,78 на 1 человека</t>
  </si>
  <si>
    <t>2\15</t>
  </si>
  <si>
    <t>6\116</t>
  </si>
  <si>
    <t>Приложение № 2</t>
  </si>
  <si>
    <t>к Приказу от 08.10.2018 г. №</t>
  </si>
  <si>
    <t>2021 год</t>
  </si>
  <si>
    <t>2019 год срзнач.</t>
  </si>
  <si>
    <t>Нормативные затраты на оказание муниципальных услуг (работ) на 2019-2021 гг.</t>
  </si>
  <si>
    <t>2019 год c 01.09.2019</t>
  </si>
  <si>
    <t>Всего на 2019 год:</t>
  </si>
  <si>
    <t>2021 год, всего</t>
  </si>
  <si>
    <t>2021год</t>
  </si>
  <si>
    <t xml:space="preserve">2019 год </t>
  </si>
  <si>
    <t>11625,23- на 1 человека</t>
  </si>
  <si>
    <t>668575,57- на 1 класс+16978,85 на 1 человека</t>
  </si>
  <si>
    <t>628912,16 на 1 класс+ 16978,85 на 1 человека</t>
  </si>
  <si>
    <t>993246,1- на 1 класс+ 17276,87 на 1 человека</t>
  </si>
  <si>
    <t>787313,28 на 1 класс+ 17276,87 на 1 человека</t>
  </si>
  <si>
    <t>841148,96 на 1 класс+ 17626,00 на 1 человека</t>
  </si>
  <si>
    <t>местный бюджет</t>
  </si>
  <si>
    <t>внебюджет</t>
  </si>
  <si>
    <t>в т.ч. ВНЕюджет, руб.</t>
  </si>
  <si>
    <t>МРОТ краевой</t>
  </si>
  <si>
    <t>МРОТ местный</t>
  </si>
  <si>
    <t>в т.ч. Краевой бюджет адм-упр.и уч.-вспом.  Персонал с коэффициентом</t>
  </si>
  <si>
    <t xml:space="preserve">Доплата до МРОТ </t>
  </si>
  <si>
    <t>краевой бюджет</t>
  </si>
  <si>
    <t>Доплата до МРОТ местный бюджет</t>
  </si>
  <si>
    <t>Доплата до МРОТ краевой бюджет</t>
  </si>
  <si>
    <t>Доплата до МРОТ</t>
  </si>
  <si>
    <t>Итого по учреждению:</t>
  </si>
  <si>
    <t>ВСЕГО:</t>
  </si>
  <si>
    <t>ИТОГО</t>
  </si>
  <si>
    <t>Гайлит Светлана Геннадьевна (39144)3-79-43</t>
  </si>
  <si>
    <t xml:space="preserve"> договоров (штук)</t>
  </si>
  <si>
    <t>Услуга 1</t>
  </si>
  <si>
    <t>Работа 1</t>
  </si>
  <si>
    <t>Реализация основных общеобразовательных программ начального общего образования 801012О.99.0.БА81АЭ92001; 801012О.99.0.БА81АА00001; 801012О.99.0.БА81АЮ16001</t>
  </si>
  <si>
    <t>Реализация основных общеобразовательных программ основного общего образования 802111О.99.0.БАЮ58001; 802111О.99.0.БА96АА00001; 802111О.99.0.БА96АЮ83001</t>
  </si>
  <si>
    <t>Реализация основных общеобразовательных программ среднего общего образования 802112О.99.0.ББ11АЮ58001; 802112О.99.0.ББ11АА00001; 802112О.99.0.ББ11АЮ83001</t>
  </si>
  <si>
    <t xml:space="preserve">Реализация дополнительных общеобразовательных общеразвивающих программ 801012О.99.0.ББ57АЕ52000; 804200О.99.0.ББ52АЕ76000; 804200О.99.0.ББ52АЕ04000; 804200О.99.0.ББ52АЖ24000  </t>
  </si>
  <si>
    <t>Реализация дополнительных общеразвивающих программ (естественно-научное направление) 804200О.99.0.ББ52АЕ28000; 804200О.99.0.ББ52АЕ28000</t>
  </si>
  <si>
    <t>Реализация дополнительных общеразвивающих программ (социально-педагогическое направление) 804200О.99.0.ББ52АЖ24000</t>
  </si>
  <si>
    <t>Реализация дополнительных общеразвивающих программ (техническое направление) 804200О.99.0.ББ52АЕ04000</t>
  </si>
  <si>
    <t>Реализация дополнительных общеразвивающих программ (физкультурно-спортивная) 804200О.99.0.ББ52АЕ52000</t>
  </si>
  <si>
    <t>Реализация дополнительных общеразвивающих программ (художественное направление) 804200О.99.0.ББ52АЕ76000</t>
  </si>
  <si>
    <t>Обеспечение доступа к объектам спорта(бассейн) Р.03.1.0026.0001.001</t>
  </si>
  <si>
    <t>801011О.99.0.БВ24ДП02000; 801011О.99.0.БВ24ДН82000; 801011О.99.0.БВ24ГД82000; 801011О.99.0.БВ24АУ02000; 801011О.99.0.БВ24АВ42000;</t>
  </si>
  <si>
    <t>853211О.99.0.БВ19АА68000; 853211О.99.0.БВ19АА56000; 853211О.99.0.БВ19АБ82000; 853211О.99.0.БВ19АА20000</t>
  </si>
  <si>
    <t>Обеспечение доступа к объектам спорта (спортзал) Р.03.1.0026.0001.001</t>
  </si>
  <si>
    <t>ИТОГО по  услуге :</t>
  </si>
  <si>
    <t>ИТОГО по  работе :</t>
  </si>
  <si>
    <t>12601,86- на 1 человека</t>
  </si>
  <si>
    <t>в т.ч. ВНЕбюджет, руб.</t>
  </si>
  <si>
    <t>Заочное обучение детей в образовательных организациях, реализующие основные общеобразовательные программы (k =14)</t>
  </si>
  <si>
    <t>Повышение оплаты труда до целевого показателя</t>
  </si>
  <si>
    <t>Дополнительное образование детей в образовательных организациях, реализующих основные общеобразовательные программы (дети, посещающие бассейн)</t>
  </si>
  <si>
    <t>Дополнительное образование детей в образовательных организациях, реализующих основные общеобразовательные программы (город) в т.ч.:</t>
  </si>
  <si>
    <t>АУП 4,3%</t>
  </si>
  <si>
    <t>молодой специалист</t>
  </si>
  <si>
    <t>Повышение на4,3%</t>
  </si>
  <si>
    <t>Молод спец-ты</t>
  </si>
  <si>
    <t>Нормативные затраты на оказание муниципальных услуг (работ) на 2020-2022 гг.</t>
  </si>
  <si>
    <t>2022 год</t>
  </si>
  <si>
    <t xml:space="preserve">2020 год </t>
  </si>
  <si>
    <t>Всего на 2020 год:</t>
  </si>
  <si>
    <t>2022 год, всего</t>
  </si>
  <si>
    <t>2020 год c 01.09.2020</t>
  </si>
  <si>
    <t>от 3 до 7 лет(b8)</t>
  </si>
  <si>
    <t>разновозрастные группы общеразвивающей направленности (за исключением малокомплектных образовательных организаций) (b13)</t>
  </si>
  <si>
    <t>от 3 до 7 лет (b8)</t>
  </si>
  <si>
    <t>разновозрастные группы (b13)</t>
  </si>
  <si>
    <t>до 3 лет (b3)</t>
  </si>
  <si>
    <t xml:space="preserve">К5 Группы общеразвивающей направленности, созданные в малокомплектных образовательных организациях </t>
  </si>
  <si>
    <t>К3 Группы комбинированной направленности (за исключением малокомплектных образовательных организаций), городской населенный пункт</t>
  </si>
  <si>
    <t>К1 Группы общеразвивающей направленности (за исключением малокомплектных образовательных организаций)</t>
  </si>
  <si>
    <t>К2 Группы компенсирующей направленности (за исключением малокомплектных образовательных организаций)</t>
  </si>
  <si>
    <t>К3 Группы комбинированной направленности (за исключением малокомплектных образовательных организаций)</t>
  </si>
  <si>
    <t>от 3 до 7 лет (b8) городской населенный пункт</t>
  </si>
  <si>
    <t>K1 Группы общеразвивающей направленности (за исключением малокомплектных образовательных организаций)</t>
  </si>
  <si>
    <t>K2 Группы компенсирующей направленности (за исключением малокомплектных образовательных организаций)</t>
  </si>
  <si>
    <t>K3 Группы комбинированной направленности (за исключением малокомплектных образовательных организаций), городской населенный пункт</t>
  </si>
  <si>
    <t>до 3 лет  (b3)</t>
  </si>
  <si>
    <t>K3 Разновозрастные группы общеразвивающей направленности (за исключением малокомплектных образовательных организаций)</t>
  </si>
  <si>
    <t>K2 Группы компенсирующей направленности для воспитанников с ограниченными возможностями здоровья (за исключением малокомплектных образовательных организаций)</t>
  </si>
  <si>
    <t>К11 Группы комбинированной направленности, в которых воспитанники посещают бассейн</t>
  </si>
  <si>
    <t>с 3 до 7 лет (b8)</t>
  </si>
  <si>
    <t>К9 Группы общеразвивающей направленности, в которых воспитанники посещают бассейн</t>
  </si>
  <si>
    <t>К=11 Группы комбинированной направленности, в которых воспитанники посещают бассейн</t>
  </si>
  <si>
    <t>К=3 Группы комбинированной направленности (за исключением малокомплектных образовательных организаций)</t>
  </si>
  <si>
    <t>Медведева Кира Георгиевна (39144)3-79-43</t>
  </si>
  <si>
    <t>Доплата до МРОТ(разница)</t>
  </si>
  <si>
    <t>На увелич.оплаты труда отдел.катег.раб.</t>
  </si>
  <si>
    <t>1\17</t>
  </si>
  <si>
    <t>4\85</t>
  </si>
  <si>
    <t>3\72</t>
  </si>
  <si>
    <t>3\44</t>
  </si>
  <si>
    <t>Приложение № 1</t>
  </si>
  <si>
    <t>Доплата до МРОТ разница</t>
  </si>
  <si>
    <t>2022год</t>
  </si>
  <si>
    <t>Краевая доплата пед.работ.</t>
  </si>
  <si>
    <t>к Приказу от 09.01.2020 г. № 1</t>
  </si>
  <si>
    <t>к Приказу от 09.01.2020 г. №  1</t>
  </si>
  <si>
    <t>t1/речь</t>
  </si>
  <si>
    <t>для ГАЛИ</t>
  </si>
  <si>
    <t>доп. субвенция на достижение целевого показателя за 1 квартал</t>
  </si>
  <si>
    <t>доп. субвенция на повышение з/п на 10 % с 01.06.2020 г.</t>
  </si>
  <si>
    <t>Доплата за кл.руководство</t>
  </si>
  <si>
    <t>Повышение 10% АУП</t>
  </si>
  <si>
    <t>Повышение на 10%</t>
  </si>
  <si>
    <t>Реализация дополнительных общеразвивающих программ (туристическо-краеведческое направление) 804200О.99.0.ББ52А368000</t>
  </si>
  <si>
    <t>норматив финансирования из местного бюджета, МРОТ</t>
  </si>
  <si>
    <t>МБОУ №2</t>
  </si>
  <si>
    <t>АУП</t>
  </si>
  <si>
    <t>пед.</t>
  </si>
  <si>
    <t>местн</t>
  </si>
  <si>
    <t>МБОУ №4</t>
  </si>
  <si>
    <t>МБОУ №5</t>
  </si>
  <si>
    <t>МБОУ №9</t>
  </si>
  <si>
    <t>МАОУ №10</t>
  </si>
  <si>
    <t>МБОУ №7</t>
  </si>
  <si>
    <t>10548,84- на 1 человека</t>
  </si>
  <si>
    <t>668575,57- на 1 класс+ 3817,68- на 1 человека</t>
  </si>
  <si>
    <t>628912,16- на 1 класс+ 3817,68 на 1 человека</t>
  </si>
  <si>
    <t>880020,0- на 1 класс+ 4110,78 на 1 человека</t>
  </si>
  <si>
    <t>787313,28- на 1 класс+4110,78 на 1 человека</t>
  </si>
  <si>
    <t>841148,96 на 1 класс+4454,15 на 1 человека</t>
  </si>
  <si>
    <t>668575,57- на 1 класс+25816,26 на 1 человека</t>
  </si>
  <si>
    <t>628912,16- на 1 класс+25816,26 на 1 человека</t>
  </si>
  <si>
    <t>880020,0- на 1 класс+ 26109,36 на 1 человека</t>
  </si>
  <si>
    <t>787313,28- на 1 класс+ 26109,36 на 1 человека</t>
  </si>
  <si>
    <t>841148,96 на 1 класс+ 26452,73 на 1 человека</t>
  </si>
  <si>
    <t>Присмотр и уход</t>
  </si>
  <si>
    <t>К1</t>
  </si>
  <si>
    <t xml:space="preserve">кол-во детей </t>
  </si>
  <si>
    <t>К3</t>
  </si>
  <si>
    <t>К5</t>
  </si>
  <si>
    <t>К2</t>
  </si>
  <si>
    <t>t6/зрение</t>
  </si>
  <si>
    <t>категории</t>
  </si>
  <si>
    <t>К9</t>
  </si>
  <si>
    <t>К11</t>
  </si>
  <si>
    <t>Молод спец</t>
  </si>
  <si>
    <t>ИТОГО:</t>
  </si>
  <si>
    <t>молод спец.</t>
  </si>
  <si>
    <t>молод спец</t>
  </si>
  <si>
    <t>20992,3- на 1 человека</t>
  </si>
  <si>
    <t>21070,3- на 1 человека</t>
  </si>
  <si>
    <t>к Приказу от 04.09.2020 г. № 131</t>
  </si>
</sst>
</file>

<file path=xl/styles.xml><?xml version="1.0" encoding="utf-8"?>
<styleSheet xmlns="http://schemas.openxmlformats.org/spreadsheetml/2006/main">
  <numFmts count="7">
    <numFmt numFmtId="164" formatCode="#,##0.0"/>
    <numFmt numFmtId="165" formatCode="0.000000"/>
    <numFmt numFmtId="166" formatCode="#,##0.000000000"/>
    <numFmt numFmtId="167" formatCode="#,##0.0000000000"/>
    <numFmt numFmtId="168" formatCode="#,##0.000000000000"/>
    <numFmt numFmtId="169" formatCode="0.00000000000"/>
    <numFmt numFmtId="170" formatCode="#,##0.00000"/>
  </numFmts>
  <fonts count="24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Times New Roman"/>
      <family val="1"/>
      <charset val="204"/>
    </font>
    <font>
      <sz val="11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6" fillId="0" borderId="3"/>
  </cellStyleXfs>
  <cellXfs count="355">
    <xf numFmtId="0" fontId="0" fillId="0" borderId="0" xfId="0"/>
    <xf numFmtId="0" fontId="0" fillId="0" borderId="1" xfId="0" applyBorder="1" applyAlignment="1">
      <alignment vertical="top"/>
    </xf>
    <xf numFmtId="0" fontId="1" fillId="0" borderId="0" xfId="0" applyFont="1"/>
    <xf numFmtId="0" fontId="1" fillId="0" borderId="3" xfId="0" applyFont="1" applyBorder="1" applyAlignment="1">
      <alignment vertical="top"/>
    </xf>
    <xf numFmtId="4" fontId="0" fillId="0" borderId="0" xfId="0" applyNumberFormat="1"/>
    <xf numFmtId="0" fontId="12" fillId="0" borderId="0" xfId="0" applyFont="1"/>
    <xf numFmtId="0" fontId="13" fillId="0" borderId="3" xfId="0" applyFont="1" applyBorder="1" applyAlignment="1">
      <alignment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4" fillId="3" borderId="4" xfId="0" applyFont="1" applyFill="1" applyBorder="1" applyAlignment="1">
      <alignment vertical="center" wrapText="1" readingOrder="1"/>
    </xf>
    <xf numFmtId="0" fontId="7" fillId="3" borderId="4" xfId="0" applyFont="1" applyFill="1" applyBorder="1" applyAlignment="1">
      <alignment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right" vertical="center" wrapText="1" readingOrder="1"/>
    </xf>
    <xf numFmtId="4" fontId="8" fillId="3" borderId="4" xfId="0" applyNumberFormat="1" applyFont="1" applyFill="1" applyBorder="1" applyAlignment="1">
      <alignment horizontal="center" vertical="center" wrapText="1" readingOrder="1"/>
    </xf>
    <xf numFmtId="4" fontId="4" fillId="3" borderId="4" xfId="0" applyNumberFormat="1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left" vertical="center"/>
    </xf>
    <xf numFmtId="2" fontId="9" fillId="3" borderId="4" xfId="0" applyNumberFormat="1" applyFont="1" applyFill="1" applyBorder="1" applyAlignment="1">
      <alignment horizontal="right" vertical="center" wrapText="1" readingOrder="1"/>
    </xf>
    <xf numFmtId="2" fontId="0" fillId="3" borderId="4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left" vertical="center" wrapText="1" readingOrder="1"/>
    </xf>
    <xf numFmtId="0" fontId="4" fillId="3" borderId="4" xfId="0" applyFont="1" applyFill="1" applyBorder="1" applyAlignment="1">
      <alignment horizontal="right" vertical="center" wrapText="1"/>
    </xf>
    <xf numFmtId="4" fontId="4" fillId="3" borderId="4" xfId="0" applyNumberFormat="1" applyFont="1" applyFill="1" applyBorder="1" applyAlignment="1">
      <alignment horizontal="right" vertical="center" wrapText="1"/>
    </xf>
    <xf numFmtId="0" fontId="7" fillId="3" borderId="4" xfId="0" applyFont="1" applyFill="1" applyBorder="1"/>
    <xf numFmtId="0" fontId="7" fillId="3" borderId="4" xfId="0" applyFont="1" applyFill="1" applyBorder="1" applyAlignment="1">
      <alignment horizontal="right"/>
    </xf>
    <xf numFmtId="0" fontId="11" fillId="3" borderId="4" xfId="0" applyFont="1" applyFill="1" applyBorder="1" applyAlignment="1">
      <alignment horizontal="right"/>
    </xf>
    <xf numFmtId="2" fontId="11" fillId="3" borderId="4" xfId="0" applyNumberFormat="1" applyFont="1" applyFill="1" applyBorder="1"/>
    <xf numFmtId="0" fontId="11" fillId="3" borderId="4" xfId="0" applyFont="1" applyFill="1" applyBorder="1"/>
    <xf numFmtId="0" fontId="11" fillId="3" borderId="4" xfId="0" applyFont="1" applyFill="1" applyBorder="1" applyAlignment="1"/>
    <xf numFmtId="4" fontId="11" fillId="3" borderId="4" xfId="0" applyNumberFormat="1" applyFont="1" applyFill="1" applyBorder="1"/>
    <xf numFmtId="17" fontId="4" fillId="3" borderId="4" xfId="0" applyNumberFormat="1" applyFont="1" applyFill="1" applyBorder="1" applyAlignment="1">
      <alignment horizontal="right" vertical="center" wrapText="1" readingOrder="1"/>
    </xf>
    <xf numFmtId="2" fontId="8" fillId="3" borderId="4" xfId="0" applyNumberFormat="1" applyFont="1" applyFill="1" applyBorder="1" applyAlignment="1">
      <alignment horizontal="center" vertical="center" wrapText="1" readingOrder="1"/>
    </xf>
    <xf numFmtId="4" fontId="0" fillId="3" borderId="4" xfId="0" applyNumberFormat="1" applyFont="1" applyFill="1" applyBorder="1" applyAlignment="1">
      <alignment horizontal="right" vertical="center"/>
    </xf>
    <xf numFmtId="17" fontId="4" fillId="3" borderId="4" xfId="0" applyNumberFormat="1" applyFont="1" applyFill="1" applyBorder="1" applyAlignment="1">
      <alignment horizontal="right" vertical="center" wrapText="1"/>
    </xf>
    <xf numFmtId="0" fontId="0" fillId="3" borderId="4" xfId="0" applyFill="1" applyBorder="1" applyAlignment="1">
      <alignment horizontal="right" vertical="center"/>
    </xf>
    <xf numFmtId="2" fontId="7" fillId="3" borderId="4" xfId="0" applyNumberFormat="1" applyFont="1" applyFill="1" applyBorder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top"/>
    </xf>
    <xf numFmtId="4" fontId="1" fillId="3" borderId="4" xfId="0" applyNumberFormat="1" applyFont="1" applyFill="1" applyBorder="1" applyAlignment="1">
      <alignment horizontal="right"/>
    </xf>
    <xf numFmtId="0" fontId="2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vertical="top" indent="2"/>
    </xf>
    <xf numFmtId="0" fontId="7" fillId="3" borderId="4" xfId="2" applyFont="1" applyFill="1" applyBorder="1" applyAlignment="1">
      <alignment horizontal="center" vertical="top" wrapText="1"/>
    </xf>
    <xf numFmtId="0" fontId="14" fillId="0" borderId="0" xfId="0" applyFont="1"/>
    <xf numFmtId="0" fontId="15" fillId="0" borderId="0" xfId="0" applyFont="1"/>
    <xf numFmtId="4" fontId="1" fillId="3" borderId="4" xfId="0" applyNumberFormat="1" applyFont="1" applyFill="1" applyBorder="1" applyAlignment="1">
      <alignment horizontal="left" vertical="top"/>
    </xf>
    <xf numFmtId="0" fontId="1" fillId="3" borderId="4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/>
    <xf numFmtId="3" fontId="4" fillId="0" borderId="4" xfId="0" applyNumberFormat="1" applyFont="1" applyFill="1" applyBorder="1" applyAlignment="1">
      <alignment horizontal="right" wrapText="1"/>
    </xf>
    <xf numFmtId="3" fontId="7" fillId="0" borderId="4" xfId="0" applyNumberFormat="1" applyFont="1" applyFill="1" applyBorder="1" applyAlignment="1"/>
    <xf numFmtId="0" fontId="7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3" fontId="9" fillId="0" borderId="4" xfId="0" applyNumberFormat="1" applyFont="1" applyFill="1" applyBorder="1" applyAlignment="1">
      <alignment horizontal="right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 readingOrder="1"/>
    </xf>
    <xf numFmtId="3" fontId="1" fillId="0" borderId="4" xfId="0" applyNumberFormat="1" applyFont="1" applyFill="1" applyBorder="1" applyAlignment="1">
      <alignment horizontal="left"/>
    </xf>
    <xf numFmtId="0" fontId="11" fillId="0" borderId="4" xfId="0" applyFont="1" applyFill="1" applyBorder="1"/>
    <xf numFmtId="4" fontId="8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right" wrapText="1"/>
    </xf>
    <xf numFmtId="4" fontId="1" fillId="0" borderId="4" xfId="0" applyNumberFormat="1" applyFont="1" applyFill="1" applyBorder="1" applyAlignment="1">
      <alignment horizontal="left"/>
    </xf>
    <xf numFmtId="4" fontId="7" fillId="0" borderId="4" xfId="0" applyNumberFormat="1" applyFont="1" applyFill="1" applyBorder="1" applyAlignment="1">
      <alignment horizontal="right"/>
    </xf>
    <xf numFmtId="4" fontId="7" fillId="0" borderId="4" xfId="0" applyNumberFormat="1" applyFont="1" applyFill="1" applyBorder="1" applyAlignment="1"/>
    <xf numFmtId="4" fontId="1" fillId="0" borderId="4" xfId="0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vertical="top" wrapText="1"/>
    </xf>
    <xf numFmtId="3" fontId="7" fillId="0" borderId="4" xfId="0" applyNumberFormat="1" applyFont="1" applyFill="1" applyBorder="1" applyAlignment="1">
      <alignment horizontal="right"/>
    </xf>
    <xf numFmtId="4" fontId="2" fillId="0" borderId="4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1" fillId="0" borderId="0" xfId="0" applyFont="1" applyFill="1"/>
    <xf numFmtId="0" fontId="2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0" fontId="1" fillId="0" borderId="4" xfId="0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left" vertical="top"/>
    </xf>
    <xf numFmtId="3" fontId="2" fillId="0" borderId="4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vertical="top" indent="2"/>
    </xf>
    <xf numFmtId="0" fontId="1" fillId="0" borderId="4" xfId="0" applyFont="1" applyFill="1" applyBorder="1" applyAlignment="1">
      <alignment horizontal="left" vertical="top" indent="2"/>
    </xf>
    <xf numFmtId="0" fontId="2" fillId="0" borderId="0" xfId="0" applyFont="1" applyFill="1"/>
    <xf numFmtId="0" fontId="1" fillId="0" borderId="4" xfId="0" applyFont="1" applyFill="1" applyBorder="1" applyAlignment="1">
      <alignment horizontal="left"/>
    </xf>
    <xf numFmtId="0" fontId="4" fillId="0" borderId="4" xfId="0" applyFont="1" applyFill="1" applyBorder="1" applyAlignment="1">
      <alignment vertical="center" wrapText="1" readingOrder="1"/>
    </xf>
    <xf numFmtId="3" fontId="4" fillId="0" borderId="4" xfId="0" applyNumberFormat="1" applyFont="1" applyFill="1" applyBorder="1" applyAlignment="1">
      <alignment wrapText="1"/>
    </xf>
    <xf numFmtId="4" fontId="1" fillId="0" borderId="4" xfId="0" applyNumberFormat="1" applyFont="1" applyFill="1" applyBorder="1" applyAlignment="1">
      <alignment horizontal="center"/>
    </xf>
    <xf numFmtId="0" fontId="11" fillId="0" borderId="4" xfId="0" applyFont="1" applyFill="1" applyBorder="1" applyAlignment="1"/>
    <xf numFmtId="3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left" wrapText="1"/>
    </xf>
    <xf numFmtId="0" fontId="1" fillId="0" borderId="5" xfId="0" applyFont="1" applyFill="1" applyBorder="1" applyAlignment="1"/>
    <xf numFmtId="4" fontId="8" fillId="0" borderId="4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top"/>
    </xf>
    <xf numFmtId="4" fontId="9" fillId="0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right" wrapText="1"/>
    </xf>
    <xf numFmtId="3" fontId="7" fillId="3" borderId="4" xfId="0" applyNumberFormat="1" applyFont="1" applyFill="1" applyBorder="1" applyAlignment="1"/>
    <xf numFmtId="3" fontId="4" fillId="3" borderId="4" xfId="0" applyNumberFormat="1" applyFont="1" applyFill="1" applyBorder="1" applyAlignment="1">
      <alignment horizontal="right" wrapText="1"/>
    </xf>
    <xf numFmtId="165" fontId="1" fillId="0" borderId="0" xfId="0" applyNumberFormat="1" applyFont="1" applyFill="1"/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indent="2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4" fontId="2" fillId="0" borderId="4" xfId="0" applyNumberFormat="1" applyFont="1" applyFill="1" applyBorder="1" applyAlignment="1"/>
    <xf numFmtId="0" fontId="1" fillId="0" borderId="4" xfId="1" applyFont="1" applyFill="1" applyBorder="1" applyAlignment="1">
      <alignment horizontal="center" vertical="top" wrapText="1"/>
    </xf>
    <xf numFmtId="4" fontId="11" fillId="3" borderId="4" xfId="0" applyNumberFormat="1" applyFont="1" applyFill="1" applyBorder="1" applyAlignment="1"/>
    <xf numFmtId="0" fontId="1" fillId="0" borderId="4" xfId="0" applyFont="1" applyFill="1" applyBorder="1" applyAlignment="1">
      <alignment horizontal="left" vertical="center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4" borderId="4" xfId="0" applyNumberFormat="1" applyFont="1" applyFill="1" applyBorder="1" applyAlignment="1">
      <alignment horizontal="right" wrapText="1"/>
    </xf>
    <xf numFmtId="4" fontId="8" fillId="4" borderId="4" xfId="0" applyNumberFormat="1" applyFont="1" applyFill="1" applyBorder="1" applyAlignment="1">
      <alignment horizontal="right" wrapText="1"/>
    </xf>
    <xf numFmtId="4" fontId="1" fillId="4" borderId="4" xfId="0" applyNumberFormat="1" applyFont="1" applyFill="1" applyBorder="1" applyAlignment="1">
      <alignment horizontal="right"/>
    </xf>
    <xf numFmtId="4" fontId="7" fillId="4" borderId="4" xfId="0" applyNumberFormat="1" applyFont="1" applyFill="1" applyBorder="1" applyAlignment="1">
      <alignment horizontal="right"/>
    </xf>
    <xf numFmtId="4" fontId="16" fillId="0" borderId="4" xfId="0" applyNumberFormat="1" applyFont="1" applyFill="1" applyBorder="1" applyAlignment="1">
      <alignment horizontal="left"/>
    </xf>
    <xf numFmtId="4" fontId="8" fillId="5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right"/>
    </xf>
    <xf numFmtId="164" fontId="4" fillId="0" borderId="4" xfId="0" applyNumberFormat="1" applyFont="1" applyFill="1" applyBorder="1" applyAlignment="1">
      <alignment horizontal="right" wrapText="1"/>
    </xf>
    <xf numFmtId="3" fontId="4" fillId="0" borderId="4" xfId="0" applyNumberFormat="1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vertical="center" wrapText="1"/>
    </xf>
    <xf numFmtId="4" fontId="2" fillId="5" borderId="4" xfId="0" applyNumberFormat="1" applyFont="1" applyFill="1" applyBorder="1" applyAlignment="1">
      <alignment horizontal="right"/>
    </xf>
    <xf numFmtId="4" fontId="1" fillId="6" borderId="4" xfId="0" applyNumberFormat="1" applyFont="1" applyFill="1" applyBorder="1" applyAlignment="1">
      <alignment horizontal="right"/>
    </xf>
    <xf numFmtId="4" fontId="8" fillId="5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left"/>
    </xf>
    <xf numFmtId="0" fontId="1" fillId="5" borderId="4" xfId="1" applyFont="1" applyFill="1" applyBorder="1" applyAlignment="1">
      <alignment horizontal="center" vertical="top" wrapText="1"/>
    </xf>
    <xf numFmtId="0" fontId="7" fillId="5" borderId="4" xfId="0" applyFont="1" applyFill="1" applyBorder="1" applyAlignment="1">
      <alignment wrapText="1"/>
    </xf>
    <xf numFmtId="0" fontId="4" fillId="5" borderId="4" xfId="0" applyFont="1" applyFill="1" applyBorder="1" applyAlignment="1">
      <alignment horizontal="left" vertical="center" wrapText="1"/>
    </xf>
    <xf numFmtId="3" fontId="7" fillId="5" borderId="4" xfId="0" applyNumberFormat="1" applyFont="1" applyFill="1" applyBorder="1" applyAlignment="1"/>
    <xf numFmtId="3" fontId="4" fillId="5" borderId="4" xfId="0" applyNumberFormat="1" applyFont="1" applyFill="1" applyBorder="1" applyAlignment="1">
      <alignment horizontal="right" wrapText="1"/>
    </xf>
    <xf numFmtId="4" fontId="1" fillId="7" borderId="4" xfId="0" applyNumberFormat="1" applyFont="1" applyFill="1" applyBorder="1" applyAlignment="1">
      <alignment horizontal="right"/>
    </xf>
    <xf numFmtId="4" fontId="7" fillId="5" borderId="4" xfId="0" applyNumberFormat="1" applyFont="1" applyFill="1" applyBorder="1" applyAlignment="1">
      <alignment horizontal="right"/>
    </xf>
    <xf numFmtId="0" fontId="1" fillId="5" borderId="4" xfId="0" applyFont="1" applyFill="1" applyBorder="1" applyAlignment="1">
      <alignment horizontal="right"/>
    </xf>
    <xf numFmtId="0" fontId="1" fillId="7" borderId="4" xfId="0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4" fontId="2" fillId="6" borderId="4" xfId="0" applyNumberFormat="1" applyFont="1" applyFill="1" applyBorder="1" applyAlignment="1">
      <alignment horizontal="right"/>
    </xf>
    <xf numFmtId="0" fontId="1" fillId="0" borderId="4" xfId="0" applyFont="1" applyFill="1" applyBorder="1"/>
    <xf numFmtId="0" fontId="1" fillId="0" borderId="4" xfId="0" applyFont="1" applyFill="1" applyBorder="1" applyAlignment="1">
      <alignment horizontal="right"/>
    </xf>
    <xf numFmtId="0" fontId="2" fillId="0" borderId="4" xfId="0" applyFont="1" applyFill="1" applyBorder="1"/>
    <xf numFmtId="0" fontId="2" fillId="0" borderId="4" xfId="0" applyFont="1" applyFill="1" applyBorder="1" applyAlignment="1">
      <alignment horizontal="left" vertical="center"/>
    </xf>
    <xf numFmtId="0" fontId="1" fillId="0" borderId="3" xfId="0" applyFont="1" applyFill="1" applyBorder="1"/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0" fontId="7" fillId="0" borderId="4" xfId="2" applyFont="1" applyFill="1" applyBorder="1" applyAlignment="1">
      <alignment horizontal="center" vertical="top" wrapText="1"/>
    </xf>
    <xf numFmtId="2" fontId="1" fillId="0" borderId="4" xfId="0" applyNumberFormat="1" applyFont="1" applyFill="1" applyBorder="1" applyAlignment="1">
      <alignment horizontal="right"/>
    </xf>
    <xf numFmtId="0" fontId="7" fillId="0" borderId="4" xfId="2" applyFont="1" applyFill="1" applyBorder="1" applyAlignment="1">
      <alignment horizontal="center" vertical="top" wrapText="1"/>
    </xf>
    <xf numFmtId="4" fontId="2" fillId="0" borderId="0" xfId="0" applyNumberFormat="1" applyFont="1" applyFill="1"/>
    <xf numFmtId="3" fontId="1" fillId="0" borderId="0" xfId="0" applyNumberFormat="1" applyFont="1" applyFill="1"/>
    <xf numFmtId="0" fontId="1" fillId="3" borderId="0" xfId="0" applyFont="1" applyFill="1"/>
    <xf numFmtId="4" fontId="1" fillId="3" borderId="4" xfId="0" applyNumberFormat="1" applyFont="1" applyFill="1" applyBorder="1" applyAlignment="1">
      <alignment horizontal="left"/>
    </xf>
    <xf numFmtId="4" fontId="7" fillId="3" borderId="4" xfId="0" applyNumberFormat="1" applyFont="1" applyFill="1" applyBorder="1" applyAlignment="1"/>
    <xf numFmtId="0" fontId="1" fillId="3" borderId="3" xfId="0" applyFont="1" applyFill="1" applyBorder="1" applyAlignment="1">
      <alignment vertical="top"/>
    </xf>
    <xf numFmtId="4" fontId="1" fillId="3" borderId="0" xfId="0" applyNumberFormat="1" applyFont="1" applyFill="1"/>
    <xf numFmtId="0" fontId="1" fillId="5" borderId="0" xfId="0" applyFont="1" applyFill="1"/>
    <xf numFmtId="4" fontId="1" fillId="3" borderId="3" xfId="0" applyNumberFormat="1" applyFont="1" applyFill="1" applyBorder="1"/>
    <xf numFmtId="0" fontId="1" fillId="3" borderId="4" xfId="0" applyFont="1" applyFill="1" applyBorder="1" applyAlignment="1">
      <alignment horizontal="left" vertical="center"/>
    </xf>
    <xf numFmtId="3" fontId="1" fillId="3" borderId="4" xfId="0" applyNumberFormat="1" applyFont="1" applyFill="1" applyBorder="1" applyAlignment="1">
      <alignment horizontal="center"/>
    </xf>
    <xf numFmtId="4" fontId="2" fillId="3" borderId="4" xfId="0" applyNumberFormat="1" applyFont="1" applyFill="1" applyBorder="1" applyAlignment="1">
      <alignment horizontal="right"/>
    </xf>
    <xf numFmtId="0" fontId="1" fillId="3" borderId="3" xfId="0" applyFont="1" applyFill="1" applyBorder="1"/>
    <xf numFmtId="0" fontId="2" fillId="3" borderId="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 wrapText="1"/>
    </xf>
    <xf numFmtId="3" fontId="1" fillId="3" borderId="4" xfId="0" applyNumberFormat="1" applyFont="1" applyFill="1" applyBorder="1" applyAlignment="1">
      <alignment horizontal="right"/>
    </xf>
    <xf numFmtId="3" fontId="2" fillId="3" borderId="4" xfId="0" applyNumberFormat="1" applyFont="1" applyFill="1" applyBorder="1" applyAlignment="1">
      <alignment horizontal="right"/>
    </xf>
    <xf numFmtId="3" fontId="17" fillId="3" borderId="4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1" fillId="0" borderId="3" xfId="0" applyNumberFormat="1" applyFont="1" applyFill="1" applyBorder="1"/>
    <xf numFmtId="166" fontId="1" fillId="0" borderId="3" xfId="0" applyNumberFormat="1" applyFont="1" applyFill="1" applyBorder="1"/>
    <xf numFmtId="0" fontId="1" fillId="0" borderId="3" xfId="0" applyFont="1" applyFill="1" applyBorder="1" applyAlignment="1">
      <alignment vertical="center"/>
    </xf>
    <xf numFmtId="4" fontId="1" fillId="7" borderId="3" xfId="0" applyNumberFormat="1" applyFont="1" applyFill="1" applyBorder="1"/>
    <xf numFmtId="0" fontId="11" fillId="0" borderId="4" xfId="0" applyFont="1" applyFill="1" applyBorder="1" applyAlignment="1">
      <alignment wrapText="1"/>
    </xf>
    <xf numFmtId="0" fontId="1" fillId="3" borderId="9" xfId="0" applyFont="1" applyFill="1" applyBorder="1" applyAlignment="1">
      <alignment vertical="center" wrapText="1"/>
    </xf>
    <xf numFmtId="0" fontId="1" fillId="3" borderId="10" xfId="0" applyFont="1" applyFill="1" applyBorder="1" applyAlignment="1">
      <alignment vertical="center" wrapText="1"/>
    </xf>
    <xf numFmtId="3" fontId="4" fillId="3" borderId="4" xfId="0" applyNumberFormat="1" applyFont="1" applyFill="1" applyBorder="1" applyAlignment="1">
      <alignment horizontal="center" vertical="center" wrapText="1"/>
    </xf>
    <xf numFmtId="3" fontId="20" fillId="3" borderId="4" xfId="0" applyNumberFormat="1" applyFont="1" applyFill="1" applyBorder="1" applyAlignment="1">
      <alignment horizontal="center"/>
    </xf>
    <xf numFmtId="4" fontId="8" fillId="3" borderId="4" xfId="0" applyNumberFormat="1" applyFont="1" applyFill="1" applyBorder="1" applyAlignment="1"/>
    <xf numFmtId="4" fontId="8" fillId="3" borderId="4" xfId="0" applyNumberFormat="1" applyFont="1" applyFill="1" applyBorder="1" applyAlignment="1">
      <alignment horizontal="right"/>
    </xf>
    <xf numFmtId="3" fontId="1" fillId="3" borderId="4" xfId="0" applyNumberFormat="1" applyFont="1" applyFill="1" applyBorder="1" applyAlignment="1">
      <alignment horizontal="left"/>
    </xf>
    <xf numFmtId="3" fontId="2" fillId="3" borderId="4" xfId="0" applyNumberFormat="1" applyFont="1" applyFill="1" applyBorder="1" applyAlignment="1">
      <alignment horizontal="left"/>
    </xf>
    <xf numFmtId="4" fontId="2" fillId="3" borderId="4" xfId="0" applyNumberFormat="1" applyFont="1" applyFill="1" applyBorder="1" applyAlignment="1"/>
    <xf numFmtId="0" fontId="13" fillId="0" borderId="3" xfId="0" applyFont="1" applyFill="1" applyBorder="1" applyAlignment="1">
      <alignment vertical="top"/>
    </xf>
    <xf numFmtId="164" fontId="1" fillId="3" borderId="4" xfId="0" applyNumberFormat="1" applyFont="1" applyFill="1" applyBorder="1" applyAlignment="1">
      <alignment horizontal="right"/>
    </xf>
    <xf numFmtId="167" fontId="1" fillId="0" borderId="3" xfId="0" applyNumberFormat="1" applyFont="1" applyFill="1" applyBorder="1"/>
    <xf numFmtId="168" fontId="1" fillId="0" borderId="3" xfId="0" applyNumberFormat="1" applyFont="1" applyFill="1" applyBorder="1"/>
    <xf numFmtId="3" fontId="21" fillId="3" borderId="3" xfId="0" applyNumberFormat="1" applyFont="1" applyFill="1" applyBorder="1" applyAlignment="1">
      <alignment horizontal="center"/>
    </xf>
    <xf numFmtId="0" fontId="1" fillId="3" borderId="4" xfId="0" applyFont="1" applyFill="1" applyBorder="1" applyAlignment="1">
      <alignment horizontal="right"/>
    </xf>
    <xf numFmtId="0" fontId="1" fillId="0" borderId="5" xfId="0" applyFont="1" applyFill="1" applyBorder="1" applyAlignment="1">
      <alignment horizontal="center" wrapText="1"/>
    </xf>
    <xf numFmtId="169" fontId="1" fillId="0" borderId="3" xfId="0" applyNumberFormat="1" applyFont="1" applyFill="1" applyBorder="1"/>
    <xf numFmtId="0" fontId="11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vertical="center"/>
    </xf>
    <xf numFmtId="4" fontId="1" fillId="0" borderId="4" xfId="0" applyNumberFormat="1" applyFont="1" applyFill="1" applyBorder="1"/>
    <xf numFmtId="4" fontId="1" fillId="0" borderId="8" xfId="0" applyNumberFormat="1" applyFont="1" applyFill="1" applyBorder="1"/>
    <xf numFmtId="3" fontId="22" fillId="0" borderId="4" xfId="0" applyNumberFormat="1" applyFont="1" applyFill="1" applyBorder="1"/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3" borderId="4" xfId="0" applyFont="1" applyFill="1" applyBorder="1"/>
    <xf numFmtId="0" fontId="1" fillId="3" borderId="7" xfId="0" applyFont="1" applyFill="1" applyBorder="1"/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right" vertical="center"/>
    </xf>
    <xf numFmtId="4" fontId="1" fillId="3" borderId="4" xfId="0" applyNumberFormat="1" applyFont="1" applyFill="1" applyBorder="1"/>
    <xf numFmtId="0" fontId="1" fillId="3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right" vertical="center" wrapText="1"/>
    </xf>
    <xf numFmtId="0" fontId="1" fillId="3" borderId="7" xfId="0" applyFont="1" applyFill="1" applyBorder="1" applyAlignment="1">
      <alignment horizontal="center" vertical="center"/>
    </xf>
    <xf numFmtId="0" fontId="23" fillId="3" borderId="4" xfId="0" applyFont="1" applyFill="1" applyBorder="1" applyAlignment="1">
      <alignment horizontal="center" vertical="center"/>
    </xf>
    <xf numFmtId="0" fontId="23" fillId="3" borderId="7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top" indent="2"/>
    </xf>
    <xf numFmtId="0" fontId="1" fillId="8" borderId="4" xfId="0" applyFont="1" applyFill="1" applyBorder="1" applyAlignment="1">
      <alignment horizontal="center" vertical="center" wrapText="1"/>
    </xf>
    <xf numFmtId="0" fontId="1" fillId="8" borderId="4" xfId="0" applyFont="1" applyFill="1" applyBorder="1" applyAlignment="1">
      <alignment horizontal="left" vertical="center"/>
    </xf>
    <xf numFmtId="0" fontId="1" fillId="8" borderId="0" xfId="0" applyFont="1" applyFill="1"/>
    <xf numFmtId="0" fontId="1" fillId="3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3" fontId="4" fillId="0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vertical="center" wrapText="1"/>
    </xf>
    <xf numFmtId="0" fontId="1" fillId="3" borderId="0" xfId="0" applyFont="1" applyFill="1" applyAlignment="1">
      <alignment horizontal="center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/>
    <xf numFmtId="2" fontId="1" fillId="3" borderId="3" xfId="0" applyNumberFormat="1" applyFont="1" applyFill="1" applyBorder="1"/>
    <xf numFmtId="3" fontId="1" fillId="3" borderId="4" xfId="0" applyNumberFormat="1" applyFont="1" applyFill="1" applyBorder="1"/>
    <xf numFmtId="3" fontId="23" fillId="3" borderId="4" xfId="0" applyNumberFormat="1" applyFont="1" applyFill="1" applyBorder="1"/>
    <xf numFmtId="170" fontId="1" fillId="0" borderId="3" xfId="0" applyNumberFormat="1" applyFont="1" applyFill="1" applyBorder="1"/>
    <xf numFmtId="2" fontId="1" fillId="0" borderId="3" xfId="0" applyNumberFormat="1" applyFont="1" applyFill="1" applyBorder="1"/>
    <xf numFmtId="4" fontId="4" fillId="3" borderId="4" xfId="0" applyNumberFormat="1" applyFont="1" applyFill="1" applyBorder="1" applyAlignment="1">
      <alignment horizontal="center" wrapText="1"/>
    </xf>
    <xf numFmtId="4" fontId="4" fillId="3" borderId="4" xfId="0" applyNumberFormat="1" applyFont="1" applyFill="1" applyBorder="1" applyAlignment="1">
      <alignment horizontal="right" wrapText="1"/>
    </xf>
    <xf numFmtId="4" fontId="1" fillId="3" borderId="4" xfId="0" applyNumberFormat="1" applyFont="1" applyFill="1" applyBorder="1" applyAlignment="1">
      <alignment horizontal="center"/>
    </xf>
    <xf numFmtId="4" fontId="7" fillId="3" borderId="4" xfId="0" applyNumberFormat="1" applyFont="1" applyFill="1" applyBorder="1" applyAlignment="1">
      <alignment horizontal="right"/>
    </xf>
    <xf numFmtId="4" fontId="16" fillId="3" borderId="4" xfId="0" applyNumberFormat="1" applyFont="1" applyFill="1" applyBorder="1" applyAlignment="1">
      <alignment horizontal="left"/>
    </xf>
    <xf numFmtId="4" fontId="9" fillId="3" borderId="4" xfId="0" applyNumberFormat="1" applyFont="1" applyFill="1" applyBorder="1" applyAlignment="1">
      <alignment horizontal="right" wrapText="1"/>
    </xf>
    <xf numFmtId="4" fontId="2" fillId="3" borderId="4" xfId="0" applyNumberFormat="1" applyFont="1" applyFill="1" applyBorder="1"/>
    <xf numFmtId="2" fontId="1" fillId="3" borderId="0" xfId="0" applyNumberFormat="1" applyFont="1" applyFill="1"/>
    <xf numFmtId="4" fontId="1" fillId="8" borderId="0" xfId="0" applyNumberFormat="1" applyFont="1" applyFill="1"/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4" fontId="4" fillId="3" borderId="4" xfId="0" applyNumberFormat="1" applyFont="1" applyFill="1" applyBorder="1" applyAlignment="1">
      <alignment horizontal="center" wrapText="1"/>
    </xf>
    <xf numFmtId="4" fontId="8" fillId="3" borderId="4" xfId="0" applyNumberFormat="1" applyFont="1" applyFill="1" applyBorder="1" applyAlignment="1">
      <alignment horizontal="center" wrapText="1"/>
    </xf>
    <xf numFmtId="4" fontId="8" fillId="3" borderId="4" xfId="0" applyNumberFormat="1" applyFont="1" applyFill="1" applyBorder="1" applyAlignment="1">
      <alignment horizontal="right" wrapText="1"/>
    </xf>
    <xf numFmtId="3" fontId="4" fillId="3" borderId="4" xfId="0" applyNumberFormat="1" applyFont="1" applyFill="1" applyBorder="1" applyAlignment="1">
      <alignment horizontal="left" wrapText="1"/>
    </xf>
    <xf numFmtId="4" fontId="4" fillId="3" borderId="4" xfId="0" applyNumberFormat="1" applyFont="1" applyFill="1" applyBorder="1" applyAlignment="1">
      <alignment horizontal="center" wrapText="1"/>
    </xf>
    <xf numFmtId="4" fontId="11" fillId="5" borderId="4" xfId="0" applyNumberFormat="1" applyFont="1" applyFill="1" applyBorder="1" applyAlignment="1"/>
    <xf numFmtId="0" fontId="7" fillId="3" borderId="4" xfId="2" applyFont="1" applyFill="1" applyBorder="1" applyAlignment="1">
      <alignment horizontal="center" vertical="top" wrapText="1"/>
    </xf>
    <xf numFmtId="0" fontId="10" fillId="3" borderId="4" xfId="1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top" wrapText="1"/>
    </xf>
    <xf numFmtId="0" fontId="7" fillId="0" borderId="6" xfId="2" applyFont="1" applyFill="1" applyBorder="1" applyAlignment="1">
      <alignment horizontal="center" vertical="top" wrapText="1"/>
    </xf>
    <xf numFmtId="0" fontId="7" fillId="0" borderId="7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4" fontId="4" fillId="3" borderId="4" xfId="0" applyNumberFormat="1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right"/>
    </xf>
    <xf numFmtId="0" fontId="2" fillId="0" borderId="9" xfId="0" applyFont="1" applyFill="1" applyBorder="1" applyAlignment="1">
      <alignment horizontal="right"/>
    </xf>
    <xf numFmtId="0" fontId="2" fillId="0" borderId="10" xfId="0" applyFont="1" applyFill="1" applyBorder="1" applyAlignment="1">
      <alignment horizontal="right"/>
    </xf>
    <xf numFmtId="0" fontId="1" fillId="3" borderId="8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left" wrapText="1"/>
    </xf>
    <xf numFmtId="0" fontId="1" fillId="0" borderId="7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left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3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1" fillId="3" borderId="8" xfId="0" applyFont="1" applyFill="1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0" fontId="1" fillId="3" borderId="9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Плохой" xfId="1" builtinId="27"/>
  </cellStyles>
  <dxfs count="0"/>
  <tableStyles count="0" defaultTableStyle="TableStyleMedium9" defaultPivotStyle="PivotStyleLight16"/>
  <colors>
    <mruColors>
      <color rgb="FFFFFFCC"/>
      <color rgb="FFFFCC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08"/>
  <sheetViews>
    <sheetView zoomScale="80" zoomScaleNormal="80" workbookViewId="0">
      <pane xSplit="3" ySplit="8" topLeftCell="D18" activePane="bottomRight" state="frozen"/>
      <selection pane="topRight" activeCell="D1" sqref="D1"/>
      <selection pane="bottomLeft" activeCell="A9" sqref="A9"/>
      <selection pane="bottomRight" activeCell="N21" sqref="N21"/>
    </sheetView>
  </sheetViews>
  <sheetFormatPr defaultRowHeight="13.2"/>
  <cols>
    <col min="1" max="1" width="19.44140625" customWidth="1"/>
    <col min="2" max="2" width="19.88671875" customWidth="1"/>
    <col min="3" max="3" width="23.6640625" customWidth="1"/>
    <col min="4" max="4" width="8.6640625" customWidth="1"/>
    <col min="5" max="5" width="12.44140625" customWidth="1"/>
    <col min="6" max="7" width="12.6640625" customWidth="1"/>
    <col min="8" max="8" width="14.109375" bestFit="1" customWidth="1"/>
    <col min="9" max="9" width="16" customWidth="1"/>
    <col min="10" max="10" width="13.88671875" customWidth="1"/>
    <col min="11" max="11" width="12.109375" bestFit="1" customWidth="1"/>
    <col min="12" max="12" width="16.6640625" customWidth="1"/>
    <col min="13" max="13" width="15.44140625" customWidth="1"/>
    <col min="14" max="14" width="13.33203125" customWidth="1"/>
    <col min="15" max="15" width="14.33203125" customWidth="1"/>
    <col min="16" max="16" width="13.109375" customWidth="1"/>
    <col min="17" max="17" width="14.88671875" bestFit="1" customWidth="1"/>
    <col min="19" max="19" width="13.5546875" bestFit="1" customWidth="1"/>
  </cols>
  <sheetData>
    <row r="1" spans="1:19" ht="13.8">
      <c r="A1" s="1"/>
      <c r="O1" s="3" t="s">
        <v>2</v>
      </c>
    </row>
    <row r="2" spans="1:19" ht="13.8">
      <c r="O2" s="3" t="s">
        <v>153</v>
      </c>
    </row>
    <row r="3" spans="1:19" ht="17.399999999999999">
      <c r="A3" s="300" t="s">
        <v>1</v>
      </c>
      <c r="B3" s="300"/>
      <c r="C3" s="301"/>
      <c r="D3" s="300"/>
      <c r="E3" s="300"/>
      <c r="F3" s="300"/>
      <c r="G3" s="300"/>
      <c r="H3" s="300"/>
      <c r="I3" s="301"/>
      <c r="J3" s="300"/>
      <c r="K3" s="300"/>
      <c r="L3" s="300"/>
      <c r="M3" s="300"/>
      <c r="N3" s="301"/>
      <c r="O3" s="300"/>
      <c r="P3" s="300"/>
      <c r="Q3" s="300"/>
    </row>
    <row r="4" spans="1:19" ht="36.75" customHeight="1">
      <c r="A4" s="6" t="s">
        <v>155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9" ht="14.4" hidden="1" thickBo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9" ht="41.4">
      <c r="A6" s="38" t="s">
        <v>3</v>
      </c>
      <c r="B6" s="38" t="s">
        <v>81</v>
      </c>
      <c r="C6" s="38" t="s">
        <v>152</v>
      </c>
      <c r="D6" s="38" t="s">
        <v>4</v>
      </c>
      <c r="E6" s="307" t="s">
        <v>5</v>
      </c>
      <c r="F6" s="307"/>
      <c r="G6" s="307"/>
      <c r="H6" s="298" t="s">
        <v>6</v>
      </c>
      <c r="I6" s="298"/>
      <c r="J6" s="298"/>
      <c r="K6" s="298"/>
      <c r="L6" s="298" t="s">
        <v>7</v>
      </c>
      <c r="M6" s="298"/>
      <c r="N6" s="298"/>
      <c r="O6" s="298"/>
      <c r="P6" s="298"/>
      <c r="Q6" s="298"/>
    </row>
    <row r="7" spans="1:19" ht="55.2">
      <c r="A7" s="39"/>
      <c r="B7" s="39"/>
      <c r="C7" s="39"/>
      <c r="D7" s="39"/>
      <c r="E7" s="40" t="s">
        <v>8</v>
      </c>
      <c r="F7" s="40" t="s">
        <v>9</v>
      </c>
      <c r="G7" s="40" t="s">
        <v>10</v>
      </c>
      <c r="H7" s="41" t="s">
        <v>79</v>
      </c>
      <c r="I7" s="38" t="s">
        <v>80</v>
      </c>
      <c r="J7" s="41" t="s">
        <v>11</v>
      </c>
      <c r="K7" s="40" t="s">
        <v>12</v>
      </c>
      <c r="L7" s="299" t="s">
        <v>8</v>
      </c>
      <c r="M7" s="299"/>
      <c r="N7" s="299"/>
      <c r="O7" s="299"/>
      <c r="P7" s="40" t="s">
        <v>9</v>
      </c>
      <c r="Q7" s="40" t="s">
        <v>10</v>
      </c>
    </row>
    <row r="8" spans="1:19" ht="43.5" customHeight="1">
      <c r="A8" s="42" t="s">
        <v>13</v>
      </c>
      <c r="B8" s="42" t="s">
        <v>14</v>
      </c>
      <c r="C8" s="42"/>
      <c r="D8" s="43" t="s">
        <v>15</v>
      </c>
      <c r="E8" s="42" t="s">
        <v>16</v>
      </c>
      <c r="F8" s="42" t="s">
        <v>16</v>
      </c>
      <c r="G8" s="42" t="s">
        <v>16</v>
      </c>
      <c r="H8" s="43" t="s">
        <v>17</v>
      </c>
      <c r="I8" s="43" t="s">
        <v>17</v>
      </c>
      <c r="J8" s="43" t="s">
        <v>17</v>
      </c>
      <c r="K8" s="43" t="s">
        <v>17</v>
      </c>
      <c r="L8" s="43" t="s">
        <v>85</v>
      </c>
      <c r="M8" s="43" t="s">
        <v>83</v>
      </c>
      <c r="N8" s="43" t="s">
        <v>84</v>
      </c>
      <c r="O8" s="43" t="s">
        <v>12</v>
      </c>
      <c r="P8" s="43" t="s">
        <v>17</v>
      </c>
      <c r="Q8" s="43" t="s">
        <v>17</v>
      </c>
    </row>
    <row r="9" spans="1:19" ht="13.8">
      <c r="A9" s="44" t="s">
        <v>18</v>
      </c>
      <c r="B9" s="45"/>
      <c r="C9" s="45"/>
      <c r="D9" s="45"/>
      <c r="E9" s="45"/>
      <c r="F9" s="45"/>
      <c r="G9" s="45"/>
      <c r="H9" s="46"/>
      <c r="I9" s="46"/>
      <c r="J9" s="46"/>
      <c r="K9" s="46"/>
      <c r="L9" s="46">
        <f>L10+L15</f>
        <v>4839183.68</v>
      </c>
      <c r="M9" s="46">
        <f t="shared" ref="M9:N9" si="0">M10+M15</f>
        <v>1411442.4</v>
      </c>
      <c r="N9" s="46">
        <f t="shared" si="0"/>
        <v>6372720</v>
      </c>
      <c r="O9" s="46">
        <f>L9+M9+N9</f>
        <v>12623346.08</v>
      </c>
      <c r="P9" s="46">
        <f>L9</f>
        <v>4839183.68</v>
      </c>
      <c r="Q9" s="46">
        <f>L9</f>
        <v>4839183.68</v>
      </c>
    </row>
    <row r="10" spans="1:19" ht="82.8">
      <c r="A10" s="47"/>
      <c r="B10" s="47" t="s">
        <v>76</v>
      </c>
      <c r="C10" s="47"/>
      <c r="D10" s="45"/>
      <c r="E10" s="48"/>
      <c r="F10" s="48"/>
      <c r="G10" s="48"/>
      <c r="H10" s="46"/>
      <c r="I10" s="46"/>
      <c r="J10" s="46"/>
      <c r="K10" s="46"/>
      <c r="L10" s="46">
        <f>L11+L12</f>
        <v>4839183.68</v>
      </c>
      <c r="M10" s="46">
        <f t="shared" ref="M10:N10" si="1">M11+M12</f>
        <v>1411442.4</v>
      </c>
      <c r="N10" s="46">
        <f t="shared" si="1"/>
        <v>3253642.8</v>
      </c>
      <c r="O10" s="46">
        <f>L10+M10+N10</f>
        <v>9504268.879999999</v>
      </c>
      <c r="P10" s="46">
        <f>O10</f>
        <v>9504268.879999999</v>
      </c>
      <c r="Q10" s="46">
        <f>P10</f>
        <v>9504268.879999999</v>
      </c>
      <c r="S10" s="4"/>
    </row>
    <row r="11" spans="1:19" ht="96.6">
      <c r="A11" s="42"/>
      <c r="B11" s="44" t="s">
        <v>19</v>
      </c>
      <c r="C11" s="42" t="s">
        <v>0</v>
      </c>
      <c r="D11" s="44" t="s">
        <v>20</v>
      </c>
      <c r="E11" s="44" t="s">
        <v>21</v>
      </c>
      <c r="F11" s="44" t="s">
        <v>21</v>
      </c>
      <c r="G11" s="44" t="s">
        <v>21</v>
      </c>
      <c r="H11" s="46">
        <v>47587</v>
      </c>
      <c r="I11" s="46">
        <v>11762.02</v>
      </c>
      <c r="J11" s="46">
        <v>27113.69</v>
      </c>
      <c r="K11" s="46">
        <f>H11+I11+J11</f>
        <v>86462.71</v>
      </c>
      <c r="L11" s="46">
        <f>E11*H11</f>
        <v>1522784</v>
      </c>
      <c r="M11" s="46">
        <f>F11*I11</f>
        <v>376384.64</v>
      </c>
      <c r="N11" s="46">
        <f>G11*J11</f>
        <v>867638.08</v>
      </c>
      <c r="O11" s="46">
        <f>L11+M11+N11</f>
        <v>2766806.72</v>
      </c>
      <c r="P11" s="46">
        <f>O11</f>
        <v>2766806.72</v>
      </c>
      <c r="Q11" s="46">
        <f>P11</f>
        <v>2766806.72</v>
      </c>
      <c r="S11" s="4"/>
    </row>
    <row r="12" spans="1:19" ht="13.8">
      <c r="A12" s="49"/>
      <c r="B12" s="50" t="s">
        <v>24</v>
      </c>
      <c r="C12" s="50"/>
      <c r="D12" s="50" t="s">
        <v>20</v>
      </c>
      <c r="E12" s="44" t="s">
        <v>25</v>
      </c>
      <c r="F12" s="44" t="s">
        <v>25</v>
      </c>
      <c r="G12" s="44" t="s">
        <v>25</v>
      </c>
      <c r="H12" s="46">
        <v>37686.36</v>
      </c>
      <c r="I12" s="46">
        <v>11762.02</v>
      </c>
      <c r="J12" s="46">
        <v>27113.69</v>
      </c>
      <c r="K12" s="46">
        <f t="shared" ref="K12:K75" si="2">H12+I12+J12</f>
        <v>76562.070000000007</v>
      </c>
      <c r="L12" s="46">
        <f t="shared" ref="L12:L74" si="3">E12*H12</f>
        <v>3316399.68</v>
      </c>
      <c r="M12" s="46">
        <f t="shared" ref="M12:M74" si="4">F12*I12</f>
        <v>1035057.76</v>
      </c>
      <c r="N12" s="46">
        <f t="shared" ref="N12:N74" si="5">G12*J12</f>
        <v>2386004.7199999997</v>
      </c>
      <c r="O12" s="46">
        <f t="shared" ref="O12:O75" si="6">L12+M12+N12</f>
        <v>6737462.1600000001</v>
      </c>
      <c r="P12" s="46">
        <f t="shared" ref="P12:Q75" si="7">O12</f>
        <v>6737462.1600000001</v>
      </c>
      <c r="Q12" s="46">
        <f t="shared" si="7"/>
        <v>6737462.1600000001</v>
      </c>
      <c r="S12" s="4"/>
    </row>
    <row r="13" spans="1:19" ht="69" hidden="1">
      <c r="A13" s="42" t="s">
        <v>77</v>
      </c>
      <c r="B13" s="45"/>
      <c r="C13" s="45"/>
      <c r="D13" s="44" t="s">
        <v>20</v>
      </c>
      <c r="E13" s="44" t="s">
        <v>27</v>
      </c>
      <c r="F13" s="44" t="s">
        <v>27</v>
      </c>
      <c r="G13" s="44" t="s">
        <v>27</v>
      </c>
      <c r="H13" s="46"/>
      <c r="I13" s="46"/>
      <c r="J13" s="46"/>
      <c r="K13" s="46">
        <f t="shared" si="2"/>
        <v>0</v>
      </c>
      <c r="L13" s="46">
        <f t="shared" si="3"/>
        <v>0</v>
      </c>
      <c r="M13" s="46">
        <f t="shared" si="4"/>
        <v>0</v>
      </c>
      <c r="N13" s="46">
        <f t="shared" si="5"/>
        <v>0</v>
      </c>
      <c r="O13" s="46">
        <f t="shared" si="6"/>
        <v>0</v>
      </c>
      <c r="P13" s="46">
        <f t="shared" si="7"/>
        <v>0</v>
      </c>
      <c r="Q13" s="46">
        <f t="shared" si="7"/>
        <v>0</v>
      </c>
    </row>
    <row r="14" spans="1:19" ht="13.8" hidden="1">
      <c r="A14" s="43"/>
      <c r="B14" s="45"/>
      <c r="C14" s="45"/>
      <c r="D14" s="45"/>
      <c r="E14" s="44" t="s">
        <v>27</v>
      </c>
      <c r="F14" s="44" t="s">
        <v>27</v>
      </c>
      <c r="G14" s="44" t="s">
        <v>27</v>
      </c>
      <c r="H14" s="46"/>
      <c r="I14" s="46"/>
      <c r="J14" s="46">
        <v>0</v>
      </c>
      <c r="K14" s="46">
        <f t="shared" si="2"/>
        <v>0</v>
      </c>
      <c r="L14" s="46">
        <f t="shared" si="3"/>
        <v>0</v>
      </c>
      <c r="M14" s="46">
        <f t="shared" si="4"/>
        <v>0</v>
      </c>
      <c r="N14" s="46">
        <f t="shared" si="5"/>
        <v>0</v>
      </c>
      <c r="O14" s="46">
        <f t="shared" si="6"/>
        <v>0</v>
      </c>
      <c r="P14" s="46">
        <f t="shared" si="7"/>
        <v>0</v>
      </c>
      <c r="Q14" s="46">
        <f t="shared" si="7"/>
        <v>0</v>
      </c>
    </row>
    <row r="15" spans="1:19" ht="13.8">
      <c r="A15" s="50"/>
      <c r="B15" s="50" t="s">
        <v>28</v>
      </c>
      <c r="C15" s="50"/>
      <c r="D15" s="45"/>
      <c r="E15" s="44" t="s">
        <v>27</v>
      </c>
      <c r="F15" s="44" t="s">
        <v>27</v>
      </c>
      <c r="G15" s="44" t="s">
        <v>27</v>
      </c>
      <c r="H15" s="46" t="s">
        <v>23</v>
      </c>
      <c r="I15" s="46"/>
      <c r="J15" s="46">
        <v>25992.31</v>
      </c>
      <c r="K15" s="46">
        <f t="shared" si="2"/>
        <v>25992.31</v>
      </c>
      <c r="L15" s="46">
        <f t="shared" si="3"/>
        <v>0</v>
      </c>
      <c r="M15" s="46">
        <f t="shared" si="4"/>
        <v>0</v>
      </c>
      <c r="N15" s="46">
        <f t="shared" si="5"/>
        <v>3119077.2</v>
      </c>
      <c r="O15" s="46">
        <f t="shared" si="6"/>
        <v>3119077.2</v>
      </c>
      <c r="P15" s="46">
        <f t="shared" si="7"/>
        <v>3119077.2</v>
      </c>
      <c r="Q15" s="46">
        <f t="shared" si="7"/>
        <v>3119077.2</v>
      </c>
    </row>
    <row r="16" spans="1:19" ht="13.8">
      <c r="A16" s="50" t="s">
        <v>29</v>
      </c>
      <c r="B16" s="50"/>
      <c r="C16" s="50"/>
      <c r="D16" s="45"/>
      <c r="E16" s="44"/>
      <c r="F16" s="44"/>
      <c r="G16" s="44"/>
      <c r="H16" s="46"/>
      <c r="I16" s="46"/>
      <c r="J16" s="46"/>
      <c r="K16" s="46">
        <f t="shared" si="2"/>
        <v>0</v>
      </c>
      <c r="L16" s="46">
        <f>L17+L21</f>
        <v>2191749.33</v>
      </c>
      <c r="M16" s="46">
        <f t="shared" ref="M16:N16" si="8">M17+M21</f>
        <v>435194.74</v>
      </c>
      <c r="N16" s="46">
        <f t="shared" si="8"/>
        <v>1964922</v>
      </c>
      <c r="O16" s="46">
        <f t="shared" si="6"/>
        <v>4591866.07</v>
      </c>
      <c r="P16" s="46">
        <f t="shared" si="7"/>
        <v>4591866.07</v>
      </c>
      <c r="Q16" s="46">
        <f t="shared" si="7"/>
        <v>4591866.07</v>
      </c>
    </row>
    <row r="17" spans="1:17" ht="82.8">
      <c r="A17" s="51"/>
      <c r="B17" s="47" t="s">
        <v>76</v>
      </c>
      <c r="C17" s="47"/>
      <c r="D17" s="45"/>
      <c r="E17" s="48"/>
      <c r="F17" s="48"/>
      <c r="G17" s="48"/>
      <c r="H17" s="46"/>
      <c r="I17" s="46"/>
      <c r="J17" s="46"/>
      <c r="K17" s="46">
        <f t="shared" si="2"/>
        <v>0</v>
      </c>
      <c r="L17" s="46">
        <f>L18</f>
        <v>2191749.33</v>
      </c>
      <c r="M17" s="46">
        <f t="shared" ref="M17:N17" si="9">M18</f>
        <v>435194.74</v>
      </c>
      <c r="N17" s="46">
        <f t="shared" si="9"/>
        <v>1003206.5299999999</v>
      </c>
      <c r="O17" s="46">
        <f>L17+M17+N17</f>
        <v>3630150.6</v>
      </c>
      <c r="P17" s="46">
        <f t="shared" si="7"/>
        <v>3630150.6</v>
      </c>
      <c r="Q17" s="46">
        <f t="shared" si="7"/>
        <v>3630150.6</v>
      </c>
    </row>
    <row r="18" spans="1:17" ht="96.6">
      <c r="A18" s="42"/>
      <c r="B18" s="45"/>
      <c r="C18" s="42" t="s">
        <v>30</v>
      </c>
      <c r="D18" s="50" t="s">
        <v>31</v>
      </c>
      <c r="E18" s="44" t="s">
        <v>32</v>
      </c>
      <c r="F18" s="44" t="s">
        <v>32</v>
      </c>
      <c r="G18" s="44">
        <v>3</v>
      </c>
      <c r="H18" s="46">
        <v>730583.11</v>
      </c>
      <c r="I18" s="46">
        <v>11762.02</v>
      </c>
      <c r="J18" s="46">
        <v>27113.69</v>
      </c>
      <c r="K18" s="46">
        <f t="shared" si="2"/>
        <v>769458.82</v>
      </c>
      <c r="L18" s="46">
        <f t="shared" si="3"/>
        <v>2191749.33</v>
      </c>
      <c r="M18" s="46">
        <f>E21*I18</f>
        <v>435194.74</v>
      </c>
      <c r="N18" s="46">
        <f>E21*J18</f>
        <v>1003206.5299999999</v>
      </c>
      <c r="O18" s="46">
        <f t="shared" si="6"/>
        <v>3630150.6</v>
      </c>
      <c r="P18" s="46">
        <f t="shared" si="7"/>
        <v>3630150.6</v>
      </c>
      <c r="Q18" s="46">
        <f t="shared" si="7"/>
        <v>3630150.6</v>
      </c>
    </row>
    <row r="19" spans="1:17" ht="13.8" hidden="1">
      <c r="A19" s="50" t="s">
        <v>26</v>
      </c>
      <c r="B19" s="45"/>
      <c r="C19" s="45"/>
      <c r="D19" s="50" t="s">
        <v>31</v>
      </c>
      <c r="E19" s="44" t="s">
        <v>32</v>
      </c>
      <c r="F19" s="44" t="s">
        <v>32</v>
      </c>
      <c r="G19" s="44" t="s">
        <v>32</v>
      </c>
      <c r="H19" s="46"/>
      <c r="I19" s="46">
        <v>11762.02</v>
      </c>
      <c r="J19" s="46">
        <v>27113.69</v>
      </c>
      <c r="K19" s="46">
        <f t="shared" si="2"/>
        <v>38875.71</v>
      </c>
      <c r="L19" s="46">
        <f t="shared" si="3"/>
        <v>0</v>
      </c>
      <c r="M19" s="46">
        <f t="shared" si="4"/>
        <v>35286.06</v>
      </c>
      <c r="N19" s="46">
        <f t="shared" si="5"/>
        <v>81341.069999999992</v>
      </c>
      <c r="O19" s="46">
        <f t="shared" si="6"/>
        <v>116627.12999999999</v>
      </c>
      <c r="P19" s="46">
        <f t="shared" si="7"/>
        <v>116627.12999999999</v>
      </c>
      <c r="Q19" s="46">
        <f t="shared" si="7"/>
        <v>116627.12999999999</v>
      </c>
    </row>
    <row r="20" spans="1:17" ht="69" hidden="1">
      <c r="A20" s="42" t="s">
        <v>77</v>
      </c>
      <c r="B20" s="45"/>
      <c r="C20" s="45"/>
      <c r="D20" s="50" t="s">
        <v>20</v>
      </c>
      <c r="E20" s="44" t="s">
        <v>34</v>
      </c>
      <c r="F20" s="44" t="s">
        <v>34</v>
      </c>
      <c r="G20" s="44" t="s">
        <v>34</v>
      </c>
      <c r="H20" s="46"/>
      <c r="I20" s="46"/>
      <c r="J20" s="46"/>
      <c r="K20" s="46">
        <f t="shared" si="2"/>
        <v>0</v>
      </c>
      <c r="L20" s="46">
        <f t="shared" si="3"/>
        <v>0</v>
      </c>
      <c r="M20" s="46">
        <f t="shared" si="4"/>
        <v>0</v>
      </c>
      <c r="N20" s="46">
        <f t="shared" si="5"/>
        <v>0</v>
      </c>
      <c r="O20" s="46">
        <f t="shared" si="6"/>
        <v>0</v>
      </c>
      <c r="P20" s="46">
        <f t="shared" si="7"/>
        <v>0</v>
      </c>
      <c r="Q20" s="46">
        <f t="shared" si="7"/>
        <v>0</v>
      </c>
    </row>
    <row r="21" spans="1:17" ht="13.8">
      <c r="A21" s="50"/>
      <c r="B21" s="50" t="s">
        <v>28</v>
      </c>
      <c r="C21" s="50"/>
      <c r="D21" s="50" t="s">
        <v>20</v>
      </c>
      <c r="E21" s="44" t="s">
        <v>34</v>
      </c>
      <c r="F21" s="44" t="s">
        <v>34</v>
      </c>
      <c r="G21" s="44" t="s">
        <v>34</v>
      </c>
      <c r="H21" s="46" t="s">
        <v>23</v>
      </c>
      <c r="I21" s="46"/>
      <c r="J21" s="46">
        <v>25992.31</v>
      </c>
      <c r="K21" s="46">
        <f t="shared" si="2"/>
        <v>25992.31</v>
      </c>
      <c r="L21" s="46">
        <f t="shared" si="3"/>
        <v>0</v>
      </c>
      <c r="M21" s="46">
        <f t="shared" si="4"/>
        <v>0</v>
      </c>
      <c r="N21" s="46">
        <f t="shared" si="5"/>
        <v>961715.47000000009</v>
      </c>
      <c r="O21" s="46">
        <f t="shared" si="6"/>
        <v>961715.47000000009</v>
      </c>
      <c r="P21" s="46">
        <f t="shared" si="7"/>
        <v>961715.47000000009</v>
      </c>
      <c r="Q21" s="46">
        <f t="shared" si="7"/>
        <v>961715.47000000009</v>
      </c>
    </row>
    <row r="22" spans="1:17" ht="13.8">
      <c r="A22" s="44" t="s">
        <v>35</v>
      </c>
      <c r="B22" s="45"/>
      <c r="C22" s="45"/>
      <c r="D22" s="45"/>
      <c r="E22" s="48"/>
      <c r="F22" s="48"/>
      <c r="G22" s="48"/>
      <c r="H22" s="46"/>
      <c r="I22" s="46"/>
      <c r="J22" s="46"/>
      <c r="K22" s="46">
        <f t="shared" si="2"/>
        <v>0</v>
      </c>
      <c r="L22" s="46">
        <f>L23+L29</f>
        <v>9194014.25</v>
      </c>
      <c r="M22" s="46">
        <f t="shared" ref="M22:N22" si="10">M23+M29</f>
        <v>1411442.4</v>
      </c>
      <c r="N22" s="46">
        <f t="shared" si="10"/>
        <v>6372720</v>
      </c>
      <c r="O22" s="46">
        <f>L22+M22+N22</f>
        <v>16978176.649999999</v>
      </c>
      <c r="P22" s="46">
        <f t="shared" si="7"/>
        <v>16978176.649999999</v>
      </c>
      <c r="Q22" s="46">
        <f t="shared" si="7"/>
        <v>16978176.649999999</v>
      </c>
    </row>
    <row r="23" spans="1:17" ht="82.8">
      <c r="A23" s="42"/>
      <c r="B23" s="47" t="s">
        <v>76</v>
      </c>
      <c r="C23" s="47"/>
      <c r="D23" s="45"/>
      <c r="E23" s="48"/>
      <c r="F23" s="48"/>
      <c r="G23" s="48"/>
      <c r="H23" s="46"/>
      <c r="I23" s="46"/>
      <c r="J23" s="46"/>
      <c r="K23" s="46">
        <f t="shared" si="2"/>
        <v>0</v>
      </c>
      <c r="L23" s="46">
        <f>L24+L25+L26</f>
        <v>9194014.25</v>
      </c>
      <c r="M23" s="46">
        <f>M24+M25+M26</f>
        <v>1411442.4</v>
      </c>
      <c r="N23" s="46">
        <f t="shared" ref="N23" si="11">N24+N25+N26</f>
        <v>3253642.8</v>
      </c>
      <c r="O23" s="46">
        <f>L23+M23+N23</f>
        <v>13859099.449999999</v>
      </c>
      <c r="P23" s="46">
        <f t="shared" si="7"/>
        <v>13859099.449999999</v>
      </c>
      <c r="Q23" s="46">
        <f t="shared" si="7"/>
        <v>13859099.449999999</v>
      </c>
    </row>
    <row r="24" spans="1:17" ht="96.6">
      <c r="A24" s="42"/>
      <c r="B24" s="44" t="s">
        <v>19</v>
      </c>
      <c r="C24" s="42" t="s">
        <v>0</v>
      </c>
      <c r="D24" s="50" t="s">
        <v>20</v>
      </c>
      <c r="E24" s="44" t="s">
        <v>36</v>
      </c>
      <c r="F24" s="44" t="s">
        <v>36</v>
      </c>
      <c r="G24" s="44" t="s">
        <v>36</v>
      </c>
      <c r="H24" s="46">
        <v>41608.51</v>
      </c>
      <c r="I24" s="46">
        <v>11762.02</v>
      </c>
      <c r="J24" s="46">
        <v>27113.69</v>
      </c>
      <c r="K24" s="46">
        <f t="shared" si="2"/>
        <v>80484.22</v>
      </c>
      <c r="L24" s="46">
        <f>E24*H24</f>
        <v>1206646.79</v>
      </c>
      <c r="M24" s="46">
        <f>E24*I24</f>
        <v>341098.58</v>
      </c>
      <c r="N24" s="46">
        <f>E24*J24</f>
        <v>786297.01</v>
      </c>
      <c r="O24" s="46">
        <f t="shared" ref="O24:O29" si="12">L24+M24+N24</f>
        <v>2334042.38</v>
      </c>
      <c r="P24" s="46">
        <f t="shared" si="7"/>
        <v>2334042.38</v>
      </c>
      <c r="Q24" s="46">
        <f t="shared" si="7"/>
        <v>2334042.38</v>
      </c>
    </row>
    <row r="25" spans="1:17" ht="13.8">
      <c r="A25" s="49"/>
      <c r="B25" s="44" t="s">
        <v>24</v>
      </c>
      <c r="C25" s="44"/>
      <c r="D25" s="44" t="s">
        <v>20</v>
      </c>
      <c r="E25" s="44" t="s">
        <v>37</v>
      </c>
      <c r="F25" s="44" t="s">
        <v>37</v>
      </c>
      <c r="G25" s="44" t="s">
        <v>37</v>
      </c>
      <c r="H25" s="46">
        <v>32991.18</v>
      </c>
      <c r="I25" s="46">
        <v>11762.02</v>
      </c>
      <c r="J25" s="46">
        <v>27113.69</v>
      </c>
      <c r="K25" s="46">
        <f t="shared" si="2"/>
        <v>71866.89</v>
      </c>
      <c r="L25" s="46">
        <f t="shared" ref="L25" si="13">E25*H25</f>
        <v>1418620.74</v>
      </c>
      <c r="M25" s="46">
        <f>E25*I25</f>
        <v>505766.86000000004</v>
      </c>
      <c r="N25" s="46">
        <f t="shared" ref="N25:N26" si="14">E25*J25</f>
        <v>1165888.67</v>
      </c>
      <c r="O25" s="46">
        <f t="shared" si="12"/>
        <v>3090276.27</v>
      </c>
      <c r="P25" s="46">
        <f t="shared" si="7"/>
        <v>3090276.27</v>
      </c>
      <c r="Q25" s="46">
        <f t="shared" si="7"/>
        <v>3090276.27</v>
      </c>
    </row>
    <row r="26" spans="1:17" ht="96.6">
      <c r="A26" s="42"/>
      <c r="B26" s="45"/>
      <c r="C26" s="42" t="s">
        <v>38</v>
      </c>
      <c r="D26" s="50" t="s">
        <v>20</v>
      </c>
      <c r="E26" s="44" t="s">
        <v>39</v>
      </c>
      <c r="F26" s="44" t="s">
        <v>39</v>
      </c>
      <c r="G26" s="44" t="s">
        <v>39</v>
      </c>
      <c r="H26" s="46">
        <v>136848.89000000001</v>
      </c>
      <c r="I26" s="46">
        <v>11762.02</v>
      </c>
      <c r="J26" s="46">
        <v>27113.69</v>
      </c>
      <c r="K26" s="46">
        <f t="shared" si="2"/>
        <v>175724.6</v>
      </c>
      <c r="L26" s="46">
        <f>E26*H26</f>
        <v>6568746.7200000007</v>
      </c>
      <c r="M26" s="46">
        <f>E26*I26</f>
        <v>564576.96</v>
      </c>
      <c r="N26" s="46">
        <f t="shared" si="14"/>
        <v>1301457.1199999999</v>
      </c>
      <c r="O26" s="46">
        <f t="shared" si="12"/>
        <v>8434780.8000000007</v>
      </c>
      <c r="P26" s="46">
        <f t="shared" si="7"/>
        <v>8434780.8000000007</v>
      </c>
      <c r="Q26" s="46">
        <f t="shared" si="7"/>
        <v>8434780.8000000007</v>
      </c>
    </row>
    <row r="27" spans="1:17" ht="13.8" hidden="1">
      <c r="A27" s="44" t="s">
        <v>26</v>
      </c>
      <c r="B27" s="45"/>
      <c r="C27" s="45"/>
      <c r="D27" s="44" t="s">
        <v>20</v>
      </c>
      <c r="E27" s="44" t="s">
        <v>27</v>
      </c>
      <c r="F27" s="44" t="s">
        <v>27</v>
      </c>
      <c r="G27" s="44" t="s">
        <v>27</v>
      </c>
      <c r="H27" s="46"/>
      <c r="I27" s="46">
        <v>11762.02</v>
      </c>
      <c r="J27" s="46"/>
      <c r="K27" s="46">
        <f t="shared" si="2"/>
        <v>11762.02</v>
      </c>
      <c r="L27" s="46">
        <f t="shared" si="3"/>
        <v>0</v>
      </c>
      <c r="M27" s="46">
        <f t="shared" si="4"/>
        <v>1411442.4000000001</v>
      </c>
      <c r="N27" s="46">
        <f t="shared" si="5"/>
        <v>0</v>
      </c>
      <c r="O27" s="46">
        <f t="shared" si="12"/>
        <v>1411442.4000000001</v>
      </c>
      <c r="P27" s="46">
        <f t="shared" si="7"/>
        <v>1411442.4000000001</v>
      </c>
      <c r="Q27" s="46">
        <f t="shared" si="7"/>
        <v>1411442.4000000001</v>
      </c>
    </row>
    <row r="28" spans="1:17" ht="69" hidden="1">
      <c r="A28" s="42" t="s">
        <v>77</v>
      </c>
      <c r="B28" s="45"/>
      <c r="C28" s="45"/>
      <c r="D28" s="50" t="s">
        <v>20</v>
      </c>
      <c r="E28" s="44" t="s">
        <v>27</v>
      </c>
      <c r="F28" s="44" t="s">
        <v>27</v>
      </c>
      <c r="G28" s="44" t="s">
        <v>27</v>
      </c>
      <c r="H28" s="46"/>
      <c r="I28" s="46"/>
      <c r="J28" s="46" t="s">
        <v>22</v>
      </c>
      <c r="K28" s="46">
        <f t="shared" si="2"/>
        <v>0</v>
      </c>
      <c r="L28" s="46">
        <f t="shared" si="3"/>
        <v>0</v>
      </c>
      <c r="M28" s="46">
        <f t="shared" si="4"/>
        <v>0</v>
      </c>
      <c r="N28" s="46">
        <f t="shared" si="5"/>
        <v>0</v>
      </c>
      <c r="O28" s="46">
        <f t="shared" si="12"/>
        <v>0</v>
      </c>
      <c r="P28" s="46">
        <f t="shared" si="7"/>
        <v>0</v>
      </c>
      <c r="Q28" s="46">
        <f t="shared" si="7"/>
        <v>0</v>
      </c>
    </row>
    <row r="29" spans="1:17" ht="13.8">
      <c r="A29" s="44"/>
      <c r="B29" s="44" t="s">
        <v>28</v>
      </c>
      <c r="C29" s="44"/>
      <c r="D29" s="50" t="s">
        <v>20</v>
      </c>
      <c r="E29" s="44" t="s">
        <v>27</v>
      </c>
      <c r="F29" s="44" t="s">
        <v>27</v>
      </c>
      <c r="G29" s="44" t="s">
        <v>27</v>
      </c>
      <c r="H29" s="46" t="s">
        <v>23</v>
      </c>
      <c r="I29" s="46"/>
      <c r="J29" s="46">
        <v>25992.31</v>
      </c>
      <c r="K29" s="46">
        <f t="shared" si="2"/>
        <v>25992.31</v>
      </c>
      <c r="L29" s="46">
        <f t="shared" si="3"/>
        <v>0</v>
      </c>
      <c r="M29" s="46">
        <f t="shared" si="4"/>
        <v>0</v>
      </c>
      <c r="N29" s="46">
        <f t="shared" si="5"/>
        <v>3119077.2</v>
      </c>
      <c r="O29" s="46">
        <f t="shared" si="12"/>
        <v>3119077.2</v>
      </c>
      <c r="P29" s="46">
        <f t="shared" si="7"/>
        <v>3119077.2</v>
      </c>
      <c r="Q29" s="46">
        <f t="shared" si="7"/>
        <v>3119077.2</v>
      </c>
    </row>
    <row r="30" spans="1:17" ht="13.8">
      <c r="A30" s="44" t="s">
        <v>40</v>
      </c>
      <c r="B30" s="52"/>
      <c r="C30" s="52"/>
      <c r="D30" s="52"/>
      <c r="E30" s="48"/>
      <c r="F30" s="48"/>
      <c r="G30" s="48"/>
      <c r="H30" s="46"/>
      <c r="I30" s="46"/>
      <c r="J30" s="46"/>
      <c r="K30" s="46">
        <f t="shared" si="2"/>
        <v>0</v>
      </c>
      <c r="L30" s="46">
        <f>L31+L36</f>
        <v>3660794.35</v>
      </c>
      <c r="M30" s="46">
        <f t="shared" ref="M30:N30" si="15">M31+M36</f>
        <v>1246774.1200000001</v>
      </c>
      <c r="N30" s="46">
        <f t="shared" si="15"/>
        <v>5629236</v>
      </c>
      <c r="O30" s="46">
        <f t="shared" si="6"/>
        <v>10536804.470000001</v>
      </c>
      <c r="P30" s="46">
        <f t="shared" si="7"/>
        <v>10536804.470000001</v>
      </c>
      <c r="Q30" s="46">
        <f t="shared" si="7"/>
        <v>10536804.470000001</v>
      </c>
    </row>
    <row r="31" spans="1:17" ht="82.8">
      <c r="A31" s="42"/>
      <c r="B31" s="47" t="s">
        <v>76</v>
      </c>
      <c r="C31" s="47"/>
      <c r="D31" s="52"/>
      <c r="E31" s="48"/>
      <c r="F31" s="48"/>
      <c r="G31" s="48"/>
      <c r="H31" s="46"/>
      <c r="I31" s="46"/>
      <c r="J31" s="46"/>
      <c r="K31" s="46">
        <f t="shared" si="2"/>
        <v>0</v>
      </c>
      <c r="L31" s="46">
        <f>L32+L33</f>
        <v>3660794.35</v>
      </c>
      <c r="M31" s="46">
        <f>M32+M33</f>
        <v>1246774.1200000001</v>
      </c>
      <c r="N31" s="46">
        <f t="shared" ref="N31" si="16">N32+N33</f>
        <v>2874051.1399999997</v>
      </c>
      <c r="O31" s="46">
        <f t="shared" si="6"/>
        <v>7781619.6100000003</v>
      </c>
      <c r="P31" s="46">
        <f t="shared" si="7"/>
        <v>7781619.6100000003</v>
      </c>
      <c r="Q31" s="46">
        <f t="shared" si="7"/>
        <v>7781619.6100000003</v>
      </c>
    </row>
    <row r="32" spans="1:17" ht="96.6">
      <c r="A32" s="42"/>
      <c r="B32" s="44" t="s">
        <v>19</v>
      </c>
      <c r="C32" s="42" t="s">
        <v>0</v>
      </c>
      <c r="D32" s="50" t="s">
        <v>20</v>
      </c>
      <c r="E32" s="44" t="s">
        <v>41</v>
      </c>
      <c r="F32" s="44" t="s">
        <v>41</v>
      </c>
      <c r="G32" s="44" t="s">
        <v>41</v>
      </c>
      <c r="H32" s="46">
        <v>41608.51</v>
      </c>
      <c r="I32" s="46">
        <v>11762.02</v>
      </c>
      <c r="J32" s="46">
        <v>27113.69</v>
      </c>
      <c r="K32" s="46">
        <f t="shared" si="2"/>
        <v>80484.22</v>
      </c>
      <c r="L32" s="46">
        <f>E32*H32</f>
        <v>790561.69000000006</v>
      </c>
      <c r="M32" s="46">
        <f>E32*I32</f>
        <v>223478.38</v>
      </c>
      <c r="N32" s="46">
        <f>E32*J32</f>
        <v>515160.11</v>
      </c>
      <c r="O32" s="46">
        <f t="shared" si="6"/>
        <v>1529200.1800000002</v>
      </c>
      <c r="P32" s="46">
        <f t="shared" si="7"/>
        <v>1529200.1800000002</v>
      </c>
      <c r="Q32" s="46">
        <f t="shared" si="7"/>
        <v>1529200.1800000002</v>
      </c>
    </row>
    <row r="33" spans="1:17" ht="13.8">
      <c r="A33" s="49"/>
      <c r="B33" s="44" t="s">
        <v>24</v>
      </c>
      <c r="C33" s="44"/>
      <c r="D33" s="44" t="s">
        <v>20</v>
      </c>
      <c r="E33" s="44" t="s">
        <v>42</v>
      </c>
      <c r="F33" s="44" t="s">
        <v>42</v>
      </c>
      <c r="G33" s="44" t="s">
        <v>42</v>
      </c>
      <c r="H33" s="46">
        <v>32991.18</v>
      </c>
      <c r="I33" s="46">
        <v>11762.02</v>
      </c>
      <c r="J33" s="46">
        <v>27113.69</v>
      </c>
      <c r="K33" s="46">
        <f t="shared" si="2"/>
        <v>71866.89</v>
      </c>
      <c r="L33" s="46">
        <f t="shared" si="3"/>
        <v>2870232.66</v>
      </c>
      <c r="M33" s="46">
        <f>E33*I33</f>
        <v>1023295.74</v>
      </c>
      <c r="N33" s="46">
        <f>E33*J33</f>
        <v>2358891.0299999998</v>
      </c>
      <c r="O33" s="46">
        <f t="shared" si="6"/>
        <v>6252419.4299999997</v>
      </c>
      <c r="P33" s="46">
        <f t="shared" si="7"/>
        <v>6252419.4299999997</v>
      </c>
      <c r="Q33" s="46">
        <f t="shared" si="7"/>
        <v>6252419.4299999997</v>
      </c>
    </row>
    <row r="34" spans="1:17" ht="13.8" hidden="1">
      <c r="A34" s="44" t="s">
        <v>26</v>
      </c>
      <c r="B34" s="52"/>
      <c r="C34" s="52"/>
      <c r="D34" s="44" t="s">
        <v>20</v>
      </c>
      <c r="E34" s="44" t="s">
        <v>43</v>
      </c>
      <c r="F34" s="44" t="s">
        <v>43</v>
      </c>
      <c r="G34" s="44" t="s">
        <v>43</v>
      </c>
      <c r="H34" s="46"/>
      <c r="I34" s="46">
        <v>11762.02</v>
      </c>
      <c r="J34" s="46"/>
      <c r="K34" s="46">
        <f t="shared" si="2"/>
        <v>11762.02</v>
      </c>
      <c r="L34" s="46">
        <f t="shared" si="3"/>
        <v>0</v>
      </c>
      <c r="M34" s="46">
        <f t="shared" si="4"/>
        <v>1246774.1200000001</v>
      </c>
      <c r="N34" s="46">
        <f t="shared" si="5"/>
        <v>0</v>
      </c>
      <c r="O34" s="46">
        <f t="shared" si="6"/>
        <v>1246774.1200000001</v>
      </c>
      <c r="P34" s="46">
        <f t="shared" si="7"/>
        <v>1246774.1200000001</v>
      </c>
      <c r="Q34" s="46">
        <f t="shared" si="7"/>
        <v>1246774.1200000001</v>
      </c>
    </row>
    <row r="35" spans="1:17" ht="55.2" hidden="1">
      <c r="A35" s="42" t="s">
        <v>33</v>
      </c>
      <c r="B35" s="52"/>
      <c r="C35" s="52"/>
      <c r="D35" s="50" t="s">
        <v>20</v>
      </c>
      <c r="E35" s="44" t="s">
        <v>43</v>
      </c>
      <c r="F35" s="44" t="s">
        <v>43</v>
      </c>
      <c r="G35" s="44" t="s">
        <v>43</v>
      </c>
      <c r="H35" s="46"/>
      <c r="I35" s="46"/>
      <c r="J35" s="46" t="s">
        <v>22</v>
      </c>
      <c r="K35" s="46">
        <f t="shared" si="2"/>
        <v>0</v>
      </c>
      <c r="L35" s="46">
        <f t="shared" si="3"/>
        <v>0</v>
      </c>
      <c r="M35" s="46">
        <f t="shared" si="4"/>
        <v>0</v>
      </c>
      <c r="N35" s="46">
        <f t="shared" si="5"/>
        <v>0</v>
      </c>
      <c r="O35" s="46">
        <f t="shared" si="6"/>
        <v>0</v>
      </c>
      <c r="P35" s="46">
        <f t="shared" si="7"/>
        <v>0</v>
      </c>
      <c r="Q35" s="46">
        <f t="shared" si="7"/>
        <v>0</v>
      </c>
    </row>
    <row r="36" spans="1:17" ht="13.8">
      <c r="A36" s="44"/>
      <c r="B36" s="44" t="s">
        <v>28</v>
      </c>
      <c r="C36" s="44"/>
      <c r="D36" s="44" t="s">
        <v>20</v>
      </c>
      <c r="E36" s="44" t="s">
        <v>43</v>
      </c>
      <c r="F36" s="44" t="s">
        <v>43</v>
      </c>
      <c r="G36" s="44" t="s">
        <v>43</v>
      </c>
      <c r="H36" s="46" t="s">
        <v>23</v>
      </c>
      <c r="I36" s="46"/>
      <c r="J36" s="46">
        <v>25992.31</v>
      </c>
      <c r="K36" s="46">
        <f t="shared" si="2"/>
        <v>25992.31</v>
      </c>
      <c r="L36" s="46">
        <f t="shared" si="3"/>
        <v>0</v>
      </c>
      <c r="M36" s="46">
        <f t="shared" si="4"/>
        <v>0</v>
      </c>
      <c r="N36" s="46">
        <f>E36*J36</f>
        <v>2755184.8600000003</v>
      </c>
      <c r="O36" s="46">
        <f t="shared" si="6"/>
        <v>2755184.8600000003</v>
      </c>
      <c r="P36" s="46">
        <f t="shared" si="7"/>
        <v>2755184.8600000003</v>
      </c>
      <c r="Q36" s="46">
        <f t="shared" si="7"/>
        <v>2755184.8600000003</v>
      </c>
    </row>
    <row r="37" spans="1:17" ht="13.8">
      <c r="A37" s="44" t="s">
        <v>44</v>
      </c>
      <c r="B37" s="52"/>
      <c r="C37" s="52"/>
      <c r="D37" s="52"/>
      <c r="E37" s="48"/>
      <c r="F37" s="48"/>
      <c r="G37" s="48"/>
      <c r="H37" s="46"/>
      <c r="I37" s="46"/>
      <c r="J37" s="46"/>
      <c r="K37" s="46">
        <f t="shared" si="2"/>
        <v>0</v>
      </c>
      <c r="L37" s="46">
        <f>L38+L44</f>
        <v>15084942.340000002</v>
      </c>
      <c r="M37" s="46">
        <f t="shared" ref="M37:N37" si="17">M38+M44</f>
        <v>2552358.3400000003</v>
      </c>
      <c r="N37" s="46">
        <f t="shared" si="17"/>
        <v>11524002</v>
      </c>
      <c r="O37" s="46">
        <f t="shared" ref="O37:Q37" si="18">O38+O44</f>
        <v>29161302.680000003</v>
      </c>
      <c r="P37" s="46">
        <f t="shared" si="18"/>
        <v>29161302.680000003</v>
      </c>
      <c r="Q37" s="46">
        <f t="shared" si="18"/>
        <v>29161302.680000003</v>
      </c>
    </row>
    <row r="38" spans="1:17" ht="82.8">
      <c r="A38" s="42"/>
      <c r="B38" s="47" t="s">
        <v>76</v>
      </c>
      <c r="C38" s="47"/>
      <c r="D38" s="52"/>
      <c r="E38" s="48"/>
      <c r="F38" s="48"/>
      <c r="G38" s="48"/>
      <c r="H38" s="46"/>
      <c r="I38" s="46"/>
      <c r="J38" s="46"/>
      <c r="K38" s="46">
        <f t="shared" si="2"/>
        <v>0</v>
      </c>
      <c r="L38" s="46">
        <f>L39+L40+L41</f>
        <v>15084942.340000002</v>
      </c>
      <c r="M38" s="46">
        <f>M39+M40+M41</f>
        <v>2552358.3400000003</v>
      </c>
      <c r="N38" s="46">
        <f t="shared" ref="N38" si="19">N39+N40+N41</f>
        <v>5883670.7299999995</v>
      </c>
      <c r="O38" s="46">
        <f t="shared" si="6"/>
        <v>23520971.410000004</v>
      </c>
      <c r="P38" s="46">
        <f t="shared" si="7"/>
        <v>23520971.410000004</v>
      </c>
      <c r="Q38" s="46">
        <f t="shared" si="7"/>
        <v>23520971.410000004</v>
      </c>
    </row>
    <row r="39" spans="1:17" ht="96.6">
      <c r="A39" s="42"/>
      <c r="B39" s="44" t="s">
        <v>19</v>
      </c>
      <c r="C39" s="42" t="s">
        <v>0</v>
      </c>
      <c r="D39" s="50" t="s">
        <v>20</v>
      </c>
      <c r="E39" s="44" t="s">
        <v>45</v>
      </c>
      <c r="F39" s="44" t="s">
        <v>45</v>
      </c>
      <c r="G39" s="44" t="s">
        <v>45</v>
      </c>
      <c r="H39" s="46">
        <v>41608.51</v>
      </c>
      <c r="I39" s="46">
        <v>11762.02</v>
      </c>
      <c r="J39" s="46">
        <v>27113.69</v>
      </c>
      <c r="K39" s="46">
        <f t="shared" si="2"/>
        <v>80484.22</v>
      </c>
      <c r="L39" s="46">
        <f>E39*H39</f>
        <v>2163642.52</v>
      </c>
      <c r="M39" s="46">
        <f>E39*I39</f>
        <v>611625.04</v>
      </c>
      <c r="N39" s="46">
        <f>E39*J39</f>
        <v>1409911.88</v>
      </c>
      <c r="O39" s="46">
        <f t="shared" si="6"/>
        <v>4185179.44</v>
      </c>
      <c r="P39" s="46">
        <f t="shared" si="7"/>
        <v>4185179.44</v>
      </c>
      <c r="Q39" s="46">
        <f t="shared" si="7"/>
        <v>4185179.44</v>
      </c>
    </row>
    <row r="40" spans="1:17" ht="13.8">
      <c r="A40" s="49"/>
      <c r="B40" s="44" t="s">
        <v>24</v>
      </c>
      <c r="C40" s="44"/>
      <c r="D40" s="44" t="s">
        <v>20</v>
      </c>
      <c r="E40" s="44" t="s">
        <v>46</v>
      </c>
      <c r="F40" s="44" t="s">
        <v>46</v>
      </c>
      <c r="G40" s="44" t="s">
        <v>46</v>
      </c>
      <c r="H40" s="46">
        <v>32991.18</v>
      </c>
      <c r="I40" s="46">
        <v>11762.02</v>
      </c>
      <c r="J40" s="46">
        <v>27113.69</v>
      </c>
      <c r="K40" s="46">
        <f t="shared" si="2"/>
        <v>71866.89</v>
      </c>
      <c r="L40" s="46">
        <f t="shared" ref="L40:L41" si="20">E40*H40</f>
        <v>3068179.74</v>
      </c>
      <c r="M40" s="46">
        <f>E40*I40</f>
        <v>1093867.8600000001</v>
      </c>
      <c r="N40" s="46">
        <f t="shared" ref="N40:N41" si="21">E40*J40</f>
        <v>2521573.17</v>
      </c>
      <c r="O40" s="46">
        <f t="shared" si="6"/>
        <v>6683620.7700000005</v>
      </c>
      <c r="P40" s="46">
        <f t="shared" si="7"/>
        <v>6683620.7700000005</v>
      </c>
      <c r="Q40" s="46">
        <f t="shared" si="7"/>
        <v>6683620.7700000005</v>
      </c>
    </row>
    <row r="41" spans="1:17" ht="96.6">
      <c r="A41" s="42"/>
      <c r="B41" s="52"/>
      <c r="C41" s="42" t="s">
        <v>38</v>
      </c>
      <c r="D41" s="50" t="s">
        <v>20</v>
      </c>
      <c r="E41" s="44" t="s">
        <v>47</v>
      </c>
      <c r="F41" s="44" t="s">
        <v>47</v>
      </c>
      <c r="G41" s="44" t="s">
        <v>47</v>
      </c>
      <c r="H41" s="46">
        <v>136848.89000000001</v>
      </c>
      <c r="I41" s="46">
        <v>11762.02</v>
      </c>
      <c r="J41" s="46">
        <v>27113.69</v>
      </c>
      <c r="K41" s="46">
        <f t="shared" si="2"/>
        <v>175724.6</v>
      </c>
      <c r="L41" s="46">
        <f t="shared" si="20"/>
        <v>9853120.0800000019</v>
      </c>
      <c r="M41" s="46">
        <f>E41*I41</f>
        <v>846865.44000000006</v>
      </c>
      <c r="N41" s="46">
        <f t="shared" si="21"/>
        <v>1952185.68</v>
      </c>
      <c r="O41" s="46">
        <f t="shared" si="6"/>
        <v>12652171.200000001</v>
      </c>
      <c r="P41" s="46">
        <f t="shared" si="7"/>
        <v>12652171.200000001</v>
      </c>
      <c r="Q41" s="46">
        <f t="shared" si="7"/>
        <v>12652171.200000001</v>
      </c>
    </row>
    <row r="42" spans="1:17" ht="13.8" hidden="1">
      <c r="A42" s="44" t="s">
        <v>26</v>
      </c>
      <c r="B42" s="52"/>
      <c r="C42" s="52"/>
      <c r="D42" s="44" t="s">
        <v>20</v>
      </c>
      <c r="E42" s="44" t="s">
        <v>48</v>
      </c>
      <c r="F42" s="44" t="s">
        <v>48</v>
      </c>
      <c r="G42" s="44" t="s">
        <v>48</v>
      </c>
      <c r="H42" s="46"/>
      <c r="I42" s="46">
        <v>11762.02</v>
      </c>
      <c r="J42" s="46"/>
      <c r="K42" s="46">
        <f t="shared" si="2"/>
        <v>11762.02</v>
      </c>
      <c r="L42" s="46">
        <f t="shared" si="3"/>
        <v>0</v>
      </c>
      <c r="M42" s="46">
        <f t="shared" si="4"/>
        <v>2552358.3400000003</v>
      </c>
      <c r="N42" s="46">
        <f t="shared" si="5"/>
        <v>0</v>
      </c>
      <c r="O42" s="46">
        <f t="shared" si="6"/>
        <v>2552358.3400000003</v>
      </c>
      <c r="P42" s="46">
        <f t="shared" si="7"/>
        <v>2552358.3400000003</v>
      </c>
      <c r="Q42" s="46">
        <f t="shared" si="7"/>
        <v>2552358.3400000003</v>
      </c>
    </row>
    <row r="43" spans="1:17" ht="69" hidden="1">
      <c r="A43" s="42" t="s">
        <v>77</v>
      </c>
      <c r="B43" s="52"/>
      <c r="C43" s="52"/>
      <c r="D43" s="50" t="s">
        <v>20</v>
      </c>
      <c r="E43" s="44" t="s">
        <v>48</v>
      </c>
      <c r="F43" s="44" t="s">
        <v>48</v>
      </c>
      <c r="G43" s="44" t="s">
        <v>48</v>
      </c>
      <c r="H43" s="46"/>
      <c r="I43" s="46"/>
      <c r="J43" s="46" t="s">
        <v>22</v>
      </c>
      <c r="K43" s="46">
        <f t="shared" si="2"/>
        <v>0</v>
      </c>
      <c r="L43" s="46">
        <f t="shared" si="3"/>
        <v>0</v>
      </c>
      <c r="M43" s="46">
        <f t="shared" si="4"/>
        <v>0</v>
      </c>
      <c r="N43" s="46">
        <f t="shared" si="5"/>
        <v>0</v>
      </c>
      <c r="O43" s="46">
        <f t="shared" si="6"/>
        <v>0</v>
      </c>
      <c r="P43" s="46">
        <f t="shared" si="7"/>
        <v>0</v>
      </c>
      <c r="Q43" s="46">
        <f t="shared" si="7"/>
        <v>0</v>
      </c>
    </row>
    <row r="44" spans="1:17" ht="13.8">
      <c r="A44" s="44"/>
      <c r="B44" s="44" t="s">
        <v>28</v>
      </c>
      <c r="C44" s="44"/>
      <c r="D44" s="44" t="s">
        <v>20</v>
      </c>
      <c r="E44" s="44" t="s">
        <v>48</v>
      </c>
      <c r="F44" s="44" t="s">
        <v>48</v>
      </c>
      <c r="G44" s="44" t="s">
        <v>48</v>
      </c>
      <c r="H44" s="46" t="s">
        <v>23</v>
      </c>
      <c r="I44" s="46"/>
      <c r="J44" s="46">
        <v>25992.31</v>
      </c>
      <c r="K44" s="46">
        <f t="shared" si="2"/>
        <v>25992.31</v>
      </c>
      <c r="L44" s="46">
        <f t="shared" si="3"/>
        <v>0</v>
      </c>
      <c r="M44" s="46">
        <f t="shared" si="4"/>
        <v>0</v>
      </c>
      <c r="N44" s="46">
        <f t="shared" si="5"/>
        <v>5640331.2700000005</v>
      </c>
      <c r="O44" s="46">
        <f t="shared" si="6"/>
        <v>5640331.2700000005</v>
      </c>
      <c r="P44" s="46">
        <f t="shared" si="7"/>
        <v>5640331.2700000005</v>
      </c>
      <c r="Q44" s="46">
        <f t="shared" si="7"/>
        <v>5640331.2700000005</v>
      </c>
    </row>
    <row r="45" spans="1:17" ht="13.8">
      <c r="A45" s="44" t="s">
        <v>49</v>
      </c>
      <c r="B45" s="52"/>
      <c r="C45" s="52"/>
      <c r="D45" s="52"/>
      <c r="E45" s="48"/>
      <c r="F45" s="48"/>
      <c r="G45" s="48"/>
      <c r="H45" s="46"/>
      <c r="I45" s="46"/>
      <c r="J45" s="46"/>
      <c r="K45" s="46">
        <f t="shared" si="2"/>
        <v>0</v>
      </c>
      <c r="L45" s="46">
        <f>L46+L51</f>
        <v>3744011.37</v>
      </c>
      <c r="M45" s="46">
        <f t="shared" ref="M45:N45" si="22">M46+M51</f>
        <v>1270298.1599999999</v>
      </c>
      <c r="N45" s="46">
        <f t="shared" si="22"/>
        <v>5735448</v>
      </c>
      <c r="O45" s="46">
        <f t="shared" si="6"/>
        <v>10749757.530000001</v>
      </c>
      <c r="P45" s="46">
        <f t="shared" si="7"/>
        <v>10749757.530000001</v>
      </c>
      <c r="Q45" s="46">
        <f t="shared" si="7"/>
        <v>10749757.530000001</v>
      </c>
    </row>
    <row r="46" spans="1:17" ht="82.8">
      <c r="A46" s="42"/>
      <c r="B46" s="47" t="s">
        <v>76</v>
      </c>
      <c r="C46" s="47"/>
      <c r="D46" s="52"/>
      <c r="E46" s="48"/>
      <c r="F46" s="48"/>
      <c r="G46" s="48"/>
      <c r="H46" s="46"/>
      <c r="I46" s="46"/>
      <c r="J46" s="46"/>
      <c r="K46" s="46">
        <f t="shared" si="2"/>
        <v>0</v>
      </c>
      <c r="L46" s="46">
        <f>L47+L48</f>
        <v>3744011.37</v>
      </c>
      <c r="M46" s="46">
        <f t="shared" ref="M46:N46" si="23">M47+M48</f>
        <v>1270298.1599999999</v>
      </c>
      <c r="N46" s="46">
        <f t="shared" si="23"/>
        <v>2928278.5199999996</v>
      </c>
      <c r="O46" s="46">
        <f t="shared" si="6"/>
        <v>7942588.0499999998</v>
      </c>
      <c r="P46" s="46">
        <f t="shared" si="7"/>
        <v>7942588.0499999998</v>
      </c>
      <c r="Q46" s="46">
        <f t="shared" si="7"/>
        <v>7942588.0499999998</v>
      </c>
    </row>
    <row r="47" spans="1:17" ht="96.6">
      <c r="A47" s="42"/>
      <c r="B47" s="44" t="s">
        <v>19</v>
      </c>
      <c r="C47" s="42" t="s">
        <v>0</v>
      </c>
      <c r="D47" s="50" t="s">
        <v>20</v>
      </c>
      <c r="E47" s="44" t="s">
        <v>50</v>
      </c>
      <c r="F47" s="44" t="s">
        <v>50</v>
      </c>
      <c r="G47" s="44" t="s">
        <v>50</v>
      </c>
      <c r="H47" s="46">
        <v>41608.51</v>
      </c>
      <c r="I47" s="46">
        <v>11762.02</v>
      </c>
      <c r="J47" s="46">
        <v>27113.69</v>
      </c>
      <c r="K47" s="46">
        <f t="shared" si="2"/>
        <v>80484.22</v>
      </c>
      <c r="L47" s="46">
        <f>E47*H47</f>
        <v>873778.71000000008</v>
      </c>
      <c r="M47" s="46">
        <f>E47*I47</f>
        <v>247002.42</v>
      </c>
      <c r="N47" s="46">
        <f>E47*J47</f>
        <v>569387.49</v>
      </c>
      <c r="O47" s="46">
        <f t="shared" si="6"/>
        <v>1690168.62</v>
      </c>
      <c r="P47" s="46">
        <f t="shared" si="7"/>
        <v>1690168.62</v>
      </c>
      <c r="Q47" s="46">
        <f t="shared" si="7"/>
        <v>1690168.62</v>
      </c>
    </row>
    <row r="48" spans="1:17" ht="13.8">
      <c r="A48" s="49"/>
      <c r="B48" s="44" t="s">
        <v>24</v>
      </c>
      <c r="C48" s="44"/>
      <c r="D48" s="44" t="s">
        <v>20</v>
      </c>
      <c r="E48" s="44" t="s">
        <v>42</v>
      </c>
      <c r="F48" s="44" t="s">
        <v>42</v>
      </c>
      <c r="G48" s="44" t="s">
        <v>42</v>
      </c>
      <c r="H48" s="46">
        <v>32991.18</v>
      </c>
      <c r="I48" s="46">
        <v>11762.02</v>
      </c>
      <c r="J48" s="46">
        <v>27113.69</v>
      </c>
      <c r="K48" s="46">
        <f t="shared" si="2"/>
        <v>71866.89</v>
      </c>
      <c r="L48" s="46">
        <f>E48*H48</f>
        <v>2870232.66</v>
      </c>
      <c r="M48" s="46">
        <f>E48*I48</f>
        <v>1023295.74</v>
      </c>
      <c r="N48" s="46">
        <f>E48*J48</f>
        <v>2358891.0299999998</v>
      </c>
      <c r="O48" s="46">
        <f t="shared" si="6"/>
        <v>6252419.4299999997</v>
      </c>
      <c r="P48" s="46">
        <f t="shared" si="7"/>
        <v>6252419.4299999997</v>
      </c>
      <c r="Q48" s="46">
        <f t="shared" si="7"/>
        <v>6252419.4299999997</v>
      </c>
    </row>
    <row r="49" spans="1:17" ht="13.8" hidden="1">
      <c r="A49" s="44" t="s">
        <v>51</v>
      </c>
      <c r="B49" s="52"/>
      <c r="C49" s="52"/>
      <c r="D49" s="52"/>
      <c r="E49" s="44" t="s">
        <v>52</v>
      </c>
      <c r="F49" s="44" t="s">
        <v>52</v>
      </c>
      <c r="G49" s="44" t="s">
        <v>52</v>
      </c>
      <c r="H49" s="46"/>
      <c r="I49" s="46">
        <v>11762.02</v>
      </c>
      <c r="J49" s="46"/>
      <c r="K49" s="46">
        <f t="shared" si="2"/>
        <v>11762.02</v>
      </c>
      <c r="L49" s="46">
        <f t="shared" si="3"/>
        <v>0</v>
      </c>
      <c r="M49" s="46">
        <f t="shared" si="4"/>
        <v>1270298.1600000001</v>
      </c>
      <c r="N49" s="46">
        <f t="shared" si="5"/>
        <v>0</v>
      </c>
      <c r="O49" s="46">
        <f t="shared" si="6"/>
        <v>1270298.1600000001</v>
      </c>
      <c r="P49" s="46">
        <f t="shared" si="7"/>
        <v>1270298.1600000001</v>
      </c>
      <c r="Q49" s="46">
        <f t="shared" si="7"/>
        <v>1270298.1600000001</v>
      </c>
    </row>
    <row r="50" spans="1:17" ht="55.2" hidden="1">
      <c r="A50" s="42" t="s">
        <v>33</v>
      </c>
      <c r="B50" s="52"/>
      <c r="C50" s="52"/>
      <c r="D50" s="52"/>
      <c r="E50" s="44" t="s">
        <v>52</v>
      </c>
      <c r="F50" s="44" t="s">
        <v>52</v>
      </c>
      <c r="G50" s="44" t="s">
        <v>52</v>
      </c>
      <c r="H50" s="46"/>
      <c r="I50" s="46"/>
      <c r="J50" s="46" t="s">
        <v>22</v>
      </c>
      <c r="K50" s="46">
        <f t="shared" si="2"/>
        <v>0</v>
      </c>
      <c r="L50" s="46">
        <f t="shared" si="3"/>
        <v>0</v>
      </c>
      <c r="M50" s="46">
        <f t="shared" si="4"/>
        <v>0</v>
      </c>
      <c r="N50" s="46">
        <f t="shared" si="5"/>
        <v>0</v>
      </c>
      <c r="O50" s="46">
        <f t="shared" si="6"/>
        <v>0</v>
      </c>
      <c r="P50" s="46">
        <f t="shared" si="7"/>
        <v>0</v>
      </c>
      <c r="Q50" s="46">
        <f t="shared" si="7"/>
        <v>0</v>
      </c>
    </row>
    <row r="51" spans="1:17" ht="13.8">
      <c r="A51" s="44"/>
      <c r="B51" s="44" t="s">
        <v>28</v>
      </c>
      <c r="C51" s="44"/>
      <c r="D51" s="44" t="s">
        <v>20</v>
      </c>
      <c r="E51" s="44" t="s">
        <v>52</v>
      </c>
      <c r="F51" s="44" t="s">
        <v>52</v>
      </c>
      <c r="G51" s="44" t="s">
        <v>52</v>
      </c>
      <c r="H51" s="46" t="s">
        <v>23</v>
      </c>
      <c r="I51" s="46"/>
      <c r="J51" s="46">
        <v>25992.31</v>
      </c>
      <c r="K51" s="46">
        <f t="shared" si="2"/>
        <v>25992.31</v>
      </c>
      <c r="L51" s="46">
        <f t="shared" si="3"/>
        <v>0</v>
      </c>
      <c r="M51" s="46">
        <f t="shared" si="4"/>
        <v>0</v>
      </c>
      <c r="N51" s="46">
        <f t="shared" si="5"/>
        <v>2807169.48</v>
      </c>
      <c r="O51" s="46">
        <f t="shared" si="6"/>
        <v>2807169.48</v>
      </c>
      <c r="P51" s="46">
        <f t="shared" si="7"/>
        <v>2807169.48</v>
      </c>
      <c r="Q51" s="46">
        <f t="shared" si="7"/>
        <v>2807169.48</v>
      </c>
    </row>
    <row r="52" spans="1:17" ht="13.8">
      <c r="A52" s="44" t="s">
        <v>53</v>
      </c>
      <c r="B52" s="52"/>
      <c r="C52" s="52"/>
      <c r="D52" s="52"/>
      <c r="E52" s="48"/>
      <c r="F52" s="48"/>
      <c r="G52" s="48"/>
      <c r="H52" s="46"/>
      <c r="I52" s="46"/>
      <c r="J52" s="46"/>
      <c r="K52" s="46">
        <f t="shared" si="2"/>
        <v>0</v>
      </c>
      <c r="L52" s="46">
        <f>L53+L58</f>
        <v>5301987.53</v>
      </c>
      <c r="M52" s="46">
        <f t="shared" ref="M52:N52" si="24">M53+M58</f>
        <v>1764303</v>
      </c>
      <c r="N52" s="46">
        <f t="shared" si="24"/>
        <v>7965900</v>
      </c>
      <c r="O52" s="46">
        <f t="shared" si="6"/>
        <v>15032190.530000001</v>
      </c>
      <c r="P52" s="46">
        <f t="shared" si="7"/>
        <v>15032190.530000001</v>
      </c>
      <c r="Q52" s="46">
        <f t="shared" si="7"/>
        <v>15032190.530000001</v>
      </c>
    </row>
    <row r="53" spans="1:17" ht="82.8">
      <c r="A53" s="42"/>
      <c r="B53" s="47" t="s">
        <v>76</v>
      </c>
      <c r="C53" s="47"/>
      <c r="D53" s="52"/>
      <c r="E53" s="48"/>
      <c r="F53" s="48"/>
      <c r="G53" s="48"/>
      <c r="H53" s="46"/>
      <c r="I53" s="46"/>
      <c r="J53" s="46"/>
      <c r="K53" s="46">
        <f t="shared" si="2"/>
        <v>0</v>
      </c>
      <c r="L53" s="46">
        <f>L54+L55</f>
        <v>5301987.53</v>
      </c>
      <c r="M53" s="46">
        <f t="shared" ref="M53:N53" si="25">M54+M55</f>
        <v>1764303</v>
      </c>
      <c r="N53" s="46">
        <f t="shared" si="25"/>
        <v>4067053.5</v>
      </c>
      <c r="O53" s="46">
        <f t="shared" si="6"/>
        <v>11133344.030000001</v>
      </c>
      <c r="P53" s="46">
        <f t="shared" si="7"/>
        <v>11133344.030000001</v>
      </c>
      <c r="Q53" s="46">
        <f t="shared" si="7"/>
        <v>11133344.030000001</v>
      </c>
    </row>
    <row r="54" spans="1:17" ht="96.6">
      <c r="A54" s="42"/>
      <c r="B54" s="44" t="s">
        <v>19</v>
      </c>
      <c r="C54" s="42" t="s">
        <v>0</v>
      </c>
      <c r="D54" s="50" t="s">
        <v>20</v>
      </c>
      <c r="E54" s="44" t="s">
        <v>54</v>
      </c>
      <c r="F54" s="44" t="s">
        <v>54</v>
      </c>
      <c r="G54" s="44" t="s">
        <v>54</v>
      </c>
      <c r="H54" s="46">
        <v>41608.51</v>
      </c>
      <c r="I54" s="46">
        <v>11762.02</v>
      </c>
      <c r="J54" s="46">
        <v>27113.69</v>
      </c>
      <c r="K54" s="46">
        <f t="shared" si="2"/>
        <v>80484.22</v>
      </c>
      <c r="L54" s="46">
        <f>E54*H54</f>
        <v>1705948.9100000001</v>
      </c>
      <c r="M54" s="46">
        <f>E54*I54</f>
        <v>482242.82</v>
      </c>
      <c r="N54" s="46">
        <f>E54*J54</f>
        <v>1111661.29</v>
      </c>
      <c r="O54" s="46">
        <f t="shared" si="6"/>
        <v>3299853.02</v>
      </c>
      <c r="P54" s="46">
        <f t="shared" si="7"/>
        <v>3299853.02</v>
      </c>
      <c r="Q54" s="46">
        <f t="shared" si="7"/>
        <v>3299853.02</v>
      </c>
    </row>
    <row r="55" spans="1:17" ht="13.8">
      <c r="A55" s="49"/>
      <c r="B55" s="44" t="s">
        <v>24</v>
      </c>
      <c r="C55" s="44"/>
      <c r="D55" s="44" t="s">
        <v>20</v>
      </c>
      <c r="E55" s="44" t="s">
        <v>55</v>
      </c>
      <c r="F55" s="44" t="s">
        <v>55</v>
      </c>
      <c r="G55" s="44" t="s">
        <v>55</v>
      </c>
      <c r="H55" s="46">
        <v>32991.18</v>
      </c>
      <c r="I55" s="46">
        <v>11762.02</v>
      </c>
      <c r="J55" s="46">
        <v>27113.69</v>
      </c>
      <c r="K55" s="46">
        <f t="shared" si="2"/>
        <v>71866.89</v>
      </c>
      <c r="L55" s="46">
        <f>E55*H55</f>
        <v>3596038.62</v>
      </c>
      <c r="M55" s="46">
        <f>E55*I55</f>
        <v>1282060.18</v>
      </c>
      <c r="N55" s="46">
        <f>E55*J55</f>
        <v>2955392.21</v>
      </c>
      <c r="O55" s="46">
        <f t="shared" si="6"/>
        <v>7833491.0099999998</v>
      </c>
      <c r="P55" s="46">
        <f t="shared" si="7"/>
        <v>7833491.0099999998</v>
      </c>
      <c r="Q55" s="46">
        <f t="shared" si="7"/>
        <v>7833491.0099999998</v>
      </c>
    </row>
    <row r="56" spans="1:17" ht="13.8" hidden="1">
      <c r="A56" s="44" t="s">
        <v>51</v>
      </c>
      <c r="B56" s="52"/>
      <c r="C56" s="52"/>
      <c r="D56" s="44" t="s">
        <v>20</v>
      </c>
      <c r="E56" s="44" t="s">
        <v>56</v>
      </c>
      <c r="F56" s="44" t="s">
        <v>56</v>
      </c>
      <c r="G56" s="44" t="s">
        <v>56</v>
      </c>
      <c r="H56" s="46"/>
      <c r="I56" s="46">
        <v>11762.02</v>
      </c>
      <c r="J56" s="46"/>
      <c r="K56" s="46">
        <f t="shared" si="2"/>
        <v>11762.02</v>
      </c>
      <c r="L56" s="46">
        <f t="shared" si="3"/>
        <v>0</v>
      </c>
      <c r="M56" s="46">
        <f t="shared" si="4"/>
        <v>1764303</v>
      </c>
      <c r="N56" s="46">
        <f t="shared" si="5"/>
        <v>0</v>
      </c>
      <c r="O56" s="46">
        <f t="shared" si="6"/>
        <v>1764303</v>
      </c>
      <c r="P56" s="46">
        <f t="shared" si="7"/>
        <v>1764303</v>
      </c>
      <c r="Q56" s="46">
        <f t="shared" si="7"/>
        <v>1764303</v>
      </c>
    </row>
    <row r="57" spans="1:17" ht="69" hidden="1">
      <c r="A57" s="42" t="s">
        <v>77</v>
      </c>
      <c r="B57" s="52"/>
      <c r="C57" s="52"/>
      <c r="D57" s="50" t="s">
        <v>20</v>
      </c>
      <c r="E57" s="44" t="s">
        <v>56</v>
      </c>
      <c r="F57" s="44" t="s">
        <v>56</v>
      </c>
      <c r="G57" s="44" t="s">
        <v>56</v>
      </c>
      <c r="H57" s="46"/>
      <c r="I57" s="46"/>
      <c r="J57" s="46" t="s">
        <v>22</v>
      </c>
      <c r="K57" s="46">
        <f t="shared" si="2"/>
        <v>0</v>
      </c>
      <c r="L57" s="46">
        <f t="shared" si="3"/>
        <v>0</v>
      </c>
      <c r="M57" s="46">
        <f t="shared" si="4"/>
        <v>0</v>
      </c>
      <c r="N57" s="46">
        <f t="shared" si="5"/>
        <v>0</v>
      </c>
      <c r="O57" s="46">
        <f t="shared" si="6"/>
        <v>0</v>
      </c>
      <c r="P57" s="46">
        <f t="shared" si="7"/>
        <v>0</v>
      </c>
      <c r="Q57" s="46">
        <f t="shared" si="7"/>
        <v>0</v>
      </c>
    </row>
    <row r="58" spans="1:17" ht="13.8">
      <c r="A58" s="44"/>
      <c r="B58" s="44" t="s">
        <v>28</v>
      </c>
      <c r="C58" s="44"/>
      <c r="D58" s="44" t="s">
        <v>20</v>
      </c>
      <c r="E58" s="44" t="s">
        <v>56</v>
      </c>
      <c r="F58" s="44" t="s">
        <v>56</v>
      </c>
      <c r="G58" s="44" t="s">
        <v>56</v>
      </c>
      <c r="H58" s="46" t="s">
        <v>23</v>
      </c>
      <c r="I58" s="46"/>
      <c r="J58" s="46">
        <v>25992.31</v>
      </c>
      <c r="K58" s="46">
        <f t="shared" si="2"/>
        <v>25992.31</v>
      </c>
      <c r="L58" s="46">
        <f t="shared" si="3"/>
        <v>0</v>
      </c>
      <c r="M58" s="46">
        <f t="shared" si="4"/>
        <v>0</v>
      </c>
      <c r="N58" s="46">
        <f t="shared" si="5"/>
        <v>3898846.5</v>
      </c>
      <c r="O58" s="46">
        <f t="shared" si="6"/>
        <v>3898846.5</v>
      </c>
      <c r="P58" s="46">
        <f t="shared" si="7"/>
        <v>3898846.5</v>
      </c>
      <c r="Q58" s="46">
        <f t="shared" si="7"/>
        <v>3898846.5</v>
      </c>
    </row>
    <row r="59" spans="1:17" ht="13.8">
      <c r="A59" s="44" t="s">
        <v>57</v>
      </c>
      <c r="B59" s="52"/>
      <c r="C59" s="52"/>
      <c r="D59" s="52"/>
      <c r="E59" s="48"/>
      <c r="F59" s="48"/>
      <c r="G59" s="48"/>
      <c r="H59" s="46"/>
      <c r="I59" s="46"/>
      <c r="J59" s="46"/>
      <c r="K59" s="46">
        <f t="shared" si="2"/>
        <v>0</v>
      </c>
      <c r="L59" s="46">
        <f>L60+L66</f>
        <v>4025136.4800000004</v>
      </c>
      <c r="M59" s="46">
        <f t="shared" ref="M59:N59" si="26">M60+M66</f>
        <v>1329108.2600000002</v>
      </c>
      <c r="N59" s="46">
        <f t="shared" si="26"/>
        <v>6000976.8700000001</v>
      </c>
      <c r="O59" s="46">
        <f t="shared" si="6"/>
        <v>11355221.609999999</v>
      </c>
      <c r="P59" s="46">
        <f t="shared" si="7"/>
        <v>11355221.609999999</v>
      </c>
      <c r="Q59" s="46">
        <f t="shared" si="7"/>
        <v>11355221.609999999</v>
      </c>
    </row>
    <row r="60" spans="1:17" ht="82.8">
      <c r="A60" s="42"/>
      <c r="B60" s="47" t="s">
        <v>76</v>
      </c>
      <c r="C60" s="47"/>
      <c r="D60" s="52"/>
      <c r="E60" s="48"/>
      <c r="F60" s="48"/>
      <c r="G60" s="48"/>
      <c r="H60" s="46"/>
      <c r="I60" s="46"/>
      <c r="J60" s="46"/>
      <c r="K60" s="46">
        <f t="shared" si="2"/>
        <v>0</v>
      </c>
      <c r="L60" s="46">
        <f>L61+L62+L63</f>
        <v>4025136.4800000004</v>
      </c>
      <c r="M60" s="46">
        <f t="shared" ref="M60:N60" si="27">M61+M62+M63</f>
        <v>1329108.2600000002</v>
      </c>
      <c r="N60" s="46">
        <f t="shared" si="27"/>
        <v>3063845.84</v>
      </c>
      <c r="O60" s="46">
        <f t="shared" si="6"/>
        <v>8418090.5800000001</v>
      </c>
      <c r="P60" s="46">
        <f t="shared" si="7"/>
        <v>8418090.5800000001</v>
      </c>
      <c r="Q60" s="46">
        <f t="shared" si="7"/>
        <v>8418090.5800000001</v>
      </c>
    </row>
    <row r="61" spans="1:17" ht="96.6">
      <c r="A61" s="42"/>
      <c r="B61" s="44" t="s">
        <v>19</v>
      </c>
      <c r="C61" s="42" t="s">
        <v>0</v>
      </c>
      <c r="D61" s="50" t="s">
        <v>20</v>
      </c>
      <c r="E61" s="44" t="s">
        <v>58</v>
      </c>
      <c r="F61" s="44" t="s">
        <v>58</v>
      </c>
      <c r="G61" s="44" t="s">
        <v>58</v>
      </c>
      <c r="H61" s="46">
        <v>41608.51</v>
      </c>
      <c r="I61" s="46">
        <v>11762.02</v>
      </c>
      <c r="J61" s="46" t="s">
        <v>82</v>
      </c>
      <c r="K61" s="46">
        <f t="shared" si="2"/>
        <v>80484.209999999992</v>
      </c>
      <c r="L61" s="46">
        <f>E61*H61</f>
        <v>748953.18</v>
      </c>
      <c r="M61" s="46">
        <f>E61*I61</f>
        <v>211716.36000000002</v>
      </c>
      <c r="N61" s="46">
        <f>E61*J61</f>
        <v>488046.24</v>
      </c>
      <c r="O61" s="46">
        <f t="shared" si="6"/>
        <v>1448715.78</v>
      </c>
      <c r="P61" s="46">
        <f t="shared" si="7"/>
        <v>1448715.78</v>
      </c>
      <c r="Q61" s="46">
        <f t="shared" si="7"/>
        <v>1448715.78</v>
      </c>
    </row>
    <row r="62" spans="1:17" ht="13.8">
      <c r="A62" s="49"/>
      <c r="B62" s="44" t="s">
        <v>24</v>
      </c>
      <c r="C62" s="44"/>
      <c r="D62" s="44" t="s">
        <v>20</v>
      </c>
      <c r="E62" s="44" t="s">
        <v>59</v>
      </c>
      <c r="F62" s="44" t="s">
        <v>59</v>
      </c>
      <c r="G62" s="44" t="s">
        <v>59</v>
      </c>
      <c r="H62" s="46">
        <v>32991.18</v>
      </c>
      <c r="I62" s="46">
        <v>11762.02</v>
      </c>
      <c r="J62" s="46" t="s">
        <v>82</v>
      </c>
      <c r="K62" s="46">
        <f t="shared" si="2"/>
        <v>71866.880000000005</v>
      </c>
      <c r="L62" s="46">
        <f t="shared" ref="L62:L63" si="28">E62*H62</f>
        <v>3134162.1</v>
      </c>
      <c r="M62" s="46">
        <f t="shared" ref="M62:M63" si="29">E62*I62</f>
        <v>1117391.9000000001</v>
      </c>
      <c r="N62" s="46">
        <f t="shared" ref="N62:N63" si="30">E62*J62</f>
        <v>2575799.6</v>
      </c>
      <c r="O62" s="46">
        <f t="shared" si="6"/>
        <v>6827353.5999999996</v>
      </c>
      <c r="P62" s="46">
        <f t="shared" si="7"/>
        <v>6827353.5999999996</v>
      </c>
      <c r="Q62" s="46">
        <f t="shared" si="7"/>
        <v>6827353.5999999996</v>
      </c>
    </row>
    <row r="63" spans="1:17" ht="69">
      <c r="A63" s="42"/>
      <c r="B63" s="52"/>
      <c r="C63" s="42" t="s">
        <v>78</v>
      </c>
      <c r="D63" s="50" t="s">
        <v>20</v>
      </c>
      <c r="E63" s="44" t="s">
        <v>59</v>
      </c>
      <c r="F63" s="44" t="s">
        <v>59</v>
      </c>
      <c r="G63" s="44" t="s">
        <v>59</v>
      </c>
      <c r="H63" s="46">
        <v>1494.96</v>
      </c>
      <c r="I63" s="46"/>
      <c r="J63" s="46"/>
      <c r="K63" s="46">
        <f t="shared" si="2"/>
        <v>1494.96</v>
      </c>
      <c r="L63" s="46">
        <f t="shared" si="28"/>
        <v>142021.20000000001</v>
      </c>
      <c r="M63" s="46">
        <f t="shared" si="29"/>
        <v>0</v>
      </c>
      <c r="N63" s="46">
        <f t="shared" si="30"/>
        <v>0</v>
      </c>
      <c r="O63" s="46">
        <f t="shared" si="6"/>
        <v>142021.20000000001</v>
      </c>
      <c r="P63" s="46">
        <f t="shared" si="7"/>
        <v>142021.20000000001</v>
      </c>
      <c r="Q63" s="46">
        <f t="shared" si="7"/>
        <v>142021.20000000001</v>
      </c>
    </row>
    <row r="64" spans="1:17" ht="13.8" hidden="1">
      <c r="A64" s="44" t="s">
        <v>26</v>
      </c>
      <c r="B64" s="52"/>
      <c r="C64" s="52"/>
      <c r="D64" s="44" t="s">
        <v>20</v>
      </c>
      <c r="E64" s="44" t="s">
        <v>60</v>
      </c>
      <c r="F64" s="44" t="s">
        <v>60</v>
      </c>
      <c r="G64" s="44" t="s">
        <v>60</v>
      </c>
      <c r="H64" s="46"/>
      <c r="I64" s="46"/>
      <c r="J64" s="46"/>
      <c r="K64" s="46">
        <f t="shared" si="2"/>
        <v>0</v>
      </c>
      <c r="L64" s="46">
        <f t="shared" si="3"/>
        <v>0</v>
      </c>
      <c r="M64" s="46">
        <f t="shared" si="4"/>
        <v>0</v>
      </c>
      <c r="N64" s="46">
        <f t="shared" si="5"/>
        <v>0</v>
      </c>
      <c r="O64" s="46">
        <f t="shared" si="6"/>
        <v>0</v>
      </c>
      <c r="P64" s="46">
        <f t="shared" si="7"/>
        <v>0</v>
      </c>
      <c r="Q64" s="46">
        <f t="shared" si="7"/>
        <v>0</v>
      </c>
    </row>
    <row r="65" spans="1:17" ht="69" hidden="1">
      <c r="A65" s="42" t="s">
        <v>77</v>
      </c>
      <c r="B65" s="52"/>
      <c r="C65" s="52"/>
      <c r="D65" s="50" t="s">
        <v>20</v>
      </c>
      <c r="E65" s="44" t="s">
        <v>60</v>
      </c>
      <c r="F65" s="44" t="s">
        <v>60</v>
      </c>
      <c r="G65" s="44" t="s">
        <v>60</v>
      </c>
      <c r="H65" s="46"/>
      <c r="I65" s="46"/>
      <c r="J65" s="46" t="s">
        <v>22</v>
      </c>
      <c r="K65" s="46">
        <f t="shared" si="2"/>
        <v>0</v>
      </c>
      <c r="L65" s="46">
        <f t="shared" si="3"/>
        <v>0</v>
      </c>
      <c r="M65" s="46">
        <f t="shared" si="4"/>
        <v>0</v>
      </c>
      <c r="N65" s="46">
        <f t="shared" si="5"/>
        <v>0</v>
      </c>
      <c r="O65" s="46">
        <f t="shared" si="6"/>
        <v>0</v>
      </c>
      <c r="P65" s="46">
        <f t="shared" si="7"/>
        <v>0</v>
      </c>
      <c r="Q65" s="46">
        <f t="shared" si="7"/>
        <v>0</v>
      </c>
    </row>
    <row r="66" spans="1:17" ht="13.8">
      <c r="A66" s="44"/>
      <c r="B66" s="44" t="s">
        <v>28</v>
      </c>
      <c r="C66" s="44"/>
      <c r="D66" s="44" t="s">
        <v>20</v>
      </c>
      <c r="E66" s="44" t="s">
        <v>60</v>
      </c>
      <c r="F66" s="44" t="s">
        <v>60</v>
      </c>
      <c r="G66" s="44" t="s">
        <v>60</v>
      </c>
      <c r="H66" s="46" t="s">
        <v>23</v>
      </c>
      <c r="I66" s="46"/>
      <c r="J66" s="46">
        <v>25992.31</v>
      </c>
      <c r="K66" s="46">
        <f t="shared" si="2"/>
        <v>25992.31</v>
      </c>
      <c r="L66" s="46">
        <f t="shared" si="3"/>
        <v>0</v>
      </c>
      <c r="M66" s="46">
        <f t="shared" si="4"/>
        <v>0</v>
      </c>
      <c r="N66" s="46">
        <f t="shared" si="5"/>
        <v>2937131.0300000003</v>
      </c>
      <c r="O66" s="46">
        <f t="shared" si="6"/>
        <v>2937131.0300000003</v>
      </c>
      <c r="P66" s="46">
        <f t="shared" si="7"/>
        <v>2937131.0300000003</v>
      </c>
      <c r="Q66" s="46">
        <f t="shared" si="7"/>
        <v>2937131.0300000003</v>
      </c>
    </row>
    <row r="67" spans="1:17" ht="13.8">
      <c r="A67" s="44" t="s">
        <v>61</v>
      </c>
      <c r="B67" s="52"/>
      <c r="C67" s="52"/>
      <c r="D67" s="52"/>
      <c r="E67" s="48"/>
      <c r="F67" s="48"/>
      <c r="G67" s="48"/>
      <c r="H67" s="46"/>
      <c r="I67" s="46"/>
      <c r="J67" s="46"/>
      <c r="K67" s="46">
        <f t="shared" si="2"/>
        <v>0</v>
      </c>
      <c r="L67" s="46">
        <f>L68+L74</f>
        <v>8424749.5500000007</v>
      </c>
      <c r="M67" s="46">
        <f t="shared" ref="M67:N67" si="31">M68+M74</f>
        <v>2764074.7</v>
      </c>
      <c r="N67" s="46">
        <f t="shared" si="31"/>
        <v>12479910</v>
      </c>
      <c r="O67" s="46">
        <f t="shared" si="6"/>
        <v>23668734.25</v>
      </c>
      <c r="P67" s="46">
        <f t="shared" si="7"/>
        <v>23668734.25</v>
      </c>
      <c r="Q67" s="46">
        <f t="shared" si="7"/>
        <v>23668734.25</v>
      </c>
    </row>
    <row r="68" spans="1:17" ht="82.8">
      <c r="A68" s="42"/>
      <c r="B68" s="47" t="s">
        <v>76</v>
      </c>
      <c r="C68" s="47"/>
      <c r="D68" s="52"/>
      <c r="E68" s="48"/>
      <c r="F68" s="48"/>
      <c r="G68" s="48"/>
      <c r="H68" s="46"/>
      <c r="I68" s="46"/>
      <c r="J68" s="46"/>
      <c r="K68" s="46">
        <f t="shared" si="2"/>
        <v>0</v>
      </c>
      <c r="L68" s="46">
        <f>L69+L70+L71</f>
        <v>8424749.5500000007</v>
      </c>
      <c r="M68" s="46">
        <f t="shared" ref="M68:N68" si="32">M69+M70+M71</f>
        <v>2764074.7</v>
      </c>
      <c r="N68" s="46">
        <f t="shared" si="32"/>
        <v>6371717.1499999994</v>
      </c>
      <c r="O68" s="46">
        <f t="shared" si="6"/>
        <v>17560541.399999999</v>
      </c>
      <c r="P68" s="46">
        <f t="shared" si="7"/>
        <v>17560541.399999999</v>
      </c>
      <c r="Q68" s="46">
        <f t="shared" si="7"/>
        <v>17560541.399999999</v>
      </c>
    </row>
    <row r="69" spans="1:17" ht="96.6">
      <c r="A69" s="42"/>
      <c r="B69" s="44" t="s">
        <v>19</v>
      </c>
      <c r="C69" s="42" t="s">
        <v>0</v>
      </c>
      <c r="D69" s="50" t="s">
        <v>20</v>
      </c>
      <c r="E69" s="44" t="s">
        <v>62</v>
      </c>
      <c r="F69" s="44" t="s">
        <v>62</v>
      </c>
      <c r="G69" s="44" t="s">
        <v>62</v>
      </c>
      <c r="H69" s="46">
        <v>41608.51</v>
      </c>
      <c r="I69" s="46">
        <v>11762.02</v>
      </c>
      <c r="J69" s="46">
        <v>27113.69</v>
      </c>
      <c r="K69" s="46">
        <f t="shared" si="2"/>
        <v>80484.22</v>
      </c>
      <c r="L69" s="46">
        <f>E69*H69</f>
        <v>1872382.9500000002</v>
      </c>
      <c r="M69" s="46">
        <f>E69*I69</f>
        <v>529290.9</v>
      </c>
      <c r="N69" s="46">
        <f>E69*J69</f>
        <v>1220116.05</v>
      </c>
      <c r="O69" s="46">
        <f t="shared" si="6"/>
        <v>3621789.9000000004</v>
      </c>
      <c r="P69" s="46">
        <f t="shared" si="7"/>
        <v>3621789.9000000004</v>
      </c>
      <c r="Q69" s="46">
        <f t="shared" si="7"/>
        <v>3621789.9000000004</v>
      </c>
    </row>
    <row r="70" spans="1:17" ht="13.8">
      <c r="A70" s="49"/>
      <c r="B70" s="44" t="s">
        <v>24</v>
      </c>
      <c r="C70" s="44"/>
      <c r="D70" s="44" t="s">
        <v>20</v>
      </c>
      <c r="E70" s="44" t="s">
        <v>63</v>
      </c>
      <c r="F70" s="44" t="s">
        <v>63</v>
      </c>
      <c r="G70" s="44" t="s">
        <v>63</v>
      </c>
      <c r="H70" s="46">
        <v>32991.18</v>
      </c>
      <c r="I70" s="46">
        <v>11762.02</v>
      </c>
      <c r="J70" s="46">
        <v>27113.69</v>
      </c>
      <c r="K70" s="46">
        <f t="shared" si="2"/>
        <v>71866.89</v>
      </c>
      <c r="L70" s="46">
        <f t="shared" ref="L70:L71" si="33">E70*H70</f>
        <v>6268324.2000000002</v>
      </c>
      <c r="M70" s="46">
        <f t="shared" ref="M70:M71" si="34">E70*I70</f>
        <v>2234783.8000000003</v>
      </c>
      <c r="N70" s="46">
        <f t="shared" ref="N70:N71" si="35">E70*J70</f>
        <v>5151601.0999999996</v>
      </c>
      <c r="O70" s="46">
        <f t="shared" si="6"/>
        <v>13654709.1</v>
      </c>
      <c r="P70" s="46">
        <f t="shared" si="7"/>
        <v>13654709.1</v>
      </c>
      <c r="Q70" s="46">
        <f t="shared" si="7"/>
        <v>13654709.1</v>
      </c>
    </row>
    <row r="71" spans="1:17" ht="69">
      <c r="A71" s="42"/>
      <c r="B71" s="52"/>
      <c r="C71" s="42" t="s">
        <v>78</v>
      </c>
      <c r="D71" s="50" t="s">
        <v>20</v>
      </c>
      <c r="E71" s="44" t="s">
        <v>63</v>
      </c>
      <c r="F71" s="44" t="s">
        <v>63</v>
      </c>
      <c r="G71" s="44" t="s">
        <v>63</v>
      </c>
      <c r="H71" s="46">
        <v>1494.96</v>
      </c>
      <c r="I71" s="46"/>
      <c r="J71" s="46"/>
      <c r="K71" s="46">
        <f t="shared" si="2"/>
        <v>1494.96</v>
      </c>
      <c r="L71" s="46">
        <f t="shared" si="33"/>
        <v>284042.40000000002</v>
      </c>
      <c r="M71" s="46">
        <f t="shared" si="34"/>
        <v>0</v>
      </c>
      <c r="N71" s="46">
        <f t="shared" si="35"/>
        <v>0</v>
      </c>
      <c r="O71" s="46">
        <f t="shared" si="6"/>
        <v>284042.40000000002</v>
      </c>
      <c r="P71" s="46">
        <f t="shared" si="7"/>
        <v>284042.40000000002</v>
      </c>
      <c r="Q71" s="46">
        <f t="shared" si="7"/>
        <v>284042.40000000002</v>
      </c>
    </row>
    <row r="72" spans="1:17" ht="13.8" hidden="1">
      <c r="A72" s="44" t="s">
        <v>51</v>
      </c>
      <c r="B72" s="52"/>
      <c r="C72" s="52"/>
      <c r="D72" s="44" t="s">
        <v>20</v>
      </c>
      <c r="E72" s="44" t="s">
        <v>64</v>
      </c>
      <c r="F72" s="44" t="s">
        <v>64</v>
      </c>
      <c r="G72" s="44" t="s">
        <v>64</v>
      </c>
      <c r="H72" s="46"/>
      <c r="I72" s="46"/>
      <c r="J72" s="46"/>
      <c r="K72" s="46">
        <f t="shared" si="2"/>
        <v>0</v>
      </c>
      <c r="L72" s="46">
        <f t="shared" si="3"/>
        <v>0</v>
      </c>
      <c r="M72" s="46">
        <f t="shared" si="4"/>
        <v>0</v>
      </c>
      <c r="N72" s="46">
        <f t="shared" si="5"/>
        <v>0</v>
      </c>
      <c r="O72" s="46">
        <f t="shared" si="6"/>
        <v>0</v>
      </c>
      <c r="P72" s="46">
        <f t="shared" si="7"/>
        <v>0</v>
      </c>
      <c r="Q72" s="46">
        <f t="shared" si="7"/>
        <v>0</v>
      </c>
    </row>
    <row r="73" spans="1:17" ht="69" hidden="1">
      <c r="A73" s="42" t="s">
        <v>77</v>
      </c>
      <c r="B73" s="52"/>
      <c r="C73" s="52"/>
      <c r="D73" s="50" t="s">
        <v>20</v>
      </c>
      <c r="E73" s="44" t="s">
        <v>64</v>
      </c>
      <c r="F73" s="44" t="s">
        <v>64</v>
      </c>
      <c r="G73" s="44" t="s">
        <v>64</v>
      </c>
      <c r="H73" s="46"/>
      <c r="I73" s="46"/>
      <c r="J73" s="46" t="s">
        <v>22</v>
      </c>
      <c r="K73" s="46">
        <f t="shared" si="2"/>
        <v>0</v>
      </c>
      <c r="L73" s="46">
        <f t="shared" si="3"/>
        <v>0</v>
      </c>
      <c r="M73" s="46">
        <f t="shared" si="4"/>
        <v>0</v>
      </c>
      <c r="N73" s="46">
        <f t="shared" si="5"/>
        <v>0</v>
      </c>
      <c r="O73" s="46">
        <f t="shared" si="6"/>
        <v>0</v>
      </c>
      <c r="P73" s="46">
        <f t="shared" si="7"/>
        <v>0</v>
      </c>
      <c r="Q73" s="46">
        <f t="shared" si="7"/>
        <v>0</v>
      </c>
    </row>
    <row r="74" spans="1:17" ht="13.8">
      <c r="A74" s="44"/>
      <c r="B74" s="44" t="s">
        <v>28</v>
      </c>
      <c r="C74" s="44"/>
      <c r="D74" s="44" t="s">
        <v>20</v>
      </c>
      <c r="E74" s="44" t="s">
        <v>64</v>
      </c>
      <c r="F74" s="44" t="s">
        <v>64</v>
      </c>
      <c r="G74" s="44" t="s">
        <v>64</v>
      </c>
      <c r="H74" s="46" t="s">
        <v>23</v>
      </c>
      <c r="I74" s="46"/>
      <c r="J74" s="46">
        <v>25992.31</v>
      </c>
      <c r="K74" s="46">
        <f t="shared" si="2"/>
        <v>25992.31</v>
      </c>
      <c r="L74" s="46">
        <f t="shared" si="3"/>
        <v>0</v>
      </c>
      <c r="M74" s="46">
        <f t="shared" si="4"/>
        <v>0</v>
      </c>
      <c r="N74" s="46">
        <f t="shared" si="5"/>
        <v>6108192.8500000006</v>
      </c>
      <c r="O74" s="46">
        <f t="shared" si="6"/>
        <v>6108192.8500000006</v>
      </c>
      <c r="P74" s="46">
        <f t="shared" si="7"/>
        <v>6108192.8500000006</v>
      </c>
      <c r="Q74" s="46">
        <f t="shared" si="7"/>
        <v>6108192.8500000006</v>
      </c>
    </row>
    <row r="75" spans="1:17" ht="13.8">
      <c r="A75" s="44" t="s">
        <v>65</v>
      </c>
      <c r="B75" s="52"/>
      <c r="C75" s="52"/>
      <c r="D75" s="52"/>
      <c r="E75" s="48"/>
      <c r="F75" s="48"/>
      <c r="G75" s="48"/>
      <c r="H75" s="46"/>
      <c r="I75" s="46"/>
      <c r="J75" s="46"/>
      <c r="K75" s="46">
        <f t="shared" si="2"/>
        <v>0</v>
      </c>
      <c r="L75" s="46">
        <f>L76+L81</f>
        <v>4885902.43</v>
      </c>
      <c r="M75" s="46">
        <f t="shared" ref="M75:N75" si="36">M76+M81</f>
        <v>1646682.7999999998</v>
      </c>
      <c r="N75" s="46">
        <f t="shared" si="36"/>
        <v>7434840</v>
      </c>
      <c r="O75" s="46">
        <f t="shared" si="6"/>
        <v>13967425.23</v>
      </c>
      <c r="P75" s="46">
        <f t="shared" si="7"/>
        <v>13967425.23</v>
      </c>
      <c r="Q75" s="46">
        <f t="shared" si="7"/>
        <v>13967425.23</v>
      </c>
    </row>
    <row r="76" spans="1:17" ht="82.8">
      <c r="A76" s="42"/>
      <c r="B76" s="47" t="s">
        <v>76</v>
      </c>
      <c r="C76" s="47"/>
      <c r="D76" s="52"/>
      <c r="E76" s="48"/>
      <c r="F76" s="48"/>
      <c r="G76" s="48"/>
      <c r="H76" s="46"/>
      <c r="I76" s="46"/>
      <c r="J76" s="46"/>
      <c r="K76" s="46">
        <f t="shared" ref="K76:K95" si="37">H76+I76+J76</f>
        <v>0</v>
      </c>
      <c r="L76" s="46">
        <f>L77+L78</f>
        <v>4885902.43</v>
      </c>
      <c r="M76" s="46">
        <f t="shared" ref="M76:N76" si="38">M77+M78</f>
        <v>1646682.7999999998</v>
      </c>
      <c r="N76" s="46">
        <f t="shared" si="38"/>
        <v>3795916.6</v>
      </c>
      <c r="O76" s="46">
        <f t="shared" ref="O76:O95" si="39">L76+M76+N76</f>
        <v>10328501.83</v>
      </c>
      <c r="P76" s="46">
        <f t="shared" ref="P76:Q95" si="40">O76</f>
        <v>10328501.83</v>
      </c>
      <c r="Q76" s="46">
        <f t="shared" si="40"/>
        <v>10328501.83</v>
      </c>
    </row>
    <row r="77" spans="1:17" ht="96.6">
      <c r="A77" s="42"/>
      <c r="B77" s="44" t="s">
        <v>19</v>
      </c>
      <c r="C77" s="42" t="s">
        <v>0</v>
      </c>
      <c r="D77" s="44" t="s">
        <v>20</v>
      </c>
      <c r="E77" s="44" t="s">
        <v>66</v>
      </c>
      <c r="F77" s="44" t="s">
        <v>66</v>
      </c>
      <c r="G77" s="44" t="s">
        <v>66</v>
      </c>
      <c r="H77" s="46">
        <v>41608.51</v>
      </c>
      <c r="I77" s="46">
        <v>11762.02</v>
      </c>
      <c r="J77" s="46">
        <v>27113.69</v>
      </c>
      <c r="K77" s="46">
        <f t="shared" si="37"/>
        <v>80484.22</v>
      </c>
      <c r="L77" s="46">
        <f>E77*H77</f>
        <v>1289863.81</v>
      </c>
      <c r="M77" s="46">
        <f>E77*I77</f>
        <v>364622.62</v>
      </c>
      <c r="N77" s="46">
        <f>E77*J77</f>
        <v>840524.39</v>
      </c>
      <c r="O77" s="46">
        <f t="shared" si="39"/>
        <v>2495010.8200000003</v>
      </c>
      <c r="P77" s="46">
        <f t="shared" si="40"/>
        <v>2495010.8200000003</v>
      </c>
      <c r="Q77" s="46">
        <f t="shared" si="40"/>
        <v>2495010.8200000003</v>
      </c>
    </row>
    <row r="78" spans="1:17" ht="13.8">
      <c r="A78" s="49"/>
      <c r="B78" s="44" t="s">
        <v>24</v>
      </c>
      <c r="C78" s="44"/>
      <c r="D78" s="44" t="s">
        <v>20</v>
      </c>
      <c r="E78" s="44" t="s">
        <v>55</v>
      </c>
      <c r="F78" s="44" t="s">
        <v>55</v>
      </c>
      <c r="G78" s="44" t="s">
        <v>55</v>
      </c>
      <c r="H78" s="46">
        <v>32991.18</v>
      </c>
      <c r="I78" s="46">
        <v>11762.02</v>
      </c>
      <c r="J78" s="46">
        <v>27113.69</v>
      </c>
      <c r="K78" s="46">
        <f t="shared" si="37"/>
        <v>71866.89</v>
      </c>
      <c r="L78" s="46">
        <f t="shared" ref="L78:L81" si="41">E78*H78</f>
        <v>3596038.62</v>
      </c>
      <c r="M78" s="46">
        <f>E78*I78</f>
        <v>1282060.18</v>
      </c>
      <c r="N78" s="46">
        <f>E78*J78</f>
        <v>2955392.21</v>
      </c>
      <c r="O78" s="46">
        <f t="shared" si="39"/>
        <v>7833491.0099999998</v>
      </c>
      <c r="P78" s="46">
        <f t="shared" si="40"/>
        <v>7833491.0099999998</v>
      </c>
      <c r="Q78" s="46">
        <f t="shared" si="40"/>
        <v>7833491.0099999998</v>
      </c>
    </row>
    <row r="79" spans="1:17" ht="13.8" hidden="1">
      <c r="A79" s="44" t="s">
        <v>51</v>
      </c>
      <c r="B79" s="52"/>
      <c r="C79" s="52"/>
      <c r="D79" s="44" t="s">
        <v>20</v>
      </c>
      <c r="E79" s="44" t="s">
        <v>67</v>
      </c>
      <c r="F79" s="44" t="s">
        <v>67</v>
      </c>
      <c r="G79" s="44" t="s">
        <v>67</v>
      </c>
      <c r="H79" s="46"/>
      <c r="I79" s="46">
        <v>11762.02</v>
      </c>
      <c r="J79" s="46"/>
      <c r="K79" s="46">
        <f t="shared" si="37"/>
        <v>11762.02</v>
      </c>
      <c r="L79" s="46">
        <f t="shared" si="41"/>
        <v>0</v>
      </c>
      <c r="M79" s="46">
        <f t="shared" ref="M79:M95" si="42">F79*I79</f>
        <v>1646682.8</v>
      </c>
      <c r="N79" s="46">
        <f t="shared" ref="N79:N95" si="43">G79*J79</f>
        <v>0</v>
      </c>
      <c r="O79" s="46">
        <f t="shared" si="39"/>
        <v>1646682.8</v>
      </c>
      <c r="P79" s="46">
        <f t="shared" si="40"/>
        <v>1646682.8</v>
      </c>
      <c r="Q79" s="46">
        <f t="shared" si="40"/>
        <v>1646682.8</v>
      </c>
    </row>
    <row r="80" spans="1:17" ht="69" hidden="1">
      <c r="A80" s="42" t="s">
        <v>77</v>
      </c>
      <c r="B80" s="52"/>
      <c r="C80" s="52"/>
      <c r="D80" s="44" t="s">
        <v>20</v>
      </c>
      <c r="E80" s="44" t="s">
        <v>67</v>
      </c>
      <c r="F80" s="44" t="s">
        <v>67</v>
      </c>
      <c r="G80" s="44" t="s">
        <v>67</v>
      </c>
      <c r="H80" s="46"/>
      <c r="I80" s="46"/>
      <c r="J80" s="46" t="s">
        <v>22</v>
      </c>
      <c r="K80" s="46">
        <f t="shared" si="37"/>
        <v>0</v>
      </c>
      <c r="L80" s="46">
        <f t="shared" si="41"/>
        <v>0</v>
      </c>
      <c r="M80" s="46">
        <f t="shared" si="42"/>
        <v>0</v>
      </c>
      <c r="N80" s="46">
        <f t="shared" si="43"/>
        <v>0</v>
      </c>
      <c r="O80" s="46">
        <f t="shared" si="39"/>
        <v>0</v>
      </c>
      <c r="P80" s="46">
        <f t="shared" si="40"/>
        <v>0</v>
      </c>
      <c r="Q80" s="46">
        <f t="shared" si="40"/>
        <v>0</v>
      </c>
    </row>
    <row r="81" spans="1:17" ht="13.8">
      <c r="A81" s="44"/>
      <c r="B81" s="44" t="s">
        <v>28</v>
      </c>
      <c r="C81" s="44"/>
      <c r="D81" s="44" t="s">
        <v>20</v>
      </c>
      <c r="E81" s="44" t="s">
        <v>67</v>
      </c>
      <c r="F81" s="44" t="s">
        <v>67</v>
      </c>
      <c r="G81" s="44" t="s">
        <v>67</v>
      </c>
      <c r="H81" s="46" t="s">
        <v>23</v>
      </c>
      <c r="I81" s="46"/>
      <c r="J81" s="46">
        <v>25992.31</v>
      </c>
      <c r="K81" s="46">
        <f t="shared" si="37"/>
        <v>25992.31</v>
      </c>
      <c r="L81" s="46">
        <f t="shared" si="41"/>
        <v>0</v>
      </c>
      <c r="M81" s="46">
        <f t="shared" si="42"/>
        <v>0</v>
      </c>
      <c r="N81" s="46">
        <f t="shared" si="43"/>
        <v>3638923.4000000004</v>
      </c>
      <c r="O81" s="46">
        <f t="shared" si="39"/>
        <v>3638923.4000000004</v>
      </c>
      <c r="P81" s="46">
        <f t="shared" si="40"/>
        <v>3638923.4000000004</v>
      </c>
      <c r="Q81" s="46">
        <f t="shared" si="40"/>
        <v>3638923.4000000004</v>
      </c>
    </row>
    <row r="82" spans="1:17" ht="13.8">
      <c r="A82" s="44" t="s">
        <v>68</v>
      </c>
      <c r="B82" s="52"/>
      <c r="C82" s="52"/>
      <c r="D82" s="52"/>
      <c r="E82" s="48"/>
      <c r="F82" s="48"/>
      <c r="G82" s="48"/>
      <c r="H82" s="46"/>
      <c r="I82" s="46"/>
      <c r="J82" s="46"/>
      <c r="K82" s="46">
        <f t="shared" si="37"/>
        <v>0</v>
      </c>
      <c r="L82" s="46">
        <f>L83+L88</f>
        <v>4860050.4400000004</v>
      </c>
      <c r="M82" s="46">
        <f t="shared" ref="M82:N82" si="44">M83+M88</f>
        <v>1646682.8</v>
      </c>
      <c r="N82" s="46">
        <f t="shared" si="44"/>
        <v>7434840</v>
      </c>
      <c r="O82" s="46">
        <f t="shared" si="39"/>
        <v>13941573.24</v>
      </c>
      <c r="P82" s="46">
        <f t="shared" si="40"/>
        <v>13941573.24</v>
      </c>
      <c r="Q82" s="46">
        <f t="shared" si="40"/>
        <v>13941573.24</v>
      </c>
    </row>
    <row r="83" spans="1:17" ht="82.8">
      <c r="A83" s="42"/>
      <c r="B83" s="47" t="s">
        <v>76</v>
      </c>
      <c r="C83" s="47"/>
      <c r="D83" s="52"/>
      <c r="E83" s="48"/>
      <c r="F83" s="48"/>
      <c r="G83" s="48"/>
      <c r="H83" s="46"/>
      <c r="I83" s="46"/>
      <c r="J83" s="46"/>
      <c r="K83" s="46">
        <f t="shared" si="37"/>
        <v>0</v>
      </c>
      <c r="L83" s="46">
        <f>L84+L85</f>
        <v>4860050.4400000004</v>
      </c>
      <c r="M83" s="46">
        <f t="shared" ref="M83:N83" si="45">M84+M85</f>
        <v>1646682.8</v>
      </c>
      <c r="N83" s="46">
        <f t="shared" si="45"/>
        <v>3795916.5999999996</v>
      </c>
      <c r="O83" s="46">
        <f t="shared" si="39"/>
        <v>10302649.84</v>
      </c>
      <c r="P83" s="46">
        <f t="shared" si="40"/>
        <v>10302649.84</v>
      </c>
      <c r="Q83" s="46">
        <f t="shared" si="40"/>
        <v>10302649.84</v>
      </c>
    </row>
    <row r="84" spans="1:17" ht="96.6">
      <c r="A84" s="42"/>
      <c r="B84" s="44" t="s">
        <v>19</v>
      </c>
      <c r="C84" s="42" t="s">
        <v>0</v>
      </c>
      <c r="D84" s="50" t="s">
        <v>20</v>
      </c>
      <c r="E84" s="44" t="s">
        <v>69</v>
      </c>
      <c r="F84" s="44" t="s">
        <v>69</v>
      </c>
      <c r="G84" s="44" t="s">
        <v>69</v>
      </c>
      <c r="H84" s="46">
        <v>41608.51</v>
      </c>
      <c r="I84" s="46">
        <v>11762.02</v>
      </c>
      <c r="J84" s="46">
        <v>27113.69</v>
      </c>
      <c r="K84" s="46">
        <f t="shared" si="37"/>
        <v>80484.22</v>
      </c>
      <c r="L84" s="46">
        <f>E84*H84</f>
        <v>1165038.28</v>
      </c>
      <c r="M84" s="46">
        <f>E84*I84</f>
        <v>329336.56</v>
      </c>
      <c r="N84" s="46">
        <f>E84*J84</f>
        <v>759183.32</v>
      </c>
      <c r="O84" s="46">
        <f t="shared" si="39"/>
        <v>2253558.16</v>
      </c>
      <c r="P84" s="46">
        <f t="shared" si="40"/>
        <v>2253558.16</v>
      </c>
      <c r="Q84" s="46">
        <f t="shared" si="40"/>
        <v>2253558.16</v>
      </c>
    </row>
    <row r="85" spans="1:17" ht="13.8">
      <c r="A85" s="49"/>
      <c r="B85" s="44" t="s">
        <v>24</v>
      </c>
      <c r="C85" s="44"/>
      <c r="D85" s="44" t="s">
        <v>20</v>
      </c>
      <c r="E85" s="44" t="s">
        <v>70</v>
      </c>
      <c r="F85" s="44" t="s">
        <v>70</v>
      </c>
      <c r="G85" s="44" t="s">
        <v>70</v>
      </c>
      <c r="H85" s="46">
        <v>32991.18</v>
      </c>
      <c r="I85" s="46">
        <v>11762.02</v>
      </c>
      <c r="J85" s="46">
        <v>27113.69</v>
      </c>
      <c r="K85" s="46">
        <f t="shared" si="37"/>
        <v>71866.89</v>
      </c>
      <c r="L85" s="46">
        <f>E85*H85</f>
        <v>3695012.16</v>
      </c>
      <c r="M85" s="46">
        <f>E85*I85</f>
        <v>1317346.24</v>
      </c>
      <c r="N85" s="46">
        <f t="shared" ref="N85:N87" si="46">E85*J85</f>
        <v>3036733.28</v>
      </c>
      <c r="O85" s="46">
        <f t="shared" si="39"/>
        <v>8049091.6799999997</v>
      </c>
      <c r="P85" s="46">
        <f t="shared" si="40"/>
        <v>8049091.6799999997</v>
      </c>
      <c r="Q85" s="46">
        <f t="shared" si="40"/>
        <v>8049091.6799999997</v>
      </c>
    </row>
    <row r="86" spans="1:17" ht="13.8" hidden="1">
      <c r="A86" s="44" t="s">
        <v>51</v>
      </c>
      <c r="B86" s="52"/>
      <c r="C86" s="52"/>
      <c r="D86" s="52"/>
      <c r="E86" s="44" t="s">
        <v>67</v>
      </c>
      <c r="F86" s="44" t="s">
        <v>67</v>
      </c>
      <c r="G86" s="44" t="s">
        <v>67</v>
      </c>
      <c r="H86" s="46"/>
      <c r="I86" s="46"/>
      <c r="J86" s="46"/>
      <c r="K86" s="46">
        <f t="shared" si="37"/>
        <v>0</v>
      </c>
      <c r="L86" s="46">
        <f t="shared" ref="L86:L95" si="47">E86*H86</f>
        <v>0</v>
      </c>
      <c r="M86" s="46">
        <f t="shared" si="42"/>
        <v>0</v>
      </c>
      <c r="N86" s="46">
        <f t="shared" si="46"/>
        <v>0</v>
      </c>
      <c r="O86" s="46">
        <f t="shared" si="39"/>
        <v>0</v>
      </c>
      <c r="P86" s="46">
        <f t="shared" si="40"/>
        <v>0</v>
      </c>
      <c r="Q86" s="46">
        <f t="shared" si="40"/>
        <v>0</v>
      </c>
    </row>
    <row r="87" spans="1:17" ht="69" hidden="1">
      <c r="A87" s="42" t="s">
        <v>77</v>
      </c>
      <c r="B87" s="52"/>
      <c r="C87" s="52"/>
      <c r="D87" s="52"/>
      <c r="E87" s="44" t="s">
        <v>67</v>
      </c>
      <c r="F87" s="44" t="s">
        <v>67</v>
      </c>
      <c r="G87" s="44" t="s">
        <v>67</v>
      </c>
      <c r="H87" s="46"/>
      <c r="I87" s="46"/>
      <c r="J87" s="46" t="s">
        <v>22</v>
      </c>
      <c r="K87" s="46">
        <f t="shared" si="37"/>
        <v>0</v>
      </c>
      <c r="L87" s="46">
        <f t="shared" si="47"/>
        <v>0</v>
      </c>
      <c r="M87" s="46">
        <f t="shared" si="42"/>
        <v>0</v>
      </c>
      <c r="N87" s="46">
        <f t="shared" si="46"/>
        <v>0</v>
      </c>
      <c r="O87" s="46">
        <f t="shared" si="39"/>
        <v>0</v>
      </c>
      <c r="P87" s="46">
        <f t="shared" si="40"/>
        <v>0</v>
      </c>
      <c r="Q87" s="46">
        <f t="shared" si="40"/>
        <v>0</v>
      </c>
    </row>
    <row r="88" spans="1:17" ht="13.8">
      <c r="A88" s="44"/>
      <c r="B88" s="44" t="s">
        <v>28</v>
      </c>
      <c r="C88" s="44"/>
      <c r="D88" s="44" t="s">
        <v>20</v>
      </c>
      <c r="E88" s="44" t="s">
        <v>67</v>
      </c>
      <c r="F88" s="44" t="s">
        <v>67</v>
      </c>
      <c r="G88" s="44" t="s">
        <v>67</v>
      </c>
      <c r="H88" s="46" t="s">
        <v>23</v>
      </c>
      <c r="I88" s="46"/>
      <c r="J88" s="46">
        <v>25992.31</v>
      </c>
      <c r="K88" s="46">
        <f t="shared" si="37"/>
        <v>25992.31</v>
      </c>
      <c r="L88" s="46">
        <f t="shared" si="47"/>
        <v>0</v>
      </c>
      <c r="M88" s="46">
        <f t="shared" si="42"/>
        <v>0</v>
      </c>
      <c r="N88" s="46">
        <f t="shared" si="43"/>
        <v>3638923.4000000004</v>
      </c>
      <c r="O88" s="46">
        <f t="shared" si="39"/>
        <v>3638923.4000000004</v>
      </c>
      <c r="P88" s="46">
        <f t="shared" si="40"/>
        <v>3638923.4000000004</v>
      </c>
      <c r="Q88" s="46">
        <f t="shared" si="40"/>
        <v>3638923.4000000004</v>
      </c>
    </row>
    <row r="89" spans="1:17" ht="13.8">
      <c r="A89" s="44" t="s">
        <v>71</v>
      </c>
      <c r="B89" s="52"/>
      <c r="C89" s="52"/>
      <c r="D89" s="52"/>
      <c r="E89" s="48"/>
      <c r="F89" s="48"/>
      <c r="G89" s="48"/>
      <c r="H89" s="46"/>
      <c r="I89" s="46"/>
      <c r="J89" s="46"/>
      <c r="K89" s="46">
        <f t="shared" si="37"/>
        <v>0</v>
      </c>
      <c r="L89" s="46">
        <f>L90+L95</f>
        <v>8487853.6099999994</v>
      </c>
      <c r="M89" s="46">
        <f t="shared" ref="M89:N89" si="48">M90+M95</f>
        <v>2881694.9</v>
      </c>
      <c r="N89" s="46">
        <f t="shared" si="48"/>
        <v>13010970</v>
      </c>
      <c r="O89" s="46">
        <f t="shared" si="39"/>
        <v>24380518.509999998</v>
      </c>
      <c r="P89" s="46">
        <f t="shared" si="40"/>
        <v>24380518.509999998</v>
      </c>
      <c r="Q89" s="46">
        <f t="shared" si="40"/>
        <v>24380518.509999998</v>
      </c>
    </row>
    <row r="90" spans="1:17" ht="82.8">
      <c r="A90" s="42"/>
      <c r="B90" s="47" t="s">
        <v>76</v>
      </c>
      <c r="C90" s="47"/>
      <c r="D90" s="52"/>
      <c r="E90" s="48"/>
      <c r="F90" s="48"/>
      <c r="G90" s="48"/>
      <c r="H90" s="46"/>
      <c r="I90" s="46"/>
      <c r="J90" s="46"/>
      <c r="K90" s="46">
        <f t="shared" si="37"/>
        <v>0</v>
      </c>
      <c r="L90" s="46">
        <f>L91+L92</f>
        <v>8487853.6099999994</v>
      </c>
      <c r="M90" s="46">
        <f t="shared" ref="M90:N90" si="49">M91+M92</f>
        <v>2881694.9</v>
      </c>
      <c r="N90" s="46">
        <f t="shared" si="49"/>
        <v>6642854.0499999998</v>
      </c>
      <c r="O90" s="46">
        <f t="shared" si="39"/>
        <v>18012402.559999999</v>
      </c>
      <c r="P90" s="46">
        <f t="shared" si="40"/>
        <v>18012402.559999999</v>
      </c>
      <c r="Q90" s="46">
        <f t="shared" si="40"/>
        <v>18012402.559999999</v>
      </c>
    </row>
    <row r="91" spans="1:17" ht="96.6">
      <c r="A91" s="42"/>
      <c r="B91" s="44" t="s">
        <v>19</v>
      </c>
      <c r="C91" s="42" t="s">
        <v>0</v>
      </c>
      <c r="D91" s="50" t="s">
        <v>20</v>
      </c>
      <c r="E91" s="44" t="s">
        <v>72</v>
      </c>
      <c r="F91" s="44" t="s">
        <v>72</v>
      </c>
      <c r="G91" s="44" t="s">
        <v>72</v>
      </c>
      <c r="H91" s="46">
        <v>41608.51</v>
      </c>
      <c r="I91" s="46">
        <v>11762.02</v>
      </c>
      <c r="J91" s="46">
        <v>27113.69</v>
      </c>
      <c r="K91" s="46">
        <f t="shared" si="37"/>
        <v>80484.22</v>
      </c>
      <c r="L91" s="46">
        <f>E91*H91</f>
        <v>1955599.9700000002</v>
      </c>
      <c r="M91" s="46">
        <f>E91*I91</f>
        <v>552814.94000000006</v>
      </c>
      <c r="N91" s="46">
        <f>E91*J91</f>
        <v>1274343.43</v>
      </c>
      <c r="O91" s="46">
        <f t="shared" si="39"/>
        <v>3782758.34</v>
      </c>
      <c r="P91" s="46">
        <f t="shared" si="40"/>
        <v>3782758.34</v>
      </c>
      <c r="Q91" s="46">
        <f t="shared" si="40"/>
        <v>3782758.34</v>
      </c>
    </row>
    <row r="92" spans="1:17" ht="13.8">
      <c r="A92" s="49"/>
      <c r="B92" s="44" t="s">
        <v>24</v>
      </c>
      <c r="C92" s="44"/>
      <c r="D92" s="44" t="s">
        <v>20</v>
      </c>
      <c r="E92" s="44" t="s">
        <v>73</v>
      </c>
      <c r="F92" s="44" t="s">
        <v>73</v>
      </c>
      <c r="G92" s="44" t="s">
        <v>73</v>
      </c>
      <c r="H92" s="46">
        <v>32991.18</v>
      </c>
      <c r="I92" s="46">
        <v>11762.02</v>
      </c>
      <c r="J92" s="46">
        <v>27113.69</v>
      </c>
      <c r="K92" s="46">
        <f t="shared" si="37"/>
        <v>71866.89</v>
      </c>
      <c r="L92" s="46">
        <f>E92*H92</f>
        <v>6532253.6399999997</v>
      </c>
      <c r="M92" s="46">
        <f>E92*I92</f>
        <v>2328879.96</v>
      </c>
      <c r="N92" s="46">
        <f>E92*J92</f>
        <v>5368510.62</v>
      </c>
      <c r="O92" s="46">
        <f t="shared" si="39"/>
        <v>14229644.219999999</v>
      </c>
      <c r="P92" s="46">
        <f t="shared" si="40"/>
        <v>14229644.219999999</v>
      </c>
      <c r="Q92" s="46">
        <f t="shared" si="40"/>
        <v>14229644.219999999</v>
      </c>
    </row>
    <row r="93" spans="1:17" ht="13.8" hidden="1">
      <c r="A93" s="44" t="s">
        <v>26</v>
      </c>
      <c r="B93" s="52"/>
      <c r="C93" s="52"/>
      <c r="D93" s="44" t="s">
        <v>20</v>
      </c>
      <c r="E93" s="44" t="s">
        <v>74</v>
      </c>
      <c r="F93" s="44" t="s">
        <v>74</v>
      </c>
      <c r="G93" s="44" t="s">
        <v>74</v>
      </c>
      <c r="H93" s="46"/>
      <c r="I93" s="46"/>
      <c r="J93" s="46"/>
      <c r="K93" s="46">
        <f t="shared" si="37"/>
        <v>0</v>
      </c>
      <c r="L93" s="46">
        <f t="shared" si="47"/>
        <v>0</v>
      </c>
      <c r="M93" s="46">
        <f t="shared" si="42"/>
        <v>0</v>
      </c>
      <c r="N93" s="46">
        <f t="shared" si="43"/>
        <v>0</v>
      </c>
      <c r="O93" s="46">
        <f t="shared" si="39"/>
        <v>0</v>
      </c>
      <c r="P93" s="46">
        <f t="shared" si="40"/>
        <v>0</v>
      </c>
      <c r="Q93" s="46">
        <f t="shared" si="40"/>
        <v>0</v>
      </c>
    </row>
    <row r="94" spans="1:17" ht="69" hidden="1">
      <c r="A94" s="42" t="s">
        <v>77</v>
      </c>
      <c r="B94" s="52"/>
      <c r="C94" s="52"/>
      <c r="D94" s="50" t="s">
        <v>20</v>
      </c>
      <c r="E94" s="44" t="s">
        <v>74</v>
      </c>
      <c r="F94" s="44" t="s">
        <v>74</v>
      </c>
      <c r="G94" s="44" t="s">
        <v>74</v>
      </c>
      <c r="H94" s="46"/>
      <c r="I94" s="46"/>
      <c r="J94" s="46" t="s">
        <v>22</v>
      </c>
      <c r="K94" s="46">
        <f t="shared" si="37"/>
        <v>0</v>
      </c>
      <c r="L94" s="46">
        <f t="shared" si="47"/>
        <v>0</v>
      </c>
      <c r="M94" s="46">
        <f t="shared" si="42"/>
        <v>0</v>
      </c>
      <c r="N94" s="46">
        <f t="shared" si="43"/>
        <v>0</v>
      </c>
      <c r="O94" s="46">
        <f t="shared" si="39"/>
        <v>0</v>
      </c>
      <c r="P94" s="46">
        <f t="shared" si="40"/>
        <v>0</v>
      </c>
      <c r="Q94" s="46">
        <f t="shared" si="40"/>
        <v>0</v>
      </c>
    </row>
    <row r="95" spans="1:17" ht="13.8">
      <c r="A95" s="44"/>
      <c r="B95" s="48" t="s">
        <v>75</v>
      </c>
      <c r="C95" s="48"/>
      <c r="D95" s="44" t="s">
        <v>20</v>
      </c>
      <c r="E95" s="44" t="s">
        <v>74</v>
      </c>
      <c r="F95" s="44" t="s">
        <v>74</v>
      </c>
      <c r="G95" s="44" t="s">
        <v>74</v>
      </c>
      <c r="H95" s="46" t="s">
        <v>23</v>
      </c>
      <c r="I95" s="46"/>
      <c r="J95" s="46">
        <v>25992.31</v>
      </c>
      <c r="K95" s="46">
        <f t="shared" si="37"/>
        <v>25992.31</v>
      </c>
      <c r="L95" s="46">
        <f t="shared" si="47"/>
        <v>0</v>
      </c>
      <c r="M95" s="46">
        <f t="shared" si="42"/>
        <v>0</v>
      </c>
      <c r="N95" s="46">
        <f t="shared" si="43"/>
        <v>6368115.9500000002</v>
      </c>
      <c r="O95" s="46">
        <f t="shared" si="39"/>
        <v>6368115.9500000002</v>
      </c>
      <c r="P95" s="46">
        <f t="shared" si="40"/>
        <v>6368115.9500000002</v>
      </c>
      <c r="Q95" s="46">
        <f t="shared" si="40"/>
        <v>6368115.9500000002</v>
      </c>
    </row>
    <row r="96" spans="1:17" ht="36.75" customHeight="1">
      <c r="A96" s="296" t="s">
        <v>154</v>
      </c>
      <c r="B96" s="296"/>
      <c r="C96" s="296"/>
      <c r="D96" s="44"/>
      <c r="E96" s="44"/>
      <c r="F96" s="44"/>
      <c r="G96" s="44"/>
      <c r="H96" s="46"/>
      <c r="I96" s="46"/>
      <c r="J96" s="46"/>
      <c r="K96" s="46"/>
      <c r="L96" s="46"/>
      <c r="M96" s="46"/>
      <c r="N96" s="46"/>
      <c r="O96" s="46"/>
      <c r="P96" s="46"/>
      <c r="Q96" s="46"/>
    </row>
    <row r="97" spans="1:17" ht="27.6">
      <c r="A97" s="302" t="s">
        <v>3</v>
      </c>
      <c r="B97" s="302" t="s">
        <v>86</v>
      </c>
      <c r="C97" s="7" t="s">
        <v>87</v>
      </c>
      <c r="D97" s="302" t="s">
        <v>4</v>
      </c>
      <c r="E97" s="302" t="s">
        <v>5</v>
      </c>
      <c r="F97" s="302"/>
      <c r="G97" s="302"/>
      <c r="H97" s="302" t="s">
        <v>6</v>
      </c>
      <c r="I97" s="302"/>
      <c r="J97" s="302"/>
      <c r="K97" s="302"/>
      <c r="L97" s="302" t="s">
        <v>7</v>
      </c>
      <c r="M97" s="302"/>
      <c r="N97" s="302"/>
      <c r="O97" s="302"/>
      <c r="P97" s="302"/>
      <c r="Q97" s="302"/>
    </row>
    <row r="98" spans="1:17" ht="110.4">
      <c r="A98" s="302"/>
      <c r="B98" s="302"/>
      <c r="C98" s="7"/>
      <c r="D98" s="302"/>
      <c r="E98" s="7" t="s">
        <v>8</v>
      </c>
      <c r="F98" s="7" t="s">
        <v>9</v>
      </c>
      <c r="G98" s="7" t="s">
        <v>10</v>
      </c>
      <c r="H98" s="7" t="s">
        <v>88</v>
      </c>
      <c r="I98" s="7" t="s">
        <v>89</v>
      </c>
      <c r="J98" s="7" t="s">
        <v>90</v>
      </c>
      <c r="K98" s="7" t="s">
        <v>91</v>
      </c>
      <c r="L98" s="7" t="s">
        <v>92</v>
      </c>
      <c r="M98" s="7" t="s">
        <v>93</v>
      </c>
      <c r="N98" s="7" t="s">
        <v>94</v>
      </c>
      <c r="O98" s="7" t="s">
        <v>95</v>
      </c>
      <c r="P98" s="7" t="s">
        <v>96</v>
      </c>
      <c r="Q98" s="7" t="s">
        <v>97</v>
      </c>
    </row>
    <row r="99" spans="1:17" ht="41.4">
      <c r="A99" s="8" t="s">
        <v>13</v>
      </c>
      <c r="B99" s="8" t="s">
        <v>13</v>
      </c>
      <c r="C99" s="8"/>
      <c r="D99" s="8" t="s">
        <v>15</v>
      </c>
      <c r="E99" s="8" t="s">
        <v>16</v>
      </c>
      <c r="F99" s="8" t="s">
        <v>16</v>
      </c>
      <c r="G99" s="8" t="s">
        <v>16</v>
      </c>
      <c r="H99" s="7" t="s">
        <v>17</v>
      </c>
      <c r="I99" s="7" t="s">
        <v>17</v>
      </c>
      <c r="J99" s="7" t="s">
        <v>17</v>
      </c>
      <c r="K99" s="7" t="s">
        <v>17</v>
      </c>
      <c r="L99" s="7" t="s">
        <v>17</v>
      </c>
      <c r="M99" s="7" t="s">
        <v>17</v>
      </c>
      <c r="N99" s="7" t="s">
        <v>17</v>
      </c>
      <c r="O99" s="7" t="s">
        <v>17</v>
      </c>
      <c r="P99" s="7" t="s">
        <v>17</v>
      </c>
      <c r="Q99" s="7" t="s">
        <v>17</v>
      </c>
    </row>
    <row r="100" spans="1:17" ht="82.8">
      <c r="A100" s="297" t="s">
        <v>98</v>
      </c>
      <c r="B100" s="294" t="s">
        <v>99</v>
      </c>
      <c r="C100" s="9" t="s">
        <v>100</v>
      </c>
      <c r="D100" s="10" t="s">
        <v>101</v>
      </c>
      <c r="E100" s="11">
        <v>227</v>
      </c>
      <c r="F100" s="11">
        <v>227</v>
      </c>
      <c r="G100" s="11">
        <v>227</v>
      </c>
      <c r="H100" s="12">
        <f>SUM(I100:K100)</f>
        <v>43059.57</v>
      </c>
      <c r="I100" s="12">
        <f>22328.93+952.08</f>
        <v>23281.010000000002</v>
      </c>
      <c r="J100" s="12">
        <v>3857.41</v>
      </c>
      <c r="K100" s="12">
        <v>15921.15</v>
      </c>
      <c r="L100" s="13">
        <f>SUM(M100:O100)</f>
        <v>9774522.3900000006</v>
      </c>
      <c r="M100" s="13">
        <f>E100*I100</f>
        <v>5284789.2700000005</v>
      </c>
      <c r="N100" s="13">
        <f>E100*J100</f>
        <v>875632.07</v>
      </c>
      <c r="O100" s="14">
        <f>E100*K100</f>
        <v>3614101.05</v>
      </c>
      <c r="P100" s="14">
        <f>F100*H100</f>
        <v>9774522.3900000006</v>
      </c>
      <c r="Q100" s="14">
        <f>G100*H100</f>
        <v>9774522.3900000006</v>
      </c>
    </row>
    <row r="101" spans="1:17" ht="82.8">
      <c r="A101" s="297"/>
      <c r="B101" s="294"/>
      <c r="C101" s="15" t="s">
        <v>102</v>
      </c>
      <c r="D101" s="16" t="s">
        <v>101</v>
      </c>
      <c r="E101" s="17">
        <v>3</v>
      </c>
      <c r="F101" s="17">
        <v>3</v>
      </c>
      <c r="G101" s="17">
        <v>3</v>
      </c>
      <c r="H101" s="18">
        <v>22724.03</v>
      </c>
      <c r="I101" s="18">
        <v>22724.03</v>
      </c>
      <c r="J101" s="18" t="s">
        <v>103</v>
      </c>
      <c r="K101" s="18" t="s">
        <v>103</v>
      </c>
      <c r="L101" s="13">
        <f>SUM(M101:O101)</f>
        <v>68172.09</v>
      </c>
      <c r="M101" s="13">
        <f>E101*I101</f>
        <v>68172.09</v>
      </c>
      <c r="N101" s="13" t="s">
        <v>104</v>
      </c>
      <c r="O101" s="19" t="s">
        <v>104</v>
      </c>
      <c r="P101" s="14">
        <f t="shared" ref="P101:P164" si="50">F101*H101</f>
        <v>68172.09</v>
      </c>
      <c r="Q101" s="14">
        <f t="shared" ref="Q101:Q164" si="51">G101*H101</f>
        <v>68172.09</v>
      </c>
    </row>
    <row r="102" spans="1:17" ht="110.4">
      <c r="A102" s="297"/>
      <c r="B102" s="294"/>
      <c r="C102" s="9" t="s">
        <v>105</v>
      </c>
      <c r="D102" s="16" t="s">
        <v>101</v>
      </c>
      <c r="E102" s="11">
        <v>3</v>
      </c>
      <c r="F102" s="11">
        <v>3</v>
      </c>
      <c r="G102" s="11">
        <v>3</v>
      </c>
      <c r="H102" s="18">
        <f>SUM(I102:K102)</f>
        <v>137159.02000000002</v>
      </c>
      <c r="I102" s="18">
        <f>116428.38+952.08</f>
        <v>117380.46</v>
      </c>
      <c r="J102" s="18">
        <v>3857.41</v>
      </c>
      <c r="K102" s="18">
        <v>15921.15</v>
      </c>
      <c r="L102" s="13">
        <f>SUM(M102:O102)</f>
        <v>411477.06</v>
      </c>
      <c r="M102" s="13">
        <f>E102*I102</f>
        <v>352141.38</v>
      </c>
      <c r="N102" s="13">
        <f>E102*J102</f>
        <v>11572.23</v>
      </c>
      <c r="O102" s="20">
        <f>E102*K102</f>
        <v>47763.45</v>
      </c>
      <c r="P102" s="14">
        <f t="shared" si="50"/>
        <v>411477.06000000006</v>
      </c>
      <c r="Q102" s="14">
        <f t="shared" si="51"/>
        <v>411477.06000000006</v>
      </c>
    </row>
    <row r="103" spans="1:17" ht="13.8">
      <c r="A103" s="297"/>
      <c r="B103" s="294"/>
      <c r="C103" s="21" t="s">
        <v>106</v>
      </c>
      <c r="D103" s="22"/>
      <c r="E103" s="11">
        <f>E100+E102</f>
        <v>230</v>
      </c>
      <c r="F103" s="11">
        <f t="shared" ref="F103:G103" si="52">F100+F102</f>
        <v>230</v>
      </c>
      <c r="G103" s="11">
        <f t="shared" si="52"/>
        <v>230</v>
      </c>
      <c r="H103" s="11" t="s">
        <v>104</v>
      </c>
      <c r="I103" s="11" t="s">
        <v>104</v>
      </c>
      <c r="J103" s="11" t="s">
        <v>104</v>
      </c>
      <c r="K103" s="11" t="s">
        <v>104</v>
      </c>
      <c r="L103" s="11">
        <f t="shared" ref="L103:O103" si="53">SUM(L100:L102)</f>
        <v>10254171.540000001</v>
      </c>
      <c r="M103" s="11">
        <f t="shared" si="53"/>
        <v>5705102.7400000002</v>
      </c>
      <c r="N103" s="11">
        <f t="shared" si="53"/>
        <v>887204.29999999993</v>
      </c>
      <c r="O103" s="11">
        <f t="shared" si="53"/>
        <v>3661864.5</v>
      </c>
      <c r="P103" s="14">
        <f>SUM(P100:P102)</f>
        <v>10254171.540000001</v>
      </c>
      <c r="Q103" s="14">
        <f>SUM(Q100:Q102)</f>
        <v>10254171.540000001</v>
      </c>
    </row>
    <row r="104" spans="1:17" ht="82.8">
      <c r="A104" s="297"/>
      <c r="B104" s="294" t="s">
        <v>107</v>
      </c>
      <c r="C104" s="9" t="s">
        <v>100</v>
      </c>
      <c r="D104" s="10" t="s">
        <v>101</v>
      </c>
      <c r="E104" s="23">
        <v>227</v>
      </c>
      <c r="F104" s="23">
        <v>227</v>
      </c>
      <c r="G104" s="23">
        <v>227</v>
      </c>
      <c r="H104" s="12">
        <f>SUM(I104:K104)</f>
        <v>54095.340000000004</v>
      </c>
      <c r="I104" s="12">
        <f>33147.58+1169.2</f>
        <v>34316.78</v>
      </c>
      <c r="J104" s="12">
        <v>3857.41</v>
      </c>
      <c r="K104" s="18">
        <v>15921.15</v>
      </c>
      <c r="L104" s="11">
        <f>SUM(M104:O104)</f>
        <v>12279642.18</v>
      </c>
      <c r="M104" s="11">
        <f>E104*I104</f>
        <v>7789909.0599999996</v>
      </c>
      <c r="N104" s="11">
        <f>E104*J104</f>
        <v>875632.07</v>
      </c>
      <c r="O104" s="24">
        <f>E104*K104</f>
        <v>3614101.05</v>
      </c>
      <c r="P104" s="14">
        <f t="shared" si="50"/>
        <v>12279642.180000002</v>
      </c>
      <c r="Q104" s="14">
        <f t="shared" si="51"/>
        <v>12279642.180000002</v>
      </c>
    </row>
    <row r="105" spans="1:17" ht="82.8">
      <c r="A105" s="297"/>
      <c r="B105" s="294"/>
      <c r="C105" s="15" t="s">
        <v>102</v>
      </c>
      <c r="D105" s="16" t="s">
        <v>101</v>
      </c>
      <c r="E105" s="25">
        <v>1</v>
      </c>
      <c r="F105" s="25">
        <v>1</v>
      </c>
      <c r="G105" s="25">
        <v>1</v>
      </c>
      <c r="H105" s="18">
        <v>22724.03</v>
      </c>
      <c r="I105" s="18">
        <v>22724.03</v>
      </c>
      <c r="J105" s="18" t="s">
        <v>103</v>
      </c>
      <c r="K105" s="18" t="s">
        <v>103</v>
      </c>
      <c r="L105" s="13">
        <f>SUM(M105:O105)</f>
        <v>22724.03</v>
      </c>
      <c r="M105" s="13">
        <f>E105*I105</f>
        <v>22724.03</v>
      </c>
      <c r="N105" s="13" t="s">
        <v>104</v>
      </c>
      <c r="O105" s="19" t="s">
        <v>104</v>
      </c>
      <c r="P105" s="14">
        <f t="shared" si="50"/>
        <v>22724.03</v>
      </c>
      <c r="Q105" s="14">
        <f t="shared" si="51"/>
        <v>22724.03</v>
      </c>
    </row>
    <row r="106" spans="1:17" ht="110.4">
      <c r="A106" s="297"/>
      <c r="B106" s="294"/>
      <c r="C106" s="9" t="s">
        <v>105</v>
      </c>
      <c r="D106" s="16" t="s">
        <v>101</v>
      </c>
      <c r="E106" s="25"/>
      <c r="F106" s="25"/>
      <c r="G106" s="25"/>
      <c r="H106" s="25"/>
      <c r="I106" s="25"/>
      <c r="J106" s="25"/>
      <c r="K106" s="26"/>
      <c r="L106" s="26"/>
      <c r="M106" s="26"/>
      <c r="N106" s="26"/>
      <c r="O106" s="26"/>
      <c r="P106" s="14">
        <f t="shared" si="50"/>
        <v>0</v>
      </c>
      <c r="Q106" s="14">
        <f t="shared" si="51"/>
        <v>0</v>
      </c>
    </row>
    <row r="107" spans="1:17" ht="13.8">
      <c r="A107" s="297"/>
      <c r="B107" s="53"/>
      <c r="C107" s="21" t="s">
        <v>106</v>
      </c>
      <c r="D107" s="16"/>
      <c r="E107" s="25">
        <f>E104+E106</f>
        <v>227</v>
      </c>
      <c r="F107" s="25">
        <f t="shared" ref="F107:G107" si="54">F104+F106</f>
        <v>227</v>
      </c>
      <c r="G107" s="25">
        <f t="shared" si="54"/>
        <v>227</v>
      </c>
      <c r="H107" s="25" t="s">
        <v>104</v>
      </c>
      <c r="I107" s="25" t="s">
        <v>104</v>
      </c>
      <c r="J107" s="25" t="s">
        <v>104</v>
      </c>
      <c r="K107" s="25" t="s">
        <v>104</v>
      </c>
      <c r="L107" s="25">
        <f t="shared" ref="L107:Q107" si="55">SUM(L104:L106)</f>
        <v>12302366.209999999</v>
      </c>
      <c r="M107" s="25">
        <f t="shared" si="55"/>
        <v>7812633.0899999999</v>
      </c>
      <c r="N107" s="25">
        <f t="shared" si="55"/>
        <v>875632.07</v>
      </c>
      <c r="O107" s="25">
        <f t="shared" si="55"/>
        <v>3614101.05</v>
      </c>
      <c r="P107" s="25">
        <f t="shared" si="55"/>
        <v>12302366.210000001</v>
      </c>
      <c r="Q107" s="25">
        <f t="shared" si="55"/>
        <v>12302366.210000001</v>
      </c>
    </row>
    <row r="108" spans="1:17" ht="82.8">
      <c r="A108" s="297"/>
      <c r="B108" s="294" t="s">
        <v>108</v>
      </c>
      <c r="C108" s="9" t="s">
        <v>100</v>
      </c>
      <c r="D108" s="10" t="s">
        <v>101</v>
      </c>
      <c r="E108" s="25">
        <v>43</v>
      </c>
      <c r="F108" s="25">
        <v>43</v>
      </c>
      <c r="G108" s="25">
        <v>43</v>
      </c>
      <c r="H108" s="12">
        <f>SUM(I108:K108)</f>
        <v>60807.1</v>
      </c>
      <c r="I108" s="12">
        <f>39660.87+1367.67</f>
        <v>41028.54</v>
      </c>
      <c r="J108" s="12">
        <v>3857.41</v>
      </c>
      <c r="K108" s="18">
        <v>15921.15</v>
      </c>
      <c r="L108" s="26">
        <f>SUM(M108:O108)</f>
        <v>2614705.2999999998</v>
      </c>
      <c r="M108" s="26">
        <f>E108*I108</f>
        <v>1764227.22</v>
      </c>
      <c r="N108" s="26">
        <f>E108*J108</f>
        <v>165868.63</v>
      </c>
      <c r="O108" s="26">
        <f>E108*K108</f>
        <v>684609.45</v>
      </c>
      <c r="P108" s="14">
        <f t="shared" si="50"/>
        <v>2614705.2999999998</v>
      </c>
      <c r="Q108" s="14">
        <f t="shared" si="51"/>
        <v>2614705.2999999998</v>
      </c>
    </row>
    <row r="109" spans="1:17" ht="82.8">
      <c r="A109" s="297"/>
      <c r="B109" s="294"/>
      <c r="C109" s="15" t="s">
        <v>102</v>
      </c>
      <c r="D109" s="16" t="s">
        <v>101</v>
      </c>
      <c r="E109" s="25"/>
      <c r="F109" s="25"/>
      <c r="G109" s="25"/>
      <c r="H109" s="18">
        <v>22724.03</v>
      </c>
      <c r="I109" s="18">
        <v>22724.03</v>
      </c>
      <c r="J109" s="18" t="s">
        <v>103</v>
      </c>
      <c r="K109" s="18" t="s">
        <v>103</v>
      </c>
      <c r="L109" s="13">
        <f>SUM(M109:O109)</f>
        <v>0</v>
      </c>
      <c r="M109" s="13">
        <f>E109*I109</f>
        <v>0</v>
      </c>
      <c r="N109" s="13" t="s">
        <v>104</v>
      </c>
      <c r="O109" s="19" t="s">
        <v>104</v>
      </c>
      <c r="P109" s="14">
        <f t="shared" si="50"/>
        <v>0</v>
      </c>
      <c r="Q109" s="14">
        <f t="shared" si="51"/>
        <v>0</v>
      </c>
    </row>
    <row r="110" spans="1:17" ht="110.4">
      <c r="A110" s="297"/>
      <c r="B110" s="294"/>
      <c r="C110" s="9" t="s">
        <v>105</v>
      </c>
      <c r="D110" s="16" t="s">
        <v>101</v>
      </c>
      <c r="E110" s="25"/>
      <c r="F110" s="25"/>
      <c r="G110" s="25"/>
      <c r="H110" s="25"/>
      <c r="I110" s="25"/>
      <c r="J110" s="25"/>
      <c r="K110" s="26"/>
      <c r="L110" s="26"/>
      <c r="M110" s="26"/>
      <c r="N110" s="26"/>
      <c r="O110" s="26"/>
      <c r="P110" s="14">
        <f t="shared" si="50"/>
        <v>0</v>
      </c>
      <c r="Q110" s="14">
        <f t="shared" si="51"/>
        <v>0</v>
      </c>
    </row>
    <row r="111" spans="1:17" ht="13.8">
      <c r="A111" s="297"/>
      <c r="B111" s="53"/>
      <c r="C111" s="21" t="s">
        <v>106</v>
      </c>
      <c r="D111" s="16"/>
      <c r="E111" s="25">
        <f>SUM(E108:E110)</f>
        <v>43</v>
      </c>
      <c r="F111" s="25">
        <f t="shared" ref="F111:Q111" si="56">SUM(F108:F110)</f>
        <v>43</v>
      </c>
      <c r="G111" s="25">
        <f t="shared" si="56"/>
        <v>43</v>
      </c>
      <c r="H111" s="25" t="s">
        <v>104</v>
      </c>
      <c r="I111" s="25" t="s">
        <v>104</v>
      </c>
      <c r="J111" s="25" t="s">
        <v>104</v>
      </c>
      <c r="K111" s="25" t="s">
        <v>104</v>
      </c>
      <c r="L111" s="25">
        <f t="shared" si="56"/>
        <v>2614705.2999999998</v>
      </c>
      <c r="M111" s="25">
        <f t="shared" si="56"/>
        <v>1764227.22</v>
      </c>
      <c r="N111" s="25">
        <f t="shared" si="56"/>
        <v>165868.63</v>
      </c>
      <c r="O111" s="25">
        <f t="shared" si="56"/>
        <v>684609.45</v>
      </c>
      <c r="P111" s="25">
        <f t="shared" si="56"/>
        <v>2614705.2999999998</v>
      </c>
      <c r="Q111" s="25">
        <f t="shared" si="56"/>
        <v>2614705.2999999998</v>
      </c>
    </row>
    <row r="112" spans="1:17" ht="168" customHeight="1">
      <c r="A112" s="297"/>
      <c r="B112" s="295" t="s">
        <v>109</v>
      </c>
      <c r="C112" s="9" t="s">
        <v>110</v>
      </c>
      <c r="D112" s="16" t="s">
        <v>101</v>
      </c>
      <c r="E112" s="25">
        <v>300</v>
      </c>
      <c r="F112" s="25">
        <v>300</v>
      </c>
      <c r="G112" s="25">
        <v>300</v>
      </c>
      <c r="H112" s="18">
        <f>I112</f>
        <v>2770.76</v>
      </c>
      <c r="I112" s="18">
        <v>2770.76</v>
      </c>
      <c r="J112" s="18" t="s">
        <v>104</v>
      </c>
      <c r="K112" s="18" t="s">
        <v>104</v>
      </c>
      <c r="L112" s="26">
        <f>SUM(M112:O112)</f>
        <v>831228.00000000012</v>
      </c>
      <c r="M112" s="26">
        <f>I112*E112</f>
        <v>831228.00000000012</v>
      </c>
      <c r="N112" s="26" t="s">
        <v>104</v>
      </c>
      <c r="O112" s="26" t="s">
        <v>104</v>
      </c>
      <c r="P112" s="14">
        <f t="shared" si="50"/>
        <v>831228.00000000012</v>
      </c>
      <c r="Q112" s="14">
        <f t="shared" si="51"/>
        <v>831228.00000000012</v>
      </c>
    </row>
    <row r="113" spans="1:17" ht="180.75" customHeight="1">
      <c r="A113" s="297"/>
      <c r="B113" s="295"/>
      <c r="C113" s="9" t="s">
        <v>111</v>
      </c>
      <c r="D113" s="16" t="s">
        <v>101</v>
      </c>
      <c r="E113" s="25">
        <v>286</v>
      </c>
      <c r="F113" s="25">
        <v>286</v>
      </c>
      <c r="G113" s="25">
        <v>286</v>
      </c>
      <c r="H113" s="18">
        <v>3829.24</v>
      </c>
      <c r="I113" s="18">
        <f>H113</f>
        <v>3829.24</v>
      </c>
      <c r="J113" s="18" t="s">
        <v>104</v>
      </c>
      <c r="K113" s="18" t="s">
        <v>104</v>
      </c>
      <c r="L113" s="26">
        <f>SUM(M113:O113)</f>
        <v>1095162.6399999999</v>
      </c>
      <c r="M113" s="26">
        <f>I113*E113</f>
        <v>1095162.6399999999</v>
      </c>
      <c r="N113" s="27" t="s">
        <v>104</v>
      </c>
      <c r="O113" s="28" t="s">
        <v>104</v>
      </c>
      <c r="P113" s="14">
        <f t="shared" si="50"/>
        <v>1095162.6399999999</v>
      </c>
      <c r="Q113" s="14">
        <f t="shared" si="51"/>
        <v>1095162.6399999999</v>
      </c>
    </row>
    <row r="114" spans="1:17" ht="13.8">
      <c r="A114" s="297"/>
      <c r="B114" s="29"/>
      <c r="C114" s="21" t="s">
        <v>106</v>
      </c>
      <c r="D114" s="29"/>
      <c r="E114" s="25">
        <f>SUM(E112:E113)</f>
        <v>586</v>
      </c>
      <c r="F114" s="25">
        <f t="shared" ref="F114:O114" si="57">SUM(F112:F113)</f>
        <v>586</v>
      </c>
      <c r="G114" s="25">
        <f t="shared" si="57"/>
        <v>586</v>
      </c>
      <c r="H114" s="25" t="s">
        <v>104</v>
      </c>
      <c r="I114" s="25" t="s">
        <v>104</v>
      </c>
      <c r="J114" s="25" t="s">
        <v>104</v>
      </c>
      <c r="K114" s="25">
        <f t="shared" si="57"/>
        <v>0</v>
      </c>
      <c r="L114" s="25">
        <f t="shared" si="57"/>
        <v>1926390.6400000001</v>
      </c>
      <c r="M114" s="25">
        <f t="shared" si="57"/>
        <v>1926390.6400000001</v>
      </c>
      <c r="N114" s="25">
        <f t="shared" si="57"/>
        <v>0</v>
      </c>
      <c r="O114" s="29">
        <f t="shared" si="57"/>
        <v>0</v>
      </c>
      <c r="P114" s="14">
        <f>SUM(P112:P113)</f>
        <v>1926390.6400000001</v>
      </c>
      <c r="Q114" s="14">
        <f>SUM(Q112:Q113)</f>
        <v>1926390.6400000001</v>
      </c>
    </row>
    <row r="115" spans="1:17" ht="13.8">
      <c r="A115" s="297"/>
      <c r="B115" s="30" t="s">
        <v>112</v>
      </c>
      <c r="C115" s="30"/>
      <c r="D115" s="29"/>
      <c r="E115" s="29"/>
      <c r="F115" s="29"/>
      <c r="G115" s="29"/>
      <c r="H115" s="29"/>
      <c r="I115" s="29"/>
      <c r="J115" s="29"/>
      <c r="K115" s="29"/>
      <c r="L115" s="29">
        <f>SUM(M115:O115)</f>
        <v>27097633.690000001</v>
      </c>
      <c r="M115" s="29">
        <f t="shared" ref="M115:Q115" si="58">M103+M107+M111+M114</f>
        <v>17208353.690000001</v>
      </c>
      <c r="N115" s="29">
        <f t="shared" si="58"/>
        <v>1928705</v>
      </c>
      <c r="O115" s="29">
        <f t="shared" si="58"/>
        <v>7960575</v>
      </c>
      <c r="P115" s="29">
        <f t="shared" si="58"/>
        <v>27097633.690000001</v>
      </c>
      <c r="Q115" s="29">
        <f t="shared" si="58"/>
        <v>27097633.690000001</v>
      </c>
    </row>
    <row r="116" spans="1:17" ht="82.8">
      <c r="A116" s="297" t="s">
        <v>113</v>
      </c>
      <c r="B116" s="294" t="s">
        <v>99</v>
      </c>
      <c r="C116" s="9" t="s">
        <v>100</v>
      </c>
      <c r="D116" s="10" t="s">
        <v>101</v>
      </c>
      <c r="E116" s="11">
        <v>204</v>
      </c>
      <c r="F116" s="11">
        <v>205</v>
      </c>
      <c r="G116" s="11">
        <v>203</v>
      </c>
      <c r="H116" s="12">
        <f>SUM(I116:K116)</f>
        <v>43059.57</v>
      </c>
      <c r="I116" s="12">
        <f>22328.93+952.08</f>
        <v>23281.010000000002</v>
      </c>
      <c r="J116" s="12">
        <v>3857.41</v>
      </c>
      <c r="K116" s="12">
        <v>15921.15</v>
      </c>
      <c r="L116" s="13">
        <f>SUM(M116:O116)</f>
        <v>8784152.2799999993</v>
      </c>
      <c r="M116" s="13">
        <f>E116*I116</f>
        <v>4749326.04</v>
      </c>
      <c r="N116" s="13">
        <f>E116*J116</f>
        <v>786911.64</v>
      </c>
      <c r="O116" s="14">
        <f>E116*K116</f>
        <v>3247914.6</v>
      </c>
      <c r="P116" s="14">
        <f t="shared" si="50"/>
        <v>8827211.8499999996</v>
      </c>
      <c r="Q116" s="14">
        <f t="shared" si="51"/>
        <v>8741092.709999999</v>
      </c>
    </row>
    <row r="117" spans="1:17" ht="102.75" customHeight="1">
      <c r="A117" s="297"/>
      <c r="B117" s="294"/>
      <c r="C117" s="15" t="s">
        <v>102</v>
      </c>
      <c r="D117" s="16" t="s">
        <v>101</v>
      </c>
      <c r="E117" s="17">
        <v>3</v>
      </c>
      <c r="F117" s="17">
        <v>1</v>
      </c>
      <c r="G117" s="17">
        <v>1</v>
      </c>
      <c r="H117" s="18">
        <v>22724.03</v>
      </c>
      <c r="I117" s="18">
        <v>22724.03</v>
      </c>
      <c r="J117" s="18" t="s">
        <v>103</v>
      </c>
      <c r="K117" s="18" t="s">
        <v>103</v>
      </c>
      <c r="L117" s="13">
        <f>SUM(M117:O117)</f>
        <v>68172.09</v>
      </c>
      <c r="M117" s="13">
        <f>E117*I117</f>
        <v>68172.09</v>
      </c>
      <c r="N117" s="13" t="s">
        <v>104</v>
      </c>
      <c r="O117" s="19" t="s">
        <v>104</v>
      </c>
      <c r="P117" s="14">
        <f t="shared" si="50"/>
        <v>22724.03</v>
      </c>
      <c r="Q117" s="14">
        <f t="shared" si="51"/>
        <v>22724.03</v>
      </c>
    </row>
    <row r="118" spans="1:17" ht="110.4">
      <c r="A118" s="297"/>
      <c r="B118" s="294"/>
      <c r="C118" s="9" t="s">
        <v>105</v>
      </c>
      <c r="D118" s="16" t="s">
        <v>101</v>
      </c>
      <c r="E118" s="11"/>
      <c r="F118" s="11">
        <v>1</v>
      </c>
      <c r="G118" s="11">
        <v>1</v>
      </c>
      <c r="H118" s="18">
        <f>SUM(I118:K118)</f>
        <v>137159.02000000002</v>
      </c>
      <c r="I118" s="18">
        <f>116428.38+952.08</f>
        <v>117380.46</v>
      </c>
      <c r="J118" s="18">
        <v>3857.41</v>
      </c>
      <c r="K118" s="18">
        <v>15921.15</v>
      </c>
      <c r="L118" s="13">
        <f>SUM(M118:O118)</f>
        <v>0</v>
      </c>
      <c r="M118" s="13">
        <f>E118*I118</f>
        <v>0</v>
      </c>
      <c r="N118" s="13">
        <f>E118*J118</f>
        <v>0</v>
      </c>
      <c r="O118" s="20">
        <f>E118*K118</f>
        <v>0</v>
      </c>
      <c r="P118" s="14">
        <f t="shared" si="50"/>
        <v>137159.02000000002</v>
      </c>
      <c r="Q118" s="14">
        <f t="shared" si="51"/>
        <v>137159.02000000002</v>
      </c>
    </row>
    <row r="119" spans="1:17" ht="13.8">
      <c r="A119" s="297"/>
      <c r="B119" s="294"/>
      <c r="C119" s="21" t="s">
        <v>106</v>
      </c>
      <c r="D119" s="22"/>
      <c r="E119" s="11">
        <f>E116+E118</f>
        <v>204</v>
      </c>
      <c r="F119" s="11">
        <f>F116+F118</f>
        <v>206</v>
      </c>
      <c r="G119" s="11">
        <f t="shared" ref="G119" si="59">G116+G118</f>
        <v>204</v>
      </c>
      <c r="H119" s="11" t="s">
        <v>104</v>
      </c>
      <c r="I119" s="11" t="s">
        <v>104</v>
      </c>
      <c r="J119" s="11" t="s">
        <v>104</v>
      </c>
      <c r="K119" s="11" t="s">
        <v>104</v>
      </c>
      <c r="L119" s="11">
        <f t="shared" ref="L119:O119" si="60">SUM(L116:L118)</f>
        <v>8852324.3699999992</v>
      </c>
      <c r="M119" s="11">
        <f t="shared" si="60"/>
        <v>4817498.13</v>
      </c>
      <c r="N119" s="11">
        <f t="shared" si="60"/>
        <v>786911.64</v>
      </c>
      <c r="O119" s="11">
        <f t="shared" si="60"/>
        <v>3247914.6</v>
      </c>
      <c r="P119" s="20">
        <f>SUM(P116:P118)</f>
        <v>8987094.8999999985</v>
      </c>
      <c r="Q119" s="14">
        <f>SUM(Q116:Q118)</f>
        <v>8900975.7599999979</v>
      </c>
    </row>
    <row r="120" spans="1:17" ht="82.8">
      <c r="A120" s="297"/>
      <c r="B120" s="294" t="s">
        <v>107</v>
      </c>
      <c r="C120" s="9" t="s">
        <v>100</v>
      </c>
      <c r="D120" s="10" t="s">
        <v>101</v>
      </c>
      <c r="E120" s="23">
        <v>240</v>
      </c>
      <c r="F120" s="23">
        <v>233</v>
      </c>
      <c r="G120" s="23">
        <v>244</v>
      </c>
      <c r="H120" s="12">
        <f>SUM(I120:K120)</f>
        <v>54095.340000000004</v>
      </c>
      <c r="I120" s="12">
        <f>33147.58+1169.2</f>
        <v>34316.78</v>
      </c>
      <c r="J120" s="12">
        <v>3857.41</v>
      </c>
      <c r="K120" s="18">
        <v>15921.15</v>
      </c>
      <c r="L120" s="11">
        <f>SUM(M120:O120)</f>
        <v>12982881.6</v>
      </c>
      <c r="M120" s="11">
        <f>E120*I120</f>
        <v>8236027.1999999993</v>
      </c>
      <c r="N120" s="11">
        <f>E120*J120</f>
        <v>925778.39999999991</v>
      </c>
      <c r="O120" s="24">
        <f>E120*K120</f>
        <v>3821076</v>
      </c>
      <c r="P120" s="14">
        <f t="shared" si="50"/>
        <v>12604214.220000001</v>
      </c>
      <c r="Q120" s="14">
        <f t="shared" si="51"/>
        <v>13199262.960000001</v>
      </c>
    </row>
    <row r="121" spans="1:17" ht="117.75" customHeight="1">
      <c r="A121" s="297"/>
      <c r="B121" s="294"/>
      <c r="C121" s="15" t="s">
        <v>102</v>
      </c>
      <c r="D121" s="16" t="s">
        <v>101</v>
      </c>
      <c r="E121" s="25">
        <v>3</v>
      </c>
      <c r="F121" s="25">
        <v>4</v>
      </c>
      <c r="G121" s="25">
        <v>4</v>
      </c>
      <c r="H121" s="18">
        <v>22724.03</v>
      </c>
      <c r="I121" s="18">
        <v>22724.03</v>
      </c>
      <c r="J121" s="18" t="s">
        <v>103</v>
      </c>
      <c r="K121" s="18" t="s">
        <v>103</v>
      </c>
      <c r="L121" s="13">
        <f>SUM(M121:O121)</f>
        <v>68172.09</v>
      </c>
      <c r="M121" s="13">
        <f>E121*I121</f>
        <v>68172.09</v>
      </c>
      <c r="N121" s="13" t="s">
        <v>104</v>
      </c>
      <c r="O121" s="19" t="s">
        <v>104</v>
      </c>
      <c r="P121" s="14">
        <f t="shared" si="50"/>
        <v>90896.12</v>
      </c>
      <c r="Q121" s="14">
        <f t="shared" si="51"/>
        <v>90896.12</v>
      </c>
    </row>
    <row r="122" spans="1:17" ht="110.4">
      <c r="A122" s="297"/>
      <c r="B122" s="294"/>
      <c r="C122" s="9" t="s">
        <v>105</v>
      </c>
      <c r="D122" s="16" t="s">
        <v>101</v>
      </c>
      <c r="E122" s="25">
        <v>5</v>
      </c>
      <c r="F122" s="25">
        <v>4</v>
      </c>
      <c r="G122" s="25">
        <v>4</v>
      </c>
      <c r="H122" s="18">
        <f>SUM(I122:K122)</f>
        <v>166124.72</v>
      </c>
      <c r="I122" s="18">
        <f>145176.96+1169.2</f>
        <v>146346.16</v>
      </c>
      <c r="J122" s="18">
        <v>3857.41</v>
      </c>
      <c r="K122" s="18">
        <v>15921.15</v>
      </c>
      <c r="L122" s="13">
        <f>SUM(M122:O122)</f>
        <v>830623.60000000009</v>
      </c>
      <c r="M122" s="13">
        <f>E122*I122</f>
        <v>731730.8</v>
      </c>
      <c r="N122" s="26">
        <f>E122*J122</f>
        <v>19287.05</v>
      </c>
      <c r="O122" s="26">
        <f>E122*K122</f>
        <v>79605.75</v>
      </c>
      <c r="P122" s="14">
        <f t="shared" si="50"/>
        <v>664498.88</v>
      </c>
      <c r="Q122" s="14">
        <f t="shared" si="51"/>
        <v>664498.88</v>
      </c>
    </row>
    <row r="123" spans="1:17" ht="13.8">
      <c r="A123" s="297"/>
      <c r="B123" s="53"/>
      <c r="C123" s="21" t="s">
        <v>106</v>
      </c>
      <c r="D123" s="16"/>
      <c r="E123" s="25">
        <f>E120+E122</f>
        <v>245</v>
      </c>
      <c r="F123" s="25">
        <f t="shared" ref="F123:G123" si="61">F120+F122</f>
        <v>237</v>
      </c>
      <c r="G123" s="25">
        <f t="shared" si="61"/>
        <v>248</v>
      </c>
      <c r="H123" s="25" t="s">
        <v>104</v>
      </c>
      <c r="I123" s="25" t="s">
        <v>104</v>
      </c>
      <c r="J123" s="25" t="s">
        <v>104</v>
      </c>
      <c r="K123" s="25" t="s">
        <v>104</v>
      </c>
      <c r="L123" s="25">
        <f t="shared" ref="L123:O123" si="62">SUM(L120:L122)</f>
        <v>13881677.289999999</v>
      </c>
      <c r="M123" s="25">
        <f t="shared" si="62"/>
        <v>9035930.0899999999</v>
      </c>
      <c r="N123" s="25">
        <f t="shared" si="62"/>
        <v>945065.45</v>
      </c>
      <c r="O123" s="25">
        <f t="shared" si="62"/>
        <v>3900681.75</v>
      </c>
      <c r="P123" s="14">
        <f>SUM(P120:P122)</f>
        <v>13359609.220000001</v>
      </c>
      <c r="Q123" s="14">
        <f>SUM(Q120:Q122)</f>
        <v>13954657.960000001</v>
      </c>
    </row>
    <row r="124" spans="1:17" ht="82.8">
      <c r="A124" s="297"/>
      <c r="B124" s="294" t="s">
        <v>108</v>
      </c>
      <c r="C124" s="9" t="s">
        <v>100</v>
      </c>
      <c r="D124" s="10" t="s">
        <v>101</v>
      </c>
      <c r="E124" s="25">
        <v>36</v>
      </c>
      <c r="F124" s="25">
        <v>46</v>
      </c>
      <c r="G124" s="25">
        <v>50</v>
      </c>
      <c r="H124" s="12">
        <f>SUM(I124:K124)</f>
        <v>60807.1</v>
      </c>
      <c r="I124" s="12">
        <f>39660.87+1367.67</f>
        <v>41028.54</v>
      </c>
      <c r="J124" s="12">
        <v>3857.41</v>
      </c>
      <c r="K124" s="18">
        <v>15921.15</v>
      </c>
      <c r="L124" s="26">
        <f>SUM(M124:O124)</f>
        <v>2189055.6</v>
      </c>
      <c r="M124" s="26">
        <f>E124*I124</f>
        <v>1477027.44</v>
      </c>
      <c r="N124" s="26">
        <f>E124*J124</f>
        <v>138866.76</v>
      </c>
      <c r="O124" s="26">
        <f>E124*K124</f>
        <v>573161.4</v>
      </c>
      <c r="P124" s="14">
        <f t="shared" si="50"/>
        <v>2797126.6</v>
      </c>
      <c r="Q124" s="14">
        <f t="shared" si="51"/>
        <v>3040355</v>
      </c>
    </row>
    <row r="125" spans="1:17" ht="120.75" customHeight="1">
      <c r="A125" s="297"/>
      <c r="B125" s="294"/>
      <c r="C125" s="15" t="s">
        <v>102</v>
      </c>
      <c r="D125" s="16" t="s">
        <v>101</v>
      </c>
      <c r="E125" s="25">
        <v>2</v>
      </c>
      <c r="F125" s="25"/>
      <c r="G125" s="25"/>
      <c r="H125" s="18">
        <v>22724.03</v>
      </c>
      <c r="I125" s="18">
        <v>22724.03</v>
      </c>
      <c r="J125" s="18" t="s">
        <v>103</v>
      </c>
      <c r="K125" s="18" t="s">
        <v>103</v>
      </c>
      <c r="L125" s="13">
        <f>SUM(M125:O125)</f>
        <v>45448.06</v>
      </c>
      <c r="M125" s="13">
        <f>E125*I125</f>
        <v>45448.06</v>
      </c>
      <c r="N125" s="13" t="s">
        <v>104</v>
      </c>
      <c r="O125" s="19" t="s">
        <v>104</v>
      </c>
      <c r="P125" s="14">
        <f t="shared" si="50"/>
        <v>0</v>
      </c>
      <c r="Q125" s="14">
        <f t="shared" si="51"/>
        <v>0</v>
      </c>
    </row>
    <row r="126" spans="1:17" ht="110.4">
      <c r="A126" s="297"/>
      <c r="B126" s="294"/>
      <c r="C126" s="9" t="s">
        <v>105</v>
      </c>
      <c r="D126" s="16" t="s">
        <v>101</v>
      </c>
      <c r="E126" s="25"/>
      <c r="F126" s="25"/>
      <c r="G126" s="25"/>
      <c r="H126" s="25"/>
      <c r="I126" s="25"/>
      <c r="J126" s="25"/>
      <c r="K126" s="26"/>
      <c r="L126" s="26"/>
      <c r="M126" s="26"/>
      <c r="N126" s="26"/>
      <c r="O126" s="26"/>
      <c r="P126" s="14">
        <f t="shared" si="50"/>
        <v>0</v>
      </c>
      <c r="Q126" s="14">
        <f t="shared" si="51"/>
        <v>0</v>
      </c>
    </row>
    <row r="127" spans="1:17" ht="13.8">
      <c r="A127" s="297"/>
      <c r="B127" s="53"/>
      <c r="C127" s="21" t="s">
        <v>106</v>
      </c>
      <c r="D127" s="16"/>
      <c r="E127" s="25">
        <f>E124+E126</f>
        <v>36</v>
      </c>
      <c r="F127" s="25">
        <f t="shared" ref="F127:G127" si="63">F124+F126</f>
        <v>46</v>
      </c>
      <c r="G127" s="25">
        <f t="shared" si="63"/>
        <v>50</v>
      </c>
      <c r="H127" s="25" t="s">
        <v>104</v>
      </c>
      <c r="I127" s="25" t="s">
        <v>104</v>
      </c>
      <c r="J127" s="25" t="s">
        <v>104</v>
      </c>
      <c r="K127" s="25" t="s">
        <v>104</v>
      </c>
      <c r="L127" s="25">
        <f t="shared" ref="L127:O127" si="64">SUM(L124:L126)</f>
        <v>2234503.66</v>
      </c>
      <c r="M127" s="25">
        <f t="shared" si="64"/>
        <v>1522475.5</v>
      </c>
      <c r="N127" s="25">
        <f t="shared" si="64"/>
        <v>138866.76</v>
      </c>
      <c r="O127" s="25">
        <f t="shared" si="64"/>
        <v>573161.4</v>
      </c>
      <c r="P127" s="14">
        <f>SUM(P124:P126)</f>
        <v>2797126.6</v>
      </c>
      <c r="Q127" s="14">
        <f>SUM(Q124:Q126)</f>
        <v>3040355</v>
      </c>
    </row>
    <row r="128" spans="1:17" ht="168" customHeight="1">
      <c r="A128" s="297"/>
      <c r="B128" s="295" t="s">
        <v>109</v>
      </c>
      <c r="C128" s="9" t="s">
        <v>110</v>
      </c>
      <c r="D128" s="16" t="s">
        <v>101</v>
      </c>
      <c r="E128" s="25">
        <v>218</v>
      </c>
      <c r="F128" s="25">
        <v>220</v>
      </c>
      <c r="G128" s="25">
        <v>227</v>
      </c>
      <c r="H128" s="18">
        <f>I128</f>
        <v>2770.76</v>
      </c>
      <c r="I128" s="18">
        <v>2770.76</v>
      </c>
      <c r="J128" s="18" t="s">
        <v>104</v>
      </c>
      <c r="K128" s="18" t="s">
        <v>104</v>
      </c>
      <c r="L128" s="26">
        <f>SUM(M128:O128)</f>
        <v>604025.68000000005</v>
      </c>
      <c r="M128" s="26">
        <f>I128*E128</f>
        <v>604025.68000000005</v>
      </c>
      <c r="N128" s="26" t="s">
        <v>104</v>
      </c>
      <c r="O128" s="26" t="s">
        <v>104</v>
      </c>
      <c r="P128" s="14">
        <f t="shared" si="50"/>
        <v>609567.20000000007</v>
      </c>
      <c r="Q128" s="14">
        <f t="shared" si="51"/>
        <v>628962.52</v>
      </c>
    </row>
    <row r="129" spans="1:17" ht="181.5" customHeight="1">
      <c r="A129" s="297"/>
      <c r="B129" s="295"/>
      <c r="C129" s="9" t="s">
        <v>111</v>
      </c>
      <c r="D129" s="16" t="s">
        <v>101</v>
      </c>
      <c r="E129" s="29">
        <v>298</v>
      </c>
      <c r="F129" s="29">
        <v>301</v>
      </c>
      <c r="G129" s="29">
        <v>310</v>
      </c>
      <c r="H129" s="18">
        <v>3829.24</v>
      </c>
      <c r="I129" s="18">
        <f>H129</f>
        <v>3829.24</v>
      </c>
      <c r="J129" s="18" t="s">
        <v>104</v>
      </c>
      <c r="K129" s="18" t="s">
        <v>104</v>
      </c>
      <c r="L129" s="26">
        <f>SUM(M129:O129)</f>
        <v>1141113.52</v>
      </c>
      <c r="M129" s="26">
        <f>I129*E129</f>
        <v>1141113.52</v>
      </c>
      <c r="N129" s="27" t="s">
        <v>104</v>
      </c>
      <c r="O129" s="28" t="s">
        <v>104</v>
      </c>
      <c r="P129" s="14">
        <f t="shared" si="50"/>
        <v>1152601.24</v>
      </c>
      <c r="Q129" s="14">
        <f t="shared" si="51"/>
        <v>1187064.3999999999</v>
      </c>
    </row>
    <row r="130" spans="1:17" ht="13.8">
      <c r="A130" s="297"/>
      <c r="B130" s="29"/>
      <c r="C130" s="21" t="s">
        <v>106</v>
      </c>
      <c r="D130" s="29"/>
      <c r="E130" s="29">
        <f>SUM(E128:E129)</f>
        <v>516</v>
      </c>
      <c r="F130" s="29">
        <f t="shared" ref="F130:G130" si="65">SUM(F128:F129)</f>
        <v>521</v>
      </c>
      <c r="G130" s="29">
        <f t="shared" si="65"/>
        <v>537</v>
      </c>
      <c r="H130" s="29" t="s">
        <v>104</v>
      </c>
      <c r="I130" s="29" t="s">
        <v>104</v>
      </c>
      <c r="J130" s="29" t="s">
        <v>104</v>
      </c>
      <c r="K130" s="29">
        <f t="shared" ref="K130:O130" si="66">SUM(K128:K129)</f>
        <v>0</v>
      </c>
      <c r="L130" s="25">
        <f t="shared" si="66"/>
        <v>1745139.2000000002</v>
      </c>
      <c r="M130" s="25">
        <f t="shared" si="66"/>
        <v>1745139.2000000002</v>
      </c>
      <c r="N130" s="25">
        <f t="shared" si="66"/>
        <v>0</v>
      </c>
      <c r="O130" s="25">
        <f t="shared" si="66"/>
        <v>0</v>
      </c>
      <c r="P130" s="14">
        <f>SUM(P128:P129)</f>
        <v>1762168.44</v>
      </c>
      <c r="Q130" s="14">
        <f>SUM(Q128:Q129)</f>
        <v>1816026.92</v>
      </c>
    </row>
    <row r="131" spans="1:17" ht="13.8">
      <c r="A131" s="297"/>
      <c r="B131" s="30" t="s">
        <v>112</v>
      </c>
      <c r="C131" s="30"/>
      <c r="D131" s="29"/>
      <c r="E131" s="29"/>
      <c r="F131" s="29"/>
      <c r="G131" s="29"/>
      <c r="H131" s="29"/>
      <c r="I131" s="29"/>
      <c r="J131" s="29"/>
      <c r="K131" s="29"/>
      <c r="L131" s="29">
        <f>SUM(M131:O131)</f>
        <v>26713644.52</v>
      </c>
      <c r="M131" s="29">
        <f t="shared" ref="M131:Q131" si="67">M119+M123+M127+M130</f>
        <v>17121042.919999998</v>
      </c>
      <c r="N131" s="29">
        <f t="shared" si="67"/>
        <v>1870843.8499999999</v>
      </c>
      <c r="O131" s="29">
        <f t="shared" si="67"/>
        <v>7721757.75</v>
      </c>
      <c r="P131" s="29">
        <f t="shared" si="67"/>
        <v>26905999.16</v>
      </c>
      <c r="Q131" s="29">
        <f t="shared" si="67"/>
        <v>27712015.640000001</v>
      </c>
    </row>
    <row r="132" spans="1:17" ht="82.8">
      <c r="A132" s="297" t="s">
        <v>114</v>
      </c>
      <c r="B132" s="294" t="s">
        <v>99</v>
      </c>
      <c r="C132" s="9" t="s">
        <v>100</v>
      </c>
      <c r="D132" s="10" t="s">
        <v>101</v>
      </c>
      <c r="E132" s="11">
        <v>157</v>
      </c>
      <c r="F132" s="11">
        <v>180</v>
      </c>
      <c r="G132" s="11">
        <v>210</v>
      </c>
      <c r="H132" s="12">
        <f>SUM(I132:K132)</f>
        <v>43059.57</v>
      </c>
      <c r="I132" s="12">
        <f>22328.93+952.08</f>
        <v>23281.010000000002</v>
      </c>
      <c r="J132" s="12">
        <v>3857.41</v>
      </c>
      <c r="K132" s="12">
        <v>15921.15</v>
      </c>
      <c r="L132" s="13">
        <f>SUM(M132:O132)</f>
        <v>6760352.4900000002</v>
      </c>
      <c r="M132" s="13">
        <f>E132*I132</f>
        <v>3655118.5700000003</v>
      </c>
      <c r="N132" s="13">
        <f>E132*J132</f>
        <v>605613.37</v>
      </c>
      <c r="O132" s="14">
        <f>E132*K132</f>
        <v>2499620.5499999998</v>
      </c>
      <c r="P132" s="14">
        <f t="shared" si="50"/>
        <v>7750722.5999999996</v>
      </c>
      <c r="Q132" s="14">
        <f t="shared" si="51"/>
        <v>9042509.6999999993</v>
      </c>
    </row>
    <row r="133" spans="1:17" ht="82.8">
      <c r="A133" s="297"/>
      <c r="B133" s="294"/>
      <c r="C133" s="15" t="s">
        <v>102</v>
      </c>
      <c r="D133" s="16" t="s">
        <v>101</v>
      </c>
      <c r="E133" s="17">
        <v>2</v>
      </c>
      <c r="F133" s="17">
        <v>1</v>
      </c>
      <c r="G133" s="17">
        <v>1</v>
      </c>
      <c r="H133" s="18">
        <v>22724.03</v>
      </c>
      <c r="I133" s="18">
        <v>22724.03</v>
      </c>
      <c r="J133" s="18" t="s">
        <v>103</v>
      </c>
      <c r="K133" s="18" t="s">
        <v>103</v>
      </c>
      <c r="L133" s="13">
        <f>SUM(M133:O133)</f>
        <v>45448.06</v>
      </c>
      <c r="M133" s="13">
        <f>E133*I133</f>
        <v>45448.06</v>
      </c>
      <c r="N133" s="13" t="s">
        <v>104</v>
      </c>
      <c r="O133" s="19" t="s">
        <v>104</v>
      </c>
      <c r="P133" s="14">
        <f t="shared" si="50"/>
        <v>22724.03</v>
      </c>
      <c r="Q133" s="14">
        <f t="shared" si="51"/>
        <v>22724.03</v>
      </c>
    </row>
    <row r="134" spans="1:17" ht="110.4">
      <c r="A134" s="297"/>
      <c r="B134" s="294"/>
      <c r="C134" s="9" t="s">
        <v>105</v>
      </c>
      <c r="D134" s="16" t="s">
        <v>101</v>
      </c>
      <c r="E134" s="11"/>
      <c r="F134" s="11">
        <v>1</v>
      </c>
      <c r="G134" s="11">
        <v>1</v>
      </c>
      <c r="H134" s="18">
        <f>SUM(I134:K134)</f>
        <v>137159.02000000002</v>
      </c>
      <c r="I134" s="18">
        <f>116428.38+952.08</f>
        <v>117380.46</v>
      </c>
      <c r="J134" s="18">
        <v>3857.41</v>
      </c>
      <c r="K134" s="18">
        <v>15921.15</v>
      </c>
      <c r="L134" s="13">
        <f>SUM(M134:O134)</f>
        <v>0</v>
      </c>
      <c r="M134" s="13">
        <f>E134*I134</f>
        <v>0</v>
      </c>
      <c r="N134" s="13">
        <f>E134*J134</f>
        <v>0</v>
      </c>
      <c r="O134" s="20">
        <f>E134*K134</f>
        <v>0</v>
      </c>
      <c r="P134" s="14">
        <f t="shared" si="50"/>
        <v>137159.02000000002</v>
      </c>
      <c r="Q134" s="14">
        <f t="shared" si="51"/>
        <v>137159.02000000002</v>
      </c>
    </row>
    <row r="135" spans="1:17" ht="13.8">
      <c r="A135" s="297"/>
      <c r="B135" s="294"/>
      <c r="C135" s="21" t="s">
        <v>106</v>
      </c>
      <c r="D135" s="22"/>
      <c r="E135" s="11">
        <f>E132+E134</f>
        <v>157</v>
      </c>
      <c r="F135" s="11">
        <f t="shared" ref="F135:G135" si="68">F132+F134</f>
        <v>181</v>
      </c>
      <c r="G135" s="11">
        <f t="shared" si="68"/>
        <v>211</v>
      </c>
      <c r="H135" s="11" t="s">
        <v>104</v>
      </c>
      <c r="I135" s="11" t="s">
        <v>104</v>
      </c>
      <c r="J135" s="11" t="s">
        <v>104</v>
      </c>
      <c r="K135" s="11" t="s">
        <v>104</v>
      </c>
      <c r="L135" s="11">
        <f t="shared" ref="L135:Q135" si="69">SUM(L132:L134)</f>
        <v>6805800.5499999998</v>
      </c>
      <c r="M135" s="11">
        <f t="shared" si="69"/>
        <v>3700566.6300000004</v>
      </c>
      <c r="N135" s="11">
        <f t="shared" si="69"/>
        <v>605613.37</v>
      </c>
      <c r="O135" s="11">
        <f t="shared" si="69"/>
        <v>2499620.5499999998</v>
      </c>
      <c r="P135" s="11">
        <f t="shared" si="69"/>
        <v>7910605.6500000004</v>
      </c>
      <c r="Q135" s="11">
        <f t="shared" si="69"/>
        <v>9202392.7499999981</v>
      </c>
    </row>
    <row r="136" spans="1:17" ht="82.8">
      <c r="A136" s="297"/>
      <c r="B136" s="294" t="s">
        <v>107</v>
      </c>
      <c r="C136" s="9" t="s">
        <v>100</v>
      </c>
      <c r="D136" s="10" t="s">
        <v>101</v>
      </c>
      <c r="E136" s="23">
        <v>293</v>
      </c>
      <c r="F136" s="23">
        <v>265</v>
      </c>
      <c r="G136" s="23">
        <v>236</v>
      </c>
      <c r="H136" s="12">
        <f>SUM(I136:K136)</f>
        <v>54095.340000000004</v>
      </c>
      <c r="I136" s="12">
        <f>33147.58+1169.2</f>
        <v>34316.78</v>
      </c>
      <c r="J136" s="12">
        <v>3857.41</v>
      </c>
      <c r="K136" s="18">
        <v>15921.15</v>
      </c>
      <c r="L136" s="11">
        <f>SUM(M136:O136)</f>
        <v>15849934.619999997</v>
      </c>
      <c r="M136" s="11">
        <f>E136*I136</f>
        <v>10054816.539999999</v>
      </c>
      <c r="N136" s="11">
        <f>E136*J136</f>
        <v>1130221.1299999999</v>
      </c>
      <c r="O136" s="24">
        <f>E136*K136</f>
        <v>4664896.95</v>
      </c>
      <c r="P136" s="14">
        <f t="shared" si="50"/>
        <v>14335265.100000001</v>
      </c>
      <c r="Q136" s="14">
        <f t="shared" si="51"/>
        <v>12766500.24</v>
      </c>
    </row>
    <row r="137" spans="1:17" ht="114" customHeight="1">
      <c r="A137" s="297"/>
      <c r="B137" s="294"/>
      <c r="C137" s="15" t="s">
        <v>102</v>
      </c>
      <c r="D137" s="16" t="s">
        <v>101</v>
      </c>
      <c r="E137" s="25">
        <v>6</v>
      </c>
      <c r="F137" s="25">
        <v>5</v>
      </c>
      <c r="G137" s="25">
        <v>5</v>
      </c>
      <c r="H137" s="18">
        <v>22724.03</v>
      </c>
      <c r="I137" s="18">
        <v>22724.03</v>
      </c>
      <c r="J137" s="18" t="s">
        <v>103</v>
      </c>
      <c r="K137" s="18" t="s">
        <v>103</v>
      </c>
      <c r="L137" s="13">
        <f>SUM(M137:O137)</f>
        <v>136344.18</v>
      </c>
      <c r="M137" s="13">
        <f>E137*I137</f>
        <v>136344.18</v>
      </c>
      <c r="N137" s="13" t="s">
        <v>104</v>
      </c>
      <c r="O137" s="19" t="s">
        <v>104</v>
      </c>
      <c r="P137" s="14">
        <f t="shared" si="50"/>
        <v>113620.15</v>
      </c>
      <c r="Q137" s="14">
        <f t="shared" si="51"/>
        <v>113620.15</v>
      </c>
    </row>
    <row r="138" spans="1:17" ht="110.4">
      <c r="A138" s="297"/>
      <c r="B138" s="294"/>
      <c r="C138" s="9" t="s">
        <v>105</v>
      </c>
      <c r="D138" s="16" t="s">
        <v>101</v>
      </c>
      <c r="E138" s="25">
        <v>3</v>
      </c>
      <c r="F138" s="25">
        <v>3</v>
      </c>
      <c r="G138" s="25">
        <v>3</v>
      </c>
      <c r="H138" s="18">
        <f>SUM(I138:K138)</f>
        <v>166124.72</v>
      </c>
      <c r="I138" s="18">
        <f>145176.96+1169.2</f>
        <v>146346.16</v>
      </c>
      <c r="J138" s="18">
        <v>3857.41</v>
      </c>
      <c r="K138" s="18">
        <v>15921.15</v>
      </c>
      <c r="L138" s="26">
        <f>SUM(M138:O138)</f>
        <v>498374.16</v>
      </c>
      <c r="M138" s="26">
        <f>E138*I138</f>
        <v>439038.48</v>
      </c>
      <c r="N138" s="26">
        <f>E138*J138</f>
        <v>11572.23</v>
      </c>
      <c r="O138" s="26">
        <f>E138*K138</f>
        <v>47763.45</v>
      </c>
      <c r="P138" s="14">
        <f t="shared" si="50"/>
        <v>498374.16000000003</v>
      </c>
      <c r="Q138" s="14">
        <f t="shared" si="51"/>
        <v>498374.16000000003</v>
      </c>
    </row>
    <row r="139" spans="1:17" ht="13.8">
      <c r="A139" s="297"/>
      <c r="B139" s="53"/>
      <c r="C139" s="21" t="s">
        <v>106</v>
      </c>
      <c r="D139" s="16"/>
      <c r="E139" s="25">
        <f>E136+E138</f>
        <v>296</v>
      </c>
      <c r="F139" s="25">
        <f t="shared" ref="F139:G139" si="70">F136+F138</f>
        <v>268</v>
      </c>
      <c r="G139" s="25">
        <f t="shared" si="70"/>
        <v>239</v>
      </c>
      <c r="H139" s="25" t="s">
        <v>104</v>
      </c>
      <c r="I139" s="25" t="s">
        <v>104</v>
      </c>
      <c r="J139" s="25" t="s">
        <v>104</v>
      </c>
      <c r="K139" s="25" t="s">
        <v>104</v>
      </c>
      <c r="L139" s="25">
        <f t="shared" ref="L139:Q139" si="71">SUM(L136:L138)</f>
        <v>16484652.959999997</v>
      </c>
      <c r="M139" s="25">
        <f t="shared" si="71"/>
        <v>10630199.199999999</v>
      </c>
      <c r="N139" s="25">
        <f t="shared" si="71"/>
        <v>1141793.3599999999</v>
      </c>
      <c r="O139" s="25">
        <f t="shared" si="71"/>
        <v>4712660.4000000004</v>
      </c>
      <c r="P139" s="25">
        <f t="shared" si="71"/>
        <v>14947259.410000002</v>
      </c>
      <c r="Q139" s="25">
        <f t="shared" si="71"/>
        <v>13378494.550000001</v>
      </c>
    </row>
    <row r="140" spans="1:17" ht="82.8">
      <c r="A140" s="297"/>
      <c r="B140" s="294" t="s">
        <v>108</v>
      </c>
      <c r="C140" s="9" t="s">
        <v>100</v>
      </c>
      <c r="D140" s="10" t="s">
        <v>101</v>
      </c>
      <c r="E140" s="25">
        <v>49</v>
      </c>
      <c r="F140" s="25">
        <v>50</v>
      </c>
      <c r="G140" s="25">
        <v>51</v>
      </c>
      <c r="H140" s="12">
        <f>SUM(I140:K140)</f>
        <v>60807.1</v>
      </c>
      <c r="I140" s="12">
        <f>39660.87+1367.67</f>
        <v>41028.54</v>
      </c>
      <c r="J140" s="12">
        <v>3857.41</v>
      </c>
      <c r="K140" s="18">
        <v>15921.15</v>
      </c>
      <c r="L140" s="26">
        <f>SUM(M140:O140)</f>
        <v>2979547.9</v>
      </c>
      <c r="M140" s="26">
        <f>E140*I140</f>
        <v>2010398.46</v>
      </c>
      <c r="N140" s="26">
        <f>E140*J140</f>
        <v>189013.09</v>
      </c>
      <c r="O140" s="26">
        <f>E140*K140</f>
        <v>780136.35</v>
      </c>
      <c r="P140" s="14">
        <f t="shared" si="50"/>
        <v>3040355</v>
      </c>
      <c r="Q140" s="14">
        <f t="shared" si="51"/>
        <v>3101162.1</v>
      </c>
    </row>
    <row r="141" spans="1:17" ht="82.8">
      <c r="A141" s="297"/>
      <c r="B141" s="294"/>
      <c r="C141" s="15" t="s">
        <v>102</v>
      </c>
      <c r="D141" s="16" t="s">
        <v>101</v>
      </c>
      <c r="E141" s="25">
        <v>1</v>
      </c>
      <c r="F141" s="25">
        <v>1</v>
      </c>
      <c r="G141" s="25"/>
      <c r="H141" s="18">
        <v>22724.03</v>
      </c>
      <c r="I141" s="18">
        <v>22724.03</v>
      </c>
      <c r="J141" s="18" t="s">
        <v>103</v>
      </c>
      <c r="K141" s="18" t="s">
        <v>103</v>
      </c>
      <c r="L141" s="13">
        <f>SUM(M141:O141)</f>
        <v>22724.03</v>
      </c>
      <c r="M141" s="13">
        <f>E141*I141</f>
        <v>22724.03</v>
      </c>
      <c r="N141" s="13" t="s">
        <v>104</v>
      </c>
      <c r="O141" s="19" t="s">
        <v>104</v>
      </c>
      <c r="P141" s="14">
        <f t="shared" si="50"/>
        <v>22724.03</v>
      </c>
      <c r="Q141" s="14">
        <f t="shared" si="51"/>
        <v>0</v>
      </c>
    </row>
    <row r="142" spans="1:17" ht="110.4">
      <c r="A142" s="297"/>
      <c r="B142" s="294"/>
      <c r="C142" s="9" t="s">
        <v>105</v>
      </c>
      <c r="D142" s="16" t="s">
        <v>101</v>
      </c>
      <c r="E142" s="25"/>
      <c r="F142" s="25">
        <v>1</v>
      </c>
      <c r="G142" s="25">
        <v>1</v>
      </c>
      <c r="H142" s="18">
        <f>SUM(I142:K142)</f>
        <v>195071.76</v>
      </c>
      <c r="I142" s="18">
        <f>173925.53+1367.67</f>
        <v>175293.2</v>
      </c>
      <c r="J142" s="18">
        <v>3857.41</v>
      </c>
      <c r="K142" s="18">
        <v>15921.15</v>
      </c>
      <c r="L142" s="26"/>
      <c r="M142" s="26"/>
      <c r="N142" s="26"/>
      <c r="O142" s="26"/>
      <c r="P142" s="14">
        <f t="shared" si="50"/>
        <v>195071.76</v>
      </c>
      <c r="Q142" s="14">
        <f t="shared" si="51"/>
        <v>195071.76</v>
      </c>
    </row>
    <row r="143" spans="1:17" ht="13.8">
      <c r="A143" s="297"/>
      <c r="B143" s="53"/>
      <c r="C143" s="21" t="s">
        <v>106</v>
      </c>
      <c r="D143" s="16"/>
      <c r="E143" s="25">
        <f>E140+E142</f>
        <v>49</v>
      </c>
      <c r="F143" s="25">
        <f t="shared" ref="F143:G143" si="72">F140+F142</f>
        <v>51</v>
      </c>
      <c r="G143" s="25">
        <f t="shared" si="72"/>
        <v>52</v>
      </c>
      <c r="H143" s="25" t="s">
        <v>104</v>
      </c>
      <c r="I143" s="25" t="s">
        <v>104</v>
      </c>
      <c r="J143" s="25" t="s">
        <v>104</v>
      </c>
      <c r="K143" s="25" t="s">
        <v>104</v>
      </c>
      <c r="L143" s="25">
        <f t="shared" ref="L143:Q143" si="73">SUM(L140:L142)</f>
        <v>3002271.9299999997</v>
      </c>
      <c r="M143" s="25">
        <f t="shared" si="73"/>
        <v>2033122.49</v>
      </c>
      <c r="N143" s="25">
        <f t="shared" si="73"/>
        <v>189013.09</v>
      </c>
      <c r="O143" s="25">
        <f t="shared" si="73"/>
        <v>780136.35</v>
      </c>
      <c r="P143" s="25">
        <f t="shared" si="73"/>
        <v>3258150.79</v>
      </c>
      <c r="Q143" s="25">
        <f t="shared" si="73"/>
        <v>3296233.8600000003</v>
      </c>
    </row>
    <row r="144" spans="1:17" ht="162.75" customHeight="1">
      <c r="A144" s="297"/>
      <c r="B144" s="295" t="s">
        <v>109</v>
      </c>
      <c r="C144" s="9" t="s">
        <v>110</v>
      </c>
      <c r="D144" s="16" t="s">
        <v>101</v>
      </c>
      <c r="E144" s="25">
        <v>370</v>
      </c>
      <c r="F144" s="25">
        <v>370</v>
      </c>
      <c r="G144" s="25">
        <v>370</v>
      </c>
      <c r="H144" s="18">
        <f>I144</f>
        <v>2770.76</v>
      </c>
      <c r="I144" s="18">
        <v>2770.76</v>
      </c>
      <c r="J144" s="18" t="s">
        <v>104</v>
      </c>
      <c r="K144" s="18" t="s">
        <v>104</v>
      </c>
      <c r="L144" s="26">
        <f>SUM(M144:O144)</f>
        <v>1025181.2000000001</v>
      </c>
      <c r="M144" s="26">
        <f>I144*E144</f>
        <v>1025181.2000000001</v>
      </c>
      <c r="N144" s="26" t="s">
        <v>104</v>
      </c>
      <c r="O144" s="26" t="s">
        <v>104</v>
      </c>
      <c r="P144" s="14">
        <f t="shared" si="50"/>
        <v>1025181.2000000001</v>
      </c>
      <c r="Q144" s="14">
        <f t="shared" si="51"/>
        <v>1025181.2000000001</v>
      </c>
    </row>
    <row r="145" spans="1:17" ht="183.75" customHeight="1">
      <c r="A145" s="297"/>
      <c r="B145" s="295"/>
      <c r="C145" s="9" t="s">
        <v>111</v>
      </c>
      <c r="D145" s="16" t="s">
        <v>101</v>
      </c>
      <c r="E145" s="29">
        <v>369</v>
      </c>
      <c r="F145" s="29">
        <v>369</v>
      </c>
      <c r="G145" s="29">
        <v>369</v>
      </c>
      <c r="H145" s="18">
        <v>3829.24</v>
      </c>
      <c r="I145" s="18">
        <f>H145</f>
        <v>3829.24</v>
      </c>
      <c r="J145" s="18" t="s">
        <v>104</v>
      </c>
      <c r="K145" s="18" t="s">
        <v>104</v>
      </c>
      <c r="L145" s="26">
        <f>SUM(M145:O145)</f>
        <v>1412989.5599999998</v>
      </c>
      <c r="M145" s="26">
        <f>I145*E145</f>
        <v>1412989.5599999998</v>
      </c>
      <c r="N145" s="27" t="s">
        <v>104</v>
      </c>
      <c r="O145" s="28" t="s">
        <v>104</v>
      </c>
      <c r="P145" s="14">
        <f t="shared" si="50"/>
        <v>1412989.5599999998</v>
      </c>
      <c r="Q145" s="14">
        <f t="shared" si="51"/>
        <v>1412989.5599999998</v>
      </c>
    </row>
    <row r="146" spans="1:17" ht="13.8">
      <c r="A146" s="297"/>
      <c r="B146" s="29"/>
      <c r="C146" s="21" t="s">
        <v>106</v>
      </c>
      <c r="D146" s="29"/>
      <c r="E146" s="29">
        <f>SUM(E144:E145)</f>
        <v>739</v>
      </c>
      <c r="F146" s="29">
        <f t="shared" ref="F146:G146" si="74">SUM(F144:F145)</f>
        <v>739</v>
      </c>
      <c r="G146" s="25">
        <f t="shared" si="74"/>
        <v>739</v>
      </c>
      <c r="H146" s="25" t="s">
        <v>104</v>
      </c>
      <c r="I146" s="25" t="s">
        <v>104</v>
      </c>
      <c r="J146" s="25" t="s">
        <v>104</v>
      </c>
      <c r="K146" s="25">
        <f t="shared" ref="K146:O146" si="75">SUM(K144:K145)</f>
        <v>0</v>
      </c>
      <c r="L146" s="25">
        <f t="shared" si="75"/>
        <v>2438170.7599999998</v>
      </c>
      <c r="M146" s="25">
        <f t="shared" si="75"/>
        <v>2438170.7599999998</v>
      </c>
      <c r="N146" s="25">
        <f t="shared" si="75"/>
        <v>0</v>
      </c>
      <c r="O146" s="25">
        <f t="shared" si="75"/>
        <v>0</v>
      </c>
      <c r="P146" s="14">
        <f>SUM(P144:P145)</f>
        <v>2438170.7599999998</v>
      </c>
      <c r="Q146" s="14">
        <f>SUM(Q144:Q145)</f>
        <v>2438170.7599999998</v>
      </c>
    </row>
    <row r="147" spans="1:17" ht="13.8">
      <c r="A147" s="297"/>
      <c r="B147" s="30" t="s">
        <v>112</v>
      </c>
      <c r="C147" s="30"/>
      <c r="D147" s="29"/>
      <c r="E147" s="29"/>
      <c r="F147" s="29"/>
      <c r="G147" s="29"/>
      <c r="H147" s="29"/>
      <c r="I147" s="29"/>
      <c r="J147" s="29"/>
      <c r="K147" s="29"/>
      <c r="L147" s="29">
        <f>SUM(M147:O147)</f>
        <v>28730896.199999999</v>
      </c>
      <c r="M147" s="29">
        <f t="shared" ref="M147:Q147" si="76">M135+M139+M143+M146</f>
        <v>18802059.079999998</v>
      </c>
      <c r="N147" s="29">
        <f t="shared" si="76"/>
        <v>1936419.82</v>
      </c>
      <c r="O147" s="29">
        <f t="shared" si="76"/>
        <v>7992417.2999999998</v>
      </c>
      <c r="P147" s="29">
        <f t="shared" si="76"/>
        <v>28554186.609999999</v>
      </c>
      <c r="Q147" s="29">
        <f t="shared" si="76"/>
        <v>28315291.919999994</v>
      </c>
    </row>
    <row r="148" spans="1:17" ht="82.8">
      <c r="A148" s="297" t="s">
        <v>115</v>
      </c>
      <c r="B148" s="294" t="s">
        <v>99</v>
      </c>
      <c r="C148" s="9" t="s">
        <v>100</v>
      </c>
      <c r="D148" s="10" t="s">
        <v>101</v>
      </c>
      <c r="E148" s="11">
        <v>195</v>
      </c>
      <c r="F148" s="11">
        <v>199</v>
      </c>
      <c r="G148" s="11">
        <v>200</v>
      </c>
      <c r="H148" s="12">
        <f>SUM(I148:K148)</f>
        <v>43059.57</v>
      </c>
      <c r="I148" s="12">
        <f>22328.93+952.08</f>
        <v>23281.010000000002</v>
      </c>
      <c r="J148" s="12">
        <v>3857.41</v>
      </c>
      <c r="K148" s="12">
        <v>15921.15</v>
      </c>
      <c r="L148" s="13">
        <f>SUM(M148:O148)</f>
        <v>8396616.1500000004</v>
      </c>
      <c r="M148" s="13">
        <f>E148*I148</f>
        <v>4539796.95</v>
      </c>
      <c r="N148" s="13">
        <f>E148*J148</f>
        <v>752194.95</v>
      </c>
      <c r="O148" s="14">
        <f>E148*K148</f>
        <v>3104624.25</v>
      </c>
      <c r="P148" s="14">
        <f t="shared" si="50"/>
        <v>8568854.4299999997</v>
      </c>
      <c r="Q148" s="14">
        <f t="shared" si="51"/>
        <v>8611914</v>
      </c>
    </row>
    <row r="149" spans="1:17" ht="117.75" customHeight="1">
      <c r="A149" s="297"/>
      <c r="B149" s="294"/>
      <c r="C149" s="15" t="s">
        <v>102</v>
      </c>
      <c r="D149" s="16" t="s">
        <v>101</v>
      </c>
      <c r="E149" s="17">
        <v>4</v>
      </c>
      <c r="F149" s="17">
        <v>12</v>
      </c>
      <c r="G149" s="17">
        <v>18</v>
      </c>
      <c r="H149" s="18">
        <v>22724.03</v>
      </c>
      <c r="I149" s="18">
        <v>22724.03</v>
      </c>
      <c r="J149" s="18" t="s">
        <v>103</v>
      </c>
      <c r="K149" s="18" t="s">
        <v>103</v>
      </c>
      <c r="L149" s="13">
        <f>SUM(M149:O149)</f>
        <v>90896.12</v>
      </c>
      <c r="M149" s="13">
        <f>E149*I149</f>
        <v>90896.12</v>
      </c>
      <c r="N149" s="13" t="s">
        <v>104</v>
      </c>
      <c r="O149" s="19" t="s">
        <v>104</v>
      </c>
      <c r="P149" s="14">
        <f t="shared" si="50"/>
        <v>272688.36</v>
      </c>
      <c r="Q149" s="14">
        <f t="shared" si="51"/>
        <v>409032.54</v>
      </c>
    </row>
    <row r="150" spans="1:17" ht="110.4">
      <c r="A150" s="297"/>
      <c r="B150" s="294"/>
      <c r="C150" s="9" t="s">
        <v>105</v>
      </c>
      <c r="D150" s="16" t="s">
        <v>101</v>
      </c>
      <c r="E150" s="11">
        <v>3</v>
      </c>
      <c r="F150" s="11">
        <v>5</v>
      </c>
      <c r="G150" s="11">
        <v>5</v>
      </c>
      <c r="H150" s="18">
        <f>SUM(I150:K150)</f>
        <v>137159.02000000002</v>
      </c>
      <c r="I150" s="18">
        <f>116428.38+952.08</f>
        <v>117380.46</v>
      </c>
      <c r="J150" s="18">
        <v>3857.41</v>
      </c>
      <c r="K150" s="18">
        <v>15921.15</v>
      </c>
      <c r="L150" s="13">
        <f>SUM(M150:O150)</f>
        <v>411477.06</v>
      </c>
      <c r="M150" s="13">
        <f>E150*I150</f>
        <v>352141.38</v>
      </c>
      <c r="N150" s="13">
        <f>E150*J150</f>
        <v>11572.23</v>
      </c>
      <c r="O150" s="20">
        <f>E150*K150</f>
        <v>47763.45</v>
      </c>
      <c r="P150" s="14">
        <f t="shared" si="50"/>
        <v>685795.10000000009</v>
      </c>
      <c r="Q150" s="14">
        <f t="shared" si="51"/>
        <v>685795.10000000009</v>
      </c>
    </row>
    <row r="151" spans="1:17" ht="13.8">
      <c r="A151" s="297"/>
      <c r="B151" s="294"/>
      <c r="C151" s="21" t="s">
        <v>106</v>
      </c>
      <c r="D151" s="22"/>
      <c r="E151" s="11">
        <f>E148+E150</f>
        <v>198</v>
      </c>
      <c r="F151" s="11">
        <f t="shared" ref="F151:G151" si="77">F148+F150</f>
        <v>204</v>
      </c>
      <c r="G151" s="11">
        <f t="shared" si="77"/>
        <v>205</v>
      </c>
      <c r="H151" s="11" t="s">
        <v>104</v>
      </c>
      <c r="I151" s="11" t="s">
        <v>104</v>
      </c>
      <c r="J151" s="11" t="s">
        <v>104</v>
      </c>
      <c r="K151" s="11" t="s">
        <v>104</v>
      </c>
      <c r="L151" s="11">
        <f t="shared" ref="L151:Q151" si="78">SUM(L148:L150)</f>
        <v>8898989.3300000001</v>
      </c>
      <c r="M151" s="11">
        <f t="shared" si="78"/>
        <v>4982834.45</v>
      </c>
      <c r="N151" s="11">
        <f t="shared" si="78"/>
        <v>763767.17999999993</v>
      </c>
      <c r="O151" s="11">
        <f t="shared" si="78"/>
        <v>3152387.7</v>
      </c>
      <c r="P151" s="11">
        <f t="shared" si="78"/>
        <v>9527337.8899999987</v>
      </c>
      <c r="Q151" s="11">
        <f t="shared" si="78"/>
        <v>9706741.6399999987</v>
      </c>
    </row>
    <row r="152" spans="1:17" ht="82.8">
      <c r="A152" s="297"/>
      <c r="B152" s="294" t="s">
        <v>107</v>
      </c>
      <c r="C152" s="9" t="s">
        <v>100</v>
      </c>
      <c r="D152" s="10" t="s">
        <v>101</v>
      </c>
      <c r="E152" s="23">
        <v>171</v>
      </c>
      <c r="F152" s="23">
        <v>180</v>
      </c>
      <c r="G152" s="23">
        <v>185</v>
      </c>
      <c r="H152" s="12">
        <f>SUM(I152:K152)</f>
        <v>54095.340000000004</v>
      </c>
      <c r="I152" s="12">
        <f>33147.58+1169.2</f>
        <v>34316.78</v>
      </c>
      <c r="J152" s="12">
        <v>3857.41</v>
      </c>
      <c r="K152" s="18">
        <v>15921.15</v>
      </c>
      <c r="L152" s="11">
        <f>SUM(M152:O152)</f>
        <v>9250303.1400000006</v>
      </c>
      <c r="M152" s="11">
        <f>E152*I152</f>
        <v>5868169.3799999999</v>
      </c>
      <c r="N152" s="11">
        <f>E152*J152</f>
        <v>659617.11</v>
      </c>
      <c r="O152" s="24">
        <f>E152*K152</f>
        <v>2722516.65</v>
      </c>
      <c r="P152" s="14">
        <f t="shared" si="50"/>
        <v>9737161.2000000011</v>
      </c>
      <c r="Q152" s="14">
        <f t="shared" si="51"/>
        <v>10007637.9</v>
      </c>
    </row>
    <row r="153" spans="1:17" ht="112.5" customHeight="1">
      <c r="A153" s="297"/>
      <c r="B153" s="294"/>
      <c r="C153" s="15" t="s">
        <v>102</v>
      </c>
      <c r="D153" s="16" t="s">
        <v>101</v>
      </c>
      <c r="E153" s="25"/>
      <c r="F153" s="25"/>
      <c r="G153" s="25"/>
      <c r="H153" s="18">
        <v>22724.03</v>
      </c>
      <c r="I153" s="18">
        <v>22724.03</v>
      </c>
      <c r="J153" s="18" t="s">
        <v>103</v>
      </c>
      <c r="K153" s="18" t="s">
        <v>103</v>
      </c>
      <c r="L153" s="13">
        <f>SUM(M153:O153)</f>
        <v>0</v>
      </c>
      <c r="M153" s="13">
        <f>E153*I153</f>
        <v>0</v>
      </c>
      <c r="N153" s="13" t="s">
        <v>104</v>
      </c>
      <c r="O153" s="19" t="s">
        <v>104</v>
      </c>
      <c r="P153" s="14">
        <f t="shared" si="50"/>
        <v>0</v>
      </c>
      <c r="Q153" s="14">
        <f t="shared" si="51"/>
        <v>0</v>
      </c>
    </row>
    <row r="154" spans="1:17" ht="110.4">
      <c r="A154" s="297"/>
      <c r="B154" s="294"/>
      <c r="C154" s="9" t="s">
        <v>105</v>
      </c>
      <c r="D154" s="16" t="s">
        <v>101</v>
      </c>
      <c r="E154" s="25">
        <v>2</v>
      </c>
      <c r="F154" s="25">
        <v>2</v>
      </c>
      <c r="G154" s="25">
        <v>2</v>
      </c>
      <c r="H154" s="18">
        <f>SUM(I154:K154)</f>
        <v>166124.72</v>
      </c>
      <c r="I154" s="18">
        <f>145176.96+1169.2</f>
        <v>146346.16</v>
      </c>
      <c r="J154" s="18">
        <v>3857.41</v>
      </c>
      <c r="K154" s="18">
        <v>15921.15</v>
      </c>
      <c r="L154" s="26">
        <f>SUM(M154:O154)</f>
        <v>332249.44</v>
      </c>
      <c r="M154" s="26">
        <f>E154*I154</f>
        <v>292692.32</v>
      </c>
      <c r="N154" s="26">
        <f>E154*J154</f>
        <v>7714.82</v>
      </c>
      <c r="O154" s="26">
        <f>E154*K154</f>
        <v>31842.3</v>
      </c>
      <c r="P154" s="14">
        <f t="shared" si="50"/>
        <v>332249.44</v>
      </c>
      <c r="Q154" s="14">
        <f t="shared" si="51"/>
        <v>332249.44</v>
      </c>
    </row>
    <row r="155" spans="1:17" ht="13.8">
      <c r="A155" s="297"/>
      <c r="B155" s="53"/>
      <c r="C155" s="21" t="s">
        <v>106</v>
      </c>
      <c r="D155" s="16"/>
      <c r="E155" s="25">
        <f>E152+E154</f>
        <v>173</v>
      </c>
      <c r="F155" s="25">
        <f t="shared" ref="F155:G155" si="79">F152+F154</f>
        <v>182</v>
      </c>
      <c r="G155" s="25">
        <f t="shared" si="79"/>
        <v>187</v>
      </c>
      <c r="H155" s="25" t="s">
        <v>104</v>
      </c>
      <c r="I155" s="25" t="s">
        <v>104</v>
      </c>
      <c r="J155" s="25" t="s">
        <v>104</v>
      </c>
      <c r="K155" s="25" t="s">
        <v>104</v>
      </c>
      <c r="L155" s="25">
        <f t="shared" ref="L155:Q155" si="80">SUM(L152:L154)</f>
        <v>9582552.5800000001</v>
      </c>
      <c r="M155" s="25">
        <f t="shared" si="80"/>
        <v>6160861.7000000002</v>
      </c>
      <c r="N155" s="25">
        <f t="shared" si="80"/>
        <v>667331.92999999993</v>
      </c>
      <c r="O155" s="25">
        <f t="shared" si="80"/>
        <v>2754358.9499999997</v>
      </c>
      <c r="P155" s="25">
        <f t="shared" si="80"/>
        <v>10069410.640000001</v>
      </c>
      <c r="Q155" s="25">
        <f t="shared" si="80"/>
        <v>10339887.34</v>
      </c>
    </row>
    <row r="156" spans="1:17" ht="82.8">
      <c r="A156" s="297"/>
      <c r="B156" s="294" t="s">
        <v>108</v>
      </c>
      <c r="C156" s="9" t="s">
        <v>100</v>
      </c>
      <c r="D156" s="10" t="s">
        <v>101</v>
      </c>
      <c r="E156" s="25">
        <v>35</v>
      </c>
      <c r="F156" s="25">
        <v>39</v>
      </c>
      <c r="G156" s="25">
        <v>40</v>
      </c>
      <c r="H156" s="12">
        <f>SUM(I156:K156)</f>
        <v>60807.1</v>
      </c>
      <c r="I156" s="12">
        <f>39660.87+1367.67</f>
        <v>41028.54</v>
      </c>
      <c r="J156" s="12">
        <v>3857.41</v>
      </c>
      <c r="K156" s="18">
        <v>15921.15</v>
      </c>
      <c r="L156" s="26">
        <f>SUM(M156:O156)</f>
        <v>2128248.5</v>
      </c>
      <c r="M156" s="26">
        <f>E156*I156</f>
        <v>1435998.9000000001</v>
      </c>
      <c r="N156" s="26">
        <f>E156*J156</f>
        <v>135009.35</v>
      </c>
      <c r="O156" s="26">
        <f>E156*K156</f>
        <v>557240.25</v>
      </c>
      <c r="P156" s="14">
        <f t="shared" si="50"/>
        <v>2371476.9</v>
      </c>
      <c r="Q156" s="14">
        <f t="shared" si="51"/>
        <v>2432284</v>
      </c>
    </row>
    <row r="157" spans="1:17" ht="82.8">
      <c r="A157" s="297"/>
      <c r="B157" s="294"/>
      <c r="C157" s="15" t="s">
        <v>102</v>
      </c>
      <c r="D157" s="16" t="s">
        <v>101</v>
      </c>
      <c r="E157" s="25">
        <v>1</v>
      </c>
      <c r="F157" s="25"/>
      <c r="G157" s="25"/>
      <c r="H157" s="18">
        <v>22724.03</v>
      </c>
      <c r="I157" s="18">
        <v>22724.03</v>
      </c>
      <c r="J157" s="18" t="s">
        <v>103</v>
      </c>
      <c r="K157" s="18" t="s">
        <v>103</v>
      </c>
      <c r="L157" s="13">
        <f>SUM(M157:O157)</f>
        <v>22724.03</v>
      </c>
      <c r="M157" s="13">
        <f>E157*I157</f>
        <v>22724.03</v>
      </c>
      <c r="N157" s="13" t="s">
        <v>104</v>
      </c>
      <c r="O157" s="19" t="s">
        <v>104</v>
      </c>
      <c r="P157" s="14">
        <f t="shared" si="50"/>
        <v>0</v>
      </c>
      <c r="Q157" s="14">
        <f t="shared" si="51"/>
        <v>0</v>
      </c>
    </row>
    <row r="158" spans="1:17" ht="110.4">
      <c r="A158" s="297"/>
      <c r="B158" s="294"/>
      <c r="C158" s="9" t="s">
        <v>105</v>
      </c>
      <c r="D158" s="16" t="s">
        <v>101</v>
      </c>
      <c r="E158" s="25"/>
      <c r="F158" s="25">
        <v>1</v>
      </c>
      <c r="G158" s="25">
        <v>1</v>
      </c>
      <c r="H158" s="18">
        <f>SUM(I158:K158)</f>
        <v>195071.76</v>
      </c>
      <c r="I158" s="18">
        <f>173925.53+1367.67</f>
        <v>175293.2</v>
      </c>
      <c r="J158" s="18">
        <v>3857.41</v>
      </c>
      <c r="K158" s="18">
        <v>15921.15</v>
      </c>
      <c r="L158" s="26"/>
      <c r="M158" s="26"/>
      <c r="N158" s="26"/>
      <c r="O158" s="26"/>
      <c r="P158" s="14">
        <f t="shared" si="50"/>
        <v>195071.76</v>
      </c>
      <c r="Q158" s="14">
        <f t="shared" si="51"/>
        <v>195071.76</v>
      </c>
    </row>
    <row r="159" spans="1:17" ht="13.8">
      <c r="A159" s="297"/>
      <c r="B159" s="53"/>
      <c r="C159" s="21" t="s">
        <v>106</v>
      </c>
      <c r="D159" s="16"/>
      <c r="E159" s="25">
        <f>E156+E158</f>
        <v>35</v>
      </c>
      <c r="F159" s="25">
        <f t="shared" ref="F159:G159" si="81">F156+F158</f>
        <v>40</v>
      </c>
      <c r="G159" s="25">
        <f t="shared" si="81"/>
        <v>41</v>
      </c>
      <c r="H159" s="25" t="s">
        <v>104</v>
      </c>
      <c r="I159" s="25" t="s">
        <v>104</v>
      </c>
      <c r="J159" s="25" t="s">
        <v>104</v>
      </c>
      <c r="K159" s="25" t="s">
        <v>104</v>
      </c>
      <c r="L159" s="25">
        <f t="shared" ref="L159:Q159" si="82">SUM(L156:L158)</f>
        <v>2150972.5299999998</v>
      </c>
      <c r="M159" s="25">
        <f t="shared" si="82"/>
        <v>1458722.9300000002</v>
      </c>
      <c r="N159" s="25">
        <f t="shared" si="82"/>
        <v>135009.35</v>
      </c>
      <c r="O159" s="25">
        <f t="shared" si="82"/>
        <v>557240.25</v>
      </c>
      <c r="P159" s="25">
        <f t="shared" si="82"/>
        <v>2566548.66</v>
      </c>
      <c r="Q159" s="25">
        <f t="shared" si="82"/>
        <v>2627355.7599999998</v>
      </c>
    </row>
    <row r="160" spans="1:17" ht="165.75" customHeight="1">
      <c r="A160" s="297"/>
      <c r="B160" s="295" t="s">
        <v>109</v>
      </c>
      <c r="C160" s="9" t="s">
        <v>110</v>
      </c>
      <c r="D160" s="16" t="s">
        <v>101</v>
      </c>
      <c r="E160" s="25">
        <v>258</v>
      </c>
      <c r="F160" s="25">
        <v>268</v>
      </c>
      <c r="G160" s="25">
        <v>271</v>
      </c>
      <c r="H160" s="18">
        <f>I160</f>
        <v>2770.76</v>
      </c>
      <c r="I160" s="18">
        <v>2770.76</v>
      </c>
      <c r="J160" s="18" t="s">
        <v>104</v>
      </c>
      <c r="K160" s="18" t="s">
        <v>104</v>
      </c>
      <c r="L160" s="26">
        <f>SUM(M160:O160)</f>
        <v>714856.08000000007</v>
      </c>
      <c r="M160" s="26">
        <f>I160*E160</f>
        <v>714856.08000000007</v>
      </c>
      <c r="N160" s="26" t="s">
        <v>104</v>
      </c>
      <c r="O160" s="26" t="s">
        <v>104</v>
      </c>
      <c r="P160" s="14">
        <f t="shared" si="50"/>
        <v>742563.68</v>
      </c>
      <c r="Q160" s="14">
        <f t="shared" si="51"/>
        <v>750875.96000000008</v>
      </c>
    </row>
    <row r="161" spans="1:17" ht="183.75" customHeight="1">
      <c r="A161" s="297"/>
      <c r="B161" s="295"/>
      <c r="C161" s="9" t="s">
        <v>111</v>
      </c>
      <c r="D161" s="16" t="s">
        <v>101</v>
      </c>
      <c r="E161" s="29">
        <v>206</v>
      </c>
      <c r="F161" s="29">
        <v>214</v>
      </c>
      <c r="G161" s="29">
        <v>216</v>
      </c>
      <c r="H161" s="18">
        <v>3829.24</v>
      </c>
      <c r="I161" s="18">
        <f>H161</f>
        <v>3829.24</v>
      </c>
      <c r="J161" s="18" t="s">
        <v>104</v>
      </c>
      <c r="K161" s="18" t="s">
        <v>104</v>
      </c>
      <c r="L161" s="26">
        <f>SUM(M161:O161)</f>
        <v>788823.44</v>
      </c>
      <c r="M161" s="26">
        <f>I161*E161</f>
        <v>788823.44</v>
      </c>
      <c r="N161" s="27" t="s">
        <v>104</v>
      </c>
      <c r="O161" s="28" t="s">
        <v>104</v>
      </c>
      <c r="P161" s="14">
        <f t="shared" si="50"/>
        <v>819457.36</v>
      </c>
      <c r="Q161" s="14">
        <f t="shared" si="51"/>
        <v>827115.84</v>
      </c>
    </row>
    <row r="162" spans="1:17" ht="13.8">
      <c r="A162" s="297"/>
      <c r="B162" s="29"/>
      <c r="C162" s="21" t="s">
        <v>106</v>
      </c>
      <c r="D162" s="29"/>
      <c r="E162" s="29">
        <f>SUM(E160:E161)</f>
        <v>464</v>
      </c>
      <c r="F162" s="29">
        <f t="shared" ref="F162:G162" si="83">SUM(F160:F161)</f>
        <v>482</v>
      </c>
      <c r="G162" s="25">
        <f t="shared" si="83"/>
        <v>487</v>
      </c>
      <c r="H162" s="25" t="s">
        <v>104</v>
      </c>
      <c r="I162" s="25" t="s">
        <v>104</v>
      </c>
      <c r="J162" s="25" t="s">
        <v>104</v>
      </c>
      <c r="K162" s="25">
        <f t="shared" ref="K162:O162" si="84">SUM(K160:K161)</f>
        <v>0</v>
      </c>
      <c r="L162" s="25">
        <f t="shared" si="84"/>
        <v>1503679.52</v>
      </c>
      <c r="M162" s="25">
        <f t="shared" si="84"/>
        <v>1503679.52</v>
      </c>
      <c r="N162" s="25">
        <f t="shared" si="84"/>
        <v>0</v>
      </c>
      <c r="O162" s="25">
        <f t="shared" si="84"/>
        <v>0</v>
      </c>
      <c r="P162" s="14">
        <f>SUM(P160:P161)</f>
        <v>1562021.04</v>
      </c>
      <c r="Q162" s="14">
        <f>SUM(Q160:Q161)</f>
        <v>1577991.8</v>
      </c>
    </row>
    <row r="163" spans="1:17" ht="13.8">
      <c r="A163" s="297"/>
      <c r="B163" s="30" t="s">
        <v>112</v>
      </c>
      <c r="C163" s="30"/>
      <c r="D163" s="29"/>
      <c r="E163" s="29"/>
      <c r="F163" s="29"/>
      <c r="G163" s="29"/>
      <c r="H163" s="29"/>
      <c r="I163" s="29"/>
      <c r="J163" s="29"/>
      <c r="K163" s="29"/>
      <c r="L163" s="29">
        <f>SUM(M163:O163)</f>
        <v>22136193.960000001</v>
      </c>
      <c r="M163" s="29">
        <f t="shared" ref="M163:Q163" si="85">M151+M155+M159+M162</f>
        <v>14106098.6</v>
      </c>
      <c r="N163" s="29">
        <f t="shared" si="85"/>
        <v>1566108.46</v>
      </c>
      <c r="O163" s="29">
        <f t="shared" si="85"/>
        <v>6463986.9000000004</v>
      </c>
      <c r="P163" s="29">
        <f t="shared" si="85"/>
        <v>23725318.23</v>
      </c>
      <c r="Q163" s="29">
        <f t="shared" si="85"/>
        <v>24251976.539999995</v>
      </c>
    </row>
    <row r="164" spans="1:17" ht="82.8">
      <c r="A164" s="297" t="s">
        <v>116</v>
      </c>
      <c r="B164" s="294" t="s">
        <v>99</v>
      </c>
      <c r="C164" s="9" t="s">
        <v>100</v>
      </c>
      <c r="D164" s="10" t="s">
        <v>101</v>
      </c>
      <c r="E164" s="11">
        <v>309</v>
      </c>
      <c r="F164" s="11">
        <v>320</v>
      </c>
      <c r="G164" s="11">
        <v>320</v>
      </c>
      <c r="H164" s="12">
        <f>SUM(I164:K164)</f>
        <v>43059.57</v>
      </c>
      <c r="I164" s="12">
        <f>22328.93+952.08</f>
        <v>23281.010000000002</v>
      </c>
      <c r="J164" s="12">
        <v>3857.41</v>
      </c>
      <c r="K164" s="12">
        <v>15921.15</v>
      </c>
      <c r="L164" s="13">
        <f>SUM(M164:O164)</f>
        <v>13305407.130000001</v>
      </c>
      <c r="M164" s="13">
        <f>E164*I164</f>
        <v>7193832.0900000008</v>
      </c>
      <c r="N164" s="13">
        <f>E164*J164</f>
        <v>1191939.69</v>
      </c>
      <c r="O164" s="14">
        <f>E164*K164</f>
        <v>4919635.3499999996</v>
      </c>
      <c r="P164" s="14">
        <f t="shared" si="50"/>
        <v>13779062.4</v>
      </c>
      <c r="Q164" s="14">
        <f t="shared" si="51"/>
        <v>13779062.4</v>
      </c>
    </row>
    <row r="165" spans="1:17" ht="110.25" customHeight="1">
      <c r="A165" s="297"/>
      <c r="B165" s="294"/>
      <c r="C165" s="15" t="s">
        <v>102</v>
      </c>
      <c r="D165" s="16" t="s">
        <v>101</v>
      </c>
      <c r="E165" s="17">
        <v>3</v>
      </c>
      <c r="F165" s="17">
        <v>3</v>
      </c>
      <c r="G165" s="17">
        <v>3</v>
      </c>
      <c r="H165" s="18">
        <v>22724.03</v>
      </c>
      <c r="I165" s="18">
        <v>22724.03</v>
      </c>
      <c r="J165" s="18" t="s">
        <v>103</v>
      </c>
      <c r="K165" s="18" t="s">
        <v>103</v>
      </c>
      <c r="L165" s="13">
        <f>SUM(M165:O165)</f>
        <v>68172.09</v>
      </c>
      <c r="M165" s="13">
        <f>E165*I165</f>
        <v>68172.09</v>
      </c>
      <c r="N165" s="13" t="s">
        <v>104</v>
      </c>
      <c r="O165" s="19" t="s">
        <v>104</v>
      </c>
      <c r="P165" s="14">
        <f t="shared" ref="P165:P180" si="86">F165*H165</f>
        <v>68172.09</v>
      </c>
      <c r="Q165" s="14">
        <f t="shared" ref="Q165:Q180" si="87">G165*H165</f>
        <v>68172.09</v>
      </c>
    </row>
    <row r="166" spans="1:17" ht="110.4">
      <c r="A166" s="297"/>
      <c r="B166" s="294"/>
      <c r="C166" s="9" t="s">
        <v>105</v>
      </c>
      <c r="D166" s="16" t="s">
        <v>101</v>
      </c>
      <c r="E166" s="11">
        <v>2</v>
      </c>
      <c r="F166" s="11">
        <v>2</v>
      </c>
      <c r="G166" s="11">
        <v>2</v>
      </c>
      <c r="H166" s="18">
        <f>SUM(I166:K166)</f>
        <v>137159.02000000002</v>
      </c>
      <c r="I166" s="18">
        <f>116428.38+952.08</f>
        <v>117380.46</v>
      </c>
      <c r="J166" s="18">
        <v>3857.41</v>
      </c>
      <c r="K166" s="18">
        <v>15921.15</v>
      </c>
      <c r="L166" s="13">
        <f>SUM(M166:O166)</f>
        <v>274318.04000000004</v>
      </c>
      <c r="M166" s="13">
        <f>E166*I166</f>
        <v>234760.92</v>
      </c>
      <c r="N166" s="13">
        <f>E166*J166</f>
        <v>7714.82</v>
      </c>
      <c r="O166" s="20">
        <f>E166*K166</f>
        <v>31842.3</v>
      </c>
      <c r="P166" s="14">
        <f t="shared" si="86"/>
        <v>274318.04000000004</v>
      </c>
      <c r="Q166" s="14">
        <f t="shared" si="87"/>
        <v>274318.04000000004</v>
      </c>
    </row>
    <row r="167" spans="1:17" ht="96.6">
      <c r="A167" s="297"/>
      <c r="B167" s="53"/>
      <c r="C167" s="9" t="s">
        <v>117</v>
      </c>
      <c r="D167" s="16" t="s">
        <v>101</v>
      </c>
      <c r="E167" s="11">
        <v>4</v>
      </c>
      <c r="F167" s="11">
        <v>4</v>
      </c>
      <c r="G167" s="11">
        <v>4</v>
      </c>
      <c r="H167" s="18">
        <f>I167</f>
        <v>20712.060000000001</v>
      </c>
      <c r="I167" s="18">
        <v>20712.060000000001</v>
      </c>
      <c r="J167" s="18" t="s">
        <v>104</v>
      </c>
      <c r="K167" s="18" t="s">
        <v>104</v>
      </c>
      <c r="L167" s="11">
        <f>SUM(M167:O167)</f>
        <v>82848.240000000005</v>
      </c>
      <c r="M167" s="11">
        <f>E167*I167</f>
        <v>82848.240000000005</v>
      </c>
      <c r="N167" s="11"/>
      <c r="O167" s="11"/>
      <c r="P167" s="14">
        <f t="shared" si="86"/>
        <v>82848.240000000005</v>
      </c>
      <c r="Q167" s="14">
        <f t="shared" si="87"/>
        <v>82848.240000000005</v>
      </c>
    </row>
    <row r="168" spans="1:17" ht="13.8">
      <c r="A168" s="297"/>
      <c r="B168" s="53"/>
      <c r="C168" s="21" t="s">
        <v>106</v>
      </c>
      <c r="D168" s="22"/>
      <c r="E168" s="11">
        <f>E164+E166</f>
        <v>311</v>
      </c>
      <c r="F168" s="11">
        <f t="shared" ref="F168:G168" si="88">F164+F166</f>
        <v>322</v>
      </c>
      <c r="G168" s="11">
        <f t="shared" si="88"/>
        <v>322</v>
      </c>
      <c r="H168" s="11" t="s">
        <v>104</v>
      </c>
      <c r="I168" s="11" t="s">
        <v>104</v>
      </c>
      <c r="J168" s="11" t="s">
        <v>104</v>
      </c>
      <c r="K168" s="11" t="s">
        <v>104</v>
      </c>
      <c r="L168" s="13">
        <f>SUM(L164:L167)</f>
        <v>13730745.500000002</v>
      </c>
      <c r="M168" s="13">
        <f t="shared" ref="M168:Q168" si="89">SUM(M164:M167)</f>
        <v>7579613.3400000008</v>
      </c>
      <c r="N168" s="13">
        <f t="shared" si="89"/>
        <v>1199654.51</v>
      </c>
      <c r="O168" s="13">
        <f t="shared" si="89"/>
        <v>4951477.6499999994</v>
      </c>
      <c r="P168" s="13">
        <f t="shared" si="89"/>
        <v>14204400.770000001</v>
      </c>
      <c r="Q168" s="13">
        <f t="shared" si="89"/>
        <v>14204400.770000001</v>
      </c>
    </row>
    <row r="169" spans="1:17" ht="82.8">
      <c r="A169" s="297"/>
      <c r="B169" s="294" t="s">
        <v>107</v>
      </c>
      <c r="C169" s="9" t="s">
        <v>100</v>
      </c>
      <c r="D169" s="10" t="s">
        <v>101</v>
      </c>
      <c r="E169" s="23">
        <v>57</v>
      </c>
      <c r="F169" s="23">
        <v>50</v>
      </c>
      <c r="G169" s="23">
        <v>53</v>
      </c>
      <c r="H169" s="12">
        <f>SUM(I169:K169)</f>
        <v>54095.340000000004</v>
      </c>
      <c r="I169" s="12">
        <f>33147.58+1169.2</f>
        <v>34316.78</v>
      </c>
      <c r="J169" s="12">
        <v>3857.41</v>
      </c>
      <c r="K169" s="18">
        <v>15921.15</v>
      </c>
      <c r="L169" s="11">
        <f>SUM(M169:O169)</f>
        <v>3083434.38</v>
      </c>
      <c r="M169" s="11">
        <f>E169*I169</f>
        <v>1956056.46</v>
      </c>
      <c r="N169" s="11">
        <f>E169*J169</f>
        <v>219872.37</v>
      </c>
      <c r="O169" s="24">
        <f>E169*K169</f>
        <v>907505.54999999993</v>
      </c>
      <c r="P169" s="14">
        <f t="shared" si="86"/>
        <v>2704767</v>
      </c>
      <c r="Q169" s="14">
        <f t="shared" si="87"/>
        <v>2867053.02</v>
      </c>
    </row>
    <row r="170" spans="1:17" ht="104.25" customHeight="1">
      <c r="A170" s="297"/>
      <c r="B170" s="294"/>
      <c r="C170" s="9" t="s">
        <v>118</v>
      </c>
      <c r="D170" s="10" t="s">
        <v>101</v>
      </c>
      <c r="E170" s="23">
        <v>326</v>
      </c>
      <c r="F170" s="23">
        <v>315</v>
      </c>
      <c r="G170" s="23">
        <v>327</v>
      </c>
      <c r="H170" s="12">
        <f>SUM(I170:K170)</f>
        <v>57407.18</v>
      </c>
      <c r="I170" s="12">
        <f>36459.42+1169.2</f>
        <v>37628.619999999995</v>
      </c>
      <c r="J170" s="12">
        <v>3857.41</v>
      </c>
      <c r="K170" s="18">
        <v>15921.15</v>
      </c>
      <c r="L170" s="11">
        <f>SUM(M170:O170)</f>
        <v>18714740.68</v>
      </c>
      <c r="M170" s="11">
        <f>E170*I170</f>
        <v>12266930.119999999</v>
      </c>
      <c r="N170" s="11">
        <f>E170*J170</f>
        <v>1257515.6599999999</v>
      </c>
      <c r="O170" s="24">
        <f>E170*K170</f>
        <v>5190294.8999999994</v>
      </c>
      <c r="P170" s="14">
        <f t="shared" si="86"/>
        <v>18083261.699999999</v>
      </c>
      <c r="Q170" s="14">
        <f t="shared" si="87"/>
        <v>18772147.859999999</v>
      </c>
    </row>
    <row r="171" spans="1:17" ht="119.25" customHeight="1">
      <c r="A171" s="297"/>
      <c r="B171" s="294"/>
      <c r="C171" s="15" t="s">
        <v>102</v>
      </c>
      <c r="D171" s="16" t="s">
        <v>101</v>
      </c>
      <c r="E171" s="25">
        <v>1</v>
      </c>
      <c r="F171" s="25">
        <v>1</v>
      </c>
      <c r="G171" s="25">
        <v>1</v>
      </c>
      <c r="H171" s="18">
        <v>22724.03</v>
      </c>
      <c r="I171" s="18">
        <v>22724.03</v>
      </c>
      <c r="J171" s="18" t="s">
        <v>103</v>
      </c>
      <c r="K171" s="18" t="s">
        <v>103</v>
      </c>
      <c r="L171" s="13">
        <f>SUM(M171:O171)</f>
        <v>22724.03</v>
      </c>
      <c r="M171" s="13">
        <f>E171*I171</f>
        <v>22724.03</v>
      </c>
      <c r="N171" s="13" t="s">
        <v>104</v>
      </c>
      <c r="O171" s="19" t="s">
        <v>104</v>
      </c>
      <c r="P171" s="14">
        <f t="shared" si="86"/>
        <v>22724.03</v>
      </c>
      <c r="Q171" s="14">
        <f t="shared" si="87"/>
        <v>22724.03</v>
      </c>
    </row>
    <row r="172" spans="1:17" ht="110.4">
      <c r="A172" s="297"/>
      <c r="B172" s="294"/>
      <c r="C172" s="9" t="s">
        <v>105</v>
      </c>
      <c r="D172" s="16" t="s">
        <v>101</v>
      </c>
      <c r="E172" s="25"/>
      <c r="F172" s="25"/>
      <c r="G172" s="25"/>
      <c r="H172" s="18">
        <f>SUM(I172:K172)</f>
        <v>166124.72</v>
      </c>
      <c r="I172" s="18">
        <f>145176.96+1169.2</f>
        <v>146346.16</v>
      </c>
      <c r="J172" s="18">
        <v>3857.41</v>
      </c>
      <c r="K172" s="18">
        <v>15921.15</v>
      </c>
      <c r="L172" s="26">
        <f>SUM(M172:O172)</f>
        <v>0</v>
      </c>
      <c r="M172" s="26">
        <f>E172*I172</f>
        <v>0</v>
      </c>
      <c r="N172" s="26">
        <f>E172*J172</f>
        <v>0</v>
      </c>
      <c r="O172" s="26">
        <f>E172*K172</f>
        <v>0</v>
      </c>
      <c r="P172" s="14">
        <f t="shared" si="86"/>
        <v>0</v>
      </c>
      <c r="Q172" s="14">
        <f t="shared" si="87"/>
        <v>0</v>
      </c>
    </row>
    <row r="173" spans="1:17" ht="96.6">
      <c r="A173" s="297"/>
      <c r="B173" s="53"/>
      <c r="C173" s="9" t="s">
        <v>117</v>
      </c>
      <c r="D173" s="16" t="s">
        <v>101</v>
      </c>
      <c r="E173" s="25">
        <v>3</v>
      </c>
      <c r="F173" s="25">
        <v>3</v>
      </c>
      <c r="G173" s="25">
        <v>3</v>
      </c>
      <c r="H173" s="18">
        <v>32794.07</v>
      </c>
      <c r="I173" s="18">
        <f>H173</f>
        <v>32794.07</v>
      </c>
      <c r="J173" s="18" t="s">
        <v>104</v>
      </c>
      <c r="K173" s="18" t="s">
        <v>104</v>
      </c>
      <c r="L173" s="26">
        <f>SUM(M173:O173)</f>
        <v>98382.209999999992</v>
      </c>
      <c r="M173" s="26">
        <f>E173*I173</f>
        <v>98382.209999999992</v>
      </c>
      <c r="N173" s="26"/>
      <c r="O173" s="26"/>
      <c r="P173" s="14">
        <f t="shared" si="86"/>
        <v>98382.209999999992</v>
      </c>
      <c r="Q173" s="14">
        <f t="shared" si="87"/>
        <v>98382.209999999992</v>
      </c>
    </row>
    <row r="174" spans="1:17" ht="13.8">
      <c r="A174" s="297"/>
      <c r="B174" s="53"/>
      <c r="C174" s="21" t="s">
        <v>106</v>
      </c>
      <c r="D174" s="16"/>
      <c r="E174" s="25">
        <f>E169++E170+E172</f>
        <v>383</v>
      </c>
      <c r="F174" s="25">
        <f t="shared" ref="F174:G174" si="90">F169++F170+F172</f>
        <v>365</v>
      </c>
      <c r="G174" s="25">
        <f t="shared" si="90"/>
        <v>380</v>
      </c>
      <c r="H174" s="25" t="s">
        <v>104</v>
      </c>
      <c r="I174" s="25" t="s">
        <v>104</v>
      </c>
      <c r="J174" s="25" t="s">
        <v>104</v>
      </c>
      <c r="K174" s="25" t="s">
        <v>104</v>
      </c>
      <c r="L174" s="25">
        <f>SUM(L169:L173)</f>
        <v>21919281.300000001</v>
      </c>
      <c r="M174" s="25">
        <f t="shared" ref="M174:Q174" si="91">SUM(M169:M173)</f>
        <v>14344092.819999998</v>
      </c>
      <c r="N174" s="25">
        <f t="shared" si="91"/>
        <v>1477388.0299999998</v>
      </c>
      <c r="O174" s="25">
        <f t="shared" si="91"/>
        <v>6097800.4499999993</v>
      </c>
      <c r="P174" s="25">
        <f t="shared" si="91"/>
        <v>20909134.940000001</v>
      </c>
      <c r="Q174" s="25">
        <f t="shared" si="91"/>
        <v>21760307.120000001</v>
      </c>
    </row>
    <row r="175" spans="1:17" ht="82.8">
      <c r="A175" s="297"/>
      <c r="B175" s="294" t="s">
        <v>108</v>
      </c>
      <c r="C175" s="9" t="s">
        <v>100</v>
      </c>
      <c r="D175" s="10" t="s">
        <v>101</v>
      </c>
      <c r="E175" s="25">
        <v>106</v>
      </c>
      <c r="F175" s="25">
        <v>110</v>
      </c>
      <c r="G175" s="25">
        <v>112</v>
      </c>
      <c r="H175" s="12">
        <f>SUM(I175:K175)</f>
        <v>60807.1</v>
      </c>
      <c r="I175" s="12">
        <f>39660.87+1367.67</f>
        <v>41028.54</v>
      </c>
      <c r="J175" s="12">
        <v>3857.41</v>
      </c>
      <c r="K175" s="18">
        <v>15921.15</v>
      </c>
      <c r="L175" s="26">
        <f>SUM(M175:O175)</f>
        <v>6445552.5999999996</v>
      </c>
      <c r="M175" s="26">
        <f>E175*I175</f>
        <v>4349025.24</v>
      </c>
      <c r="N175" s="26">
        <f>E175*J175</f>
        <v>408885.45999999996</v>
      </c>
      <c r="O175" s="26">
        <f>E175*K175</f>
        <v>1687641.9</v>
      </c>
      <c r="P175" s="14">
        <f t="shared" si="86"/>
        <v>6688781</v>
      </c>
      <c r="Q175" s="14">
        <f t="shared" si="87"/>
        <v>6810395.2000000002</v>
      </c>
    </row>
    <row r="176" spans="1:17" ht="113.25" customHeight="1">
      <c r="A176" s="297"/>
      <c r="B176" s="294"/>
      <c r="C176" s="15" t="s">
        <v>102</v>
      </c>
      <c r="D176" s="16" t="s">
        <v>101</v>
      </c>
      <c r="E176" s="25">
        <v>1</v>
      </c>
      <c r="F176" s="25">
        <v>1</v>
      </c>
      <c r="G176" s="25">
        <v>1</v>
      </c>
      <c r="H176" s="18">
        <v>22724.03</v>
      </c>
      <c r="I176" s="18">
        <v>22724.03</v>
      </c>
      <c r="J176" s="18" t="s">
        <v>103</v>
      </c>
      <c r="K176" s="18" t="s">
        <v>103</v>
      </c>
      <c r="L176" s="13">
        <f>SUM(M176:O176)</f>
        <v>22724.03</v>
      </c>
      <c r="M176" s="13">
        <f>E176*I176</f>
        <v>22724.03</v>
      </c>
      <c r="N176" s="13" t="s">
        <v>104</v>
      </c>
      <c r="O176" s="19" t="s">
        <v>104</v>
      </c>
      <c r="P176" s="14">
        <f t="shared" si="86"/>
        <v>22724.03</v>
      </c>
      <c r="Q176" s="14">
        <f t="shared" si="87"/>
        <v>22724.03</v>
      </c>
    </row>
    <row r="177" spans="1:17" ht="110.4">
      <c r="A177" s="297"/>
      <c r="B177" s="294"/>
      <c r="C177" s="9" t="s">
        <v>105</v>
      </c>
      <c r="D177" s="16" t="s">
        <v>101</v>
      </c>
      <c r="E177" s="25"/>
      <c r="F177" s="25"/>
      <c r="G177" s="25"/>
      <c r="H177" s="18">
        <f>SUM(I177:K177)</f>
        <v>195071.76</v>
      </c>
      <c r="I177" s="18">
        <f>173925.53+1367.67</f>
        <v>175293.2</v>
      </c>
      <c r="J177" s="18">
        <v>3857.41</v>
      </c>
      <c r="K177" s="18">
        <v>15921.15</v>
      </c>
      <c r="L177" s="26"/>
      <c r="M177" s="26"/>
      <c r="N177" s="26"/>
      <c r="O177" s="26"/>
      <c r="P177" s="14">
        <f t="shared" si="86"/>
        <v>0</v>
      </c>
      <c r="Q177" s="14">
        <f t="shared" si="87"/>
        <v>0</v>
      </c>
    </row>
    <row r="178" spans="1:17" ht="13.8">
      <c r="A178" s="297"/>
      <c r="B178" s="53"/>
      <c r="C178" s="21" t="s">
        <v>106</v>
      </c>
      <c r="D178" s="16"/>
      <c r="E178" s="25">
        <f>E175+E177</f>
        <v>106</v>
      </c>
      <c r="F178" s="25">
        <f t="shared" ref="F178:G178" si="92">F175+F177</f>
        <v>110</v>
      </c>
      <c r="G178" s="25">
        <f t="shared" si="92"/>
        <v>112</v>
      </c>
      <c r="H178" s="25" t="s">
        <v>104</v>
      </c>
      <c r="I178" s="25" t="s">
        <v>104</v>
      </c>
      <c r="J178" s="25" t="s">
        <v>104</v>
      </c>
      <c r="K178" s="25" t="s">
        <v>104</v>
      </c>
      <c r="L178" s="25">
        <f>SUM(L175:L177)</f>
        <v>6468276.6299999999</v>
      </c>
      <c r="M178" s="25">
        <f t="shared" ref="M178:Q178" si="93">SUM(M175:M177)</f>
        <v>4371749.2700000005</v>
      </c>
      <c r="N178" s="25">
        <f t="shared" si="93"/>
        <v>408885.45999999996</v>
      </c>
      <c r="O178" s="25">
        <f t="shared" si="93"/>
        <v>1687641.9</v>
      </c>
      <c r="P178" s="25">
        <f t="shared" si="93"/>
        <v>6711505.0300000003</v>
      </c>
      <c r="Q178" s="25">
        <f t="shared" si="93"/>
        <v>6833119.2300000004</v>
      </c>
    </row>
    <row r="179" spans="1:17" ht="171.75" customHeight="1">
      <c r="A179" s="297"/>
      <c r="B179" s="295" t="s">
        <v>109</v>
      </c>
      <c r="C179" s="9" t="s">
        <v>110</v>
      </c>
      <c r="D179" s="16" t="s">
        <v>101</v>
      </c>
      <c r="E179" s="25">
        <v>509</v>
      </c>
      <c r="F179" s="25">
        <v>519</v>
      </c>
      <c r="G179" s="25">
        <v>519</v>
      </c>
      <c r="H179" s="18">
        <f>I179</f>
        <v>2770.76</v>
      </c>
      <c r="I179" s="18">
        <v>2770.76</v>
      </c>
      <c r="J179" s="18" t="s">
        <v>104</v>
      </c>
      <c r="K179" s="18" t="s">
        <v>104</v>
      </c>
      <c r="L179" s="26">
        <f>SUM(M179:O179)</f>
        <v>1410316.84</v>
      </c>
      <c r="M179" s="26">
        <f>I179*E179</f>
        <v>1410316.84</v>
      </c>
      <c r="N179" s="26" t="s">
        <v>104</v>
      </c>
      <c r="O179" s="26" t="s">
        <v>104</v>
      </c>
      <c r="P179" s="14">
        <f t="shared" si="86"/>
        <v>1438024.4400000002</v>
      </c>
      <c r="Q179" s="14">
        <f t="shared" si="87"/>
        <v>1438024.4400000002</v>
      </c>
    </row>
    <row r="180" spans="1:17" ht="180.75" customHeight="1">
      <c r="A180" s="297"/>
      <c r="B180" s="295"/>
      <c r="C180" s="9" t="s">
        <v>111</v>
      </c>
      <c r="D180" s="16" t="s">
        <v>101</v>
      </c>
      <c r="E180" s="29">
        <v>622</v>
      </c>
      <c r="F180" s="29">
        <v>632</v>
      </c>
      <c r="G180" s="29">
        <v>632</v>
      </c>
      <c r="H180" s="18">
        <v>3829.24</v>
      </c>
      <c r="I180" s="18">
        <f>H180</f>
        <v>3829.24</v>
      </c>
      <c r="J180" s="18" t="s">
        <v>104</v>
      </c>
      <c r="K180" s="18" t="s">
        <v>104</v>
      </c>
      <c r="L180" s="26">
        <f>SUM(M180:O180)</f>
        <v>2381787.2799999998</v>
      </c>
      <c r="M180" s="26">
        <f>I180*E180</f>
        <v>2381787.2799999998</v>
      </c>
      <c r="N180" s="27" t="s">
        <v>104</v>
      </c>
      <c r="O180" s="28" t="s">
        <v>104</v>
      </c>
      <c r="P180" s="14">
        <f t="shared" si="86"/>
        <v>2420079.6799999997</v>
      </c>
      <c r="Q180" s="14">
        <f t="shared" si="87"/>
        <v>2420079.6799999997</v>
      </c>
    </row>
    <row r="181" spans="1:17" ht="13.8">
      <c r="A181" s="297"/>
      <c r="B181" s="29"/>
      <c r="C181" s="21" t="s">
        <v>106</v>
      </c>
      <c r="D181" s="29"/>
      <c r="E181" s="29">
        <f>SUM(E179:E180)</f>
        <v>1131</v>
      </c>
      <c r="F181" s="29">
        <f t="shared" ref="F181:G181" si="94">SUM(F179:F180)</f>
        <v>1151</v>
      </c>
      <c r="G181" s="25">
        <f t="shared" si="94"/>
        <v>1151</v>
      </c>
      <c r="H181" s="25" t="s">
        <v>104</v>
      </c>
      <c r="I181" s="25" t="s">
        <v>104</v>
      </c>
      <c r="J181" s="25" t="s">
        <v>104</v>
      </c>
      <c r="K181" s="25">
        <f t="shared" ref="K181:O181" si="95">SUM(K179:K180)</f>
        <v>0</v>
      </c>
      <c r="L181" s="25">
        <f t="shared" si="95"/>
        <v>3792104.12</v>
      </c>
      <c r="M181" s="25">
        <f t="shared" si="95"/>
        <v>3792104.12</v>
      </c>
      <c r="N181" s="25">
        <f t="shared" si="95"/>
        <v>0</v>
      </c>
      <c r="O181" s="25">
        <f t="shared" si="95"/>
        <v>0</v>
      </c>
      <c r="P181" s="14">
        <f>SUM(P179:P180)</f>
        <v>3858104.12</v>
      </c>
      <c r="Q181" s="14">
        <f>SUM(Q179:Q180)</f>
        <v>3858104.12</v>
      </c>
    </row>
    <row r="182" spans="1:17" ht="13.8">
      <c r="A182" s="297"/>
      <c r="B182" s="30" t="s">
        <v>112</v>
      </c>
      <c r="C182" s="30"/>
      <c r="D182" s="29"/>
      <c r="E182" s="29"/>
      <c r="F182" s="29"/>
      <c r="G182" s="29"/>
      <c r="H182" s="29"/>
      <c r="I182" s="29"/>
      <c r="J182" s="29"/>
      <c r="K182" s="29"/>
      <c r="L182" s="31">
        <f>L168+L174+L178+L181</f>
        <v>45910407.550000004</v>
      </c>
      <c r="M182" s="31">
        <f t="shared" ref="M182:Q182" si="96">M168+M174+M178+M181</f>
        <v>30087559.550000001</v>
      </c>
      <c r="N182" s="31">
        <f t="shared" si="96"/>
        <v>3085928</v>
      </c>
      <c r="O182" s="31">
        <f t="shared" si="96"/>
        <v>12736919.999999998</v>
      </c>
      <c r="P182" s="31">
        <f t="shared" si="96"/>
        <v>45683144.859999999</v>
      </c>
      <c r="Q182" s="31">
        <f t="shared" si="96"/>
        <v>46655931.240000002</v>
      </c>
    </row>
    <row r="183" spans="1:17" ht="225" customHeight="1">
      <c r="A183" s="297" t="s">
        <v>119</v>
      </c>
      <c r="B183" s="294" t="s">
        <v>99</v>
      </c>
      <c r="C183" s="9" t="s">
        <v>120</v>
      </c>
      <c r="D183" s="10" t="s">
        <v>121</v>
      </c>
      <c r="E183" s="32" t="s">
        <v>122</v>
      </c>
      <c r="F183" s="11" t="s">
        <v>122</v>
      </c>
      <c r="G183" s="11" t="s">
        <v>123</v>
      </c>
      <c r="H183" s="33" t="s">
        <v>124</v>
      </c>
      <c r="I183" s="33" t="s">
        <v>125</v>
      </c>
      <c r="J183" s="33" t="s">
        <v>126</v>
      </c>
      <c r="K183" s="33" t="s">
        <v>127</v>
      </c>
      <c r="L183" s="13">
        <f t="shared" ref="L183:L188" si="97">SUM(M183:O183)</f>
        <v>2238893.54</v>
      </c>
      <c r="M183" s="13">
        <f>642642.05*2+952.08*46</f>
        <v>1329079.78</v>
      </c>
      <c r="N183" s="13">
        <f>3857.41*46</f>
        <v>177440.86</v>
      </c>
      <c r="O183" s="14">
        <f>15921.15*46</f>
        <v>732372.9</v>
      </c>
      <c r="P183" s="14">
        <f>642642.05*2+20730.64*46</f>
        <v>2238893.54</v>
      </c>
      <c r="Q183" s="14">
        <f>643642.05*2+20730.64*49</f>
        <v>2303085.46</v>
      </c>
    </row>
    <row r="184" spans="1:17" ht="193.2">
      <c r="A184" s="297"/>
      <c r="B184" s="294"/>
      <c r="C184" s="9" t="s">
        <v>128</v>
      </c>
      <c r="D184" s="10" t="s">
        <v>121</v>
      </c>
      <c r="E184" s="33" t="s">
        <v>129</v>
      </c>
      <c r="F184" s="33" t="s">
        <v>130</v>
      </c>
      <c r="G184" s="33" t="s">
        <v>130</v>
      </c>
      <c r="H184" s="33" t="s">
        <v>131</v>
      </c>
      <c r="I184" s="33" t="s">
        <v>132</v>
      </c>
      <c r="J184" s="33" t="s">
        <v>126</v>
      </c>
      <c r="K184" s="33" t="s">
        <v>127</v>
      </c>
      <c r="L184" s="13">
        <f t="shared" si="97"/>
        <v>3681151.7999999993</v>
      </c>
      <c r="M184" s="13">
        <f>604145.69*4+952.08*61</f>
        <v>2474659.6399999997</v>
      </c>
      <c r="N184" s="13">
        <f>3857.41*61</f>
        <v>235302.00999999998</v>
      </c>
      <c r="O184" s="14">
        <f>15921.15*61</f>
        <v>971190.15</v>
      </c>
      <c r="P184" s="14">
        <f>604145.69*4+20730.64*63</f>
        <v>3722613.08</v>
      </c>
      <c r="Q184" s="14">
        <f>P184</f>
        <v>3722613.08</v>
      </c>
    </row>
    <row r="185" spans="1:17" ht="82.8">
      <c r="A185" s="297"/>
      <c r="B185" s="294"/>
      <c r="C185" s="15" t="s">
        <v>102</v>
      </c>
      <c r="D185" s="16" t="s">
        <v>101</v>
      </c>
      <c r="E185" s="17"/>
      <c r="F185" s="17"/>
      <c r="G185" s="17"/>
      <c r="H185" s="18">
        <v>22724.03</v>
      </c>
      <c r="I185" s="18">
        <v>22724.03</v>
      </c>
      <c r="J185" s="18" t="s">
        <v>103</v>
      </c>
      <c r="K185" s="18" t="s">
        <v>103</v>
      </c>
      <c r="L185" s="13">
        <f t="shared" si="97"/>
        <v>0</v>
      </c>
      <c r="M185" s="13">
        <f>E185*I185</f>
        <v>0</v>
      </c>
      <c r="N185" s="13" t="s">
        <v>104</v>
      </c>
      <c r="O185" s="19" t="s">
        <v>104</v>
      </c>
      <c r="P185" s="14">
        <f t="shared" ref="P185:P195" si="98">F185*H185</f>
        <v>0</v>
      </c>
      <c r="Q185" s="14">
        <f t="shared" ref="Q185:Q195" si="99">G185*H185</f>
        <v>0</v>
      </c>
    </row>
    <row r="186" spans="1:17" ht="13.8">
      <c r="A186" s="297"/>
      <c r="B186" s="294"/>
      <c r="C186" s="21" t="s">
        <v>106</v>
      </c>
      <c r="D186" s="22"/>
      <c r="E186" s="11" t="s">
        <v>133</v>
      </c>
      <c r="F186" s="11" t="s">
        <v>134</v>
      </c>
      <c r="G186" s="11" t="s">
        <v>135</v>
      </c>
      <c r="H186" s="11" t="s">
        <v>104</v>
      </c>
      <c r="I186" s="11" t="s">
        <v>104</v>
      </c>
      <c r="J186" s="11" t="s">
        <v>104</v>
      </c>
      <c r="K186" s="11" t="s">
        <v>104</v>
      </c>
      <c r="L186" s="13">
        <f t="shared" si="97"/>
        <v>5920045.3399999999</v>
      </c>
      <c r="M186" s="13">
        <f>SUM(M183:M185)</f>
        <v>3803739.42</v>
      </c>
      <c r="N186" s="13">
        <f t="shared" ref="N186:O186" si="100">SUM(N183:N185)</f>
        <v>412742.87</v>
      </c>
      <c r="O186" s="13">
        <f t="shared" si="100"/>
        <v>1703563.05</v>
      </c>
      <c r="P186" s="34">
        <f>SUM(P183:P185)</f>
        <v>5961506.6200000001</v>
      </c>
      <c r="Q186" s="34">
        <f>SUM(Q183:Q185)</f>
        <v>6025698.54</v>
      </c>
    </row>
    <row r="187" spans="1:17" ht="222" customHeight="1">
      <c r="A187" s="297"/>
      <c r="B187" s="294" t="s">
        <v>107</v>
      </c>
      <c r="C187" s="9" t="s">
        <v>120</v>
      </c>
      <c r="D187" s="10" t="s">
        <v>121</v>
      </c>
      <c r="E187" s="23" t="s">
        <v>136</v>
      </c>
      <c r="F187" s="35" t="s">
        <v>122</v>
      </c>
      <c r="G187" s="23" t="s">
        <v>137</v>
      </c>
      <c r="H187" s="33" t="s">
        <v>138</v>
      </c>
      <c r="I187" s="33" t="s">
        <v>139</v>
      </c>
      <c r="J187" s="33" t="s">
        <v>126</v>
      </c>
      <c r="K187" s="33" t="s">
        <v>127</v>
      </c>
      <c r="L187" s="11">
        <f t="shared" si="97"/>
        <v>4247891.0999999996</v>
      </c>
      <c r="M187" s="11">
        <f>3*955112.98+66*1169.2</f>
        <v>2942506.14</v>
      </c>
      <c r="N187" s="11">
        <f>3857.41*66</f>
        <v>254589.06</v>
      </c>
      <c r="O187" s="24">
        <f>15921.15*66</f>
        <v>1050795.8999999999</v>
      </c>
      <c r="P187" s="14">
        <f>2*955112.98+46*20947.76</f>
        <v>2873822.92</v>
      </c>
      <c r="Q187" s="14">
        <f>5*955112.98+112*20947.76</f>
        <v>7121714.0199999996</v>
      </c>
    </row>
    <row r="188" spans="1:17" ht="228" customHeight="1">
      <c r="A188" s="297"/>
      <c r="B188" s="294"/>
      <c r="C188" s="9" t="s">
        <v>128</v>
      </c>
      <c r="D188" s="10" t="s">
        <v>121</v>
      </c>
      <c r="E188" s="25" t="s">
        <v>140</v>
      </c>
      <c r="F188" s="25" t="s">
        <v>141</v>
      </c>
      <c r="G188" s="25" t="s">
        <v>129</v>
      </c>
      <c r="H188" s="33" t="s">
        <v>142</v>
      </c>
      <c r="I188" s="33" t="s">
        <v>143</v>
      </c>
      <c r="J188" s="33" t="s">
        <v>126</v>
      </c>
      <c r="K188" s="33" t="s">
        <v>127</v>
      </c>
      <c r="L188" s="13">
        <f t="shared" si="97"/>
        <v>3254329.2699999996</v>
      </c>
      <c r="M188" s="13">
        <f>3*756594.85+1169.2*47</f>
        <v>2324736.9499999997</v>
      </c>
      <c r="N188" s="13">
        <f>3857.41*47</f>
        <v>181298.27</v>
      </c>
      <c r="O188" s="19">
        <f>15921.15*47</f>
        <v>748294.04999999993</v>
      </c>
      <c r="P188" s="14">
        <f>6*756594.85+20947.76*99</f>
        <v>6613397.3399999999</v>
      </c>
      <c r="Q188" s="14">
        <f>756594.85*4+20947.76*61</f>
        <v>4304192.76</v>
      </c>
    </row>
    <row r="189" spans="1:17" ht="96.75" customHeight="1">
      <c r="A189" s="297"/>
      <c r="B189" s="294"/>
      <c r="C189" s="15" t="s">
        <v>102</v>
      </c>
      <c r="D189" s="16" t="s">
        <v>101</v>
      </c>
      <c r="E189" s="25">
        <v>4</v>
      </c>
      <c r="F189" s="25">
        <v>3</v>
      </c>
      <c r="G189" s="25">
        <v>3</v>
      </c>
      <c r="H189" s="18">
        <f>I189</f>
        <v>27251.919999999998</v>
      </c>
      <c r="I189" s="18">
        <v>27251.919999999998</v>
      </c>
      <c r="J189" s="18" t="s">
        <v>103</v>
      </c>
      <c r="K189" s="18" t="s">
        <v>103</v>
      </c>
      <c r="L189" s="13">
        <f>SUM(M189)</f>
        <v>109007.67999999999</v>
      </c>
      <c r="M189" s="26">
        <f>E189*I189</f>
        <v>109007.67999999999</v>
      </c>
      <c r="N189" s="26"/>
      <c r="O189" s="26"/>
      <c r="P189" s="14">
        <f t="shared" si="98"/>
        <v>81755.759999999995</v>
      </c>
      <c r="Q189" s="14">
        <f t="shared" si="99"/>
        <v>81755.759999999995</v>
      </c>
    </row>
    <row r="190" spans="1:17" ht="110.4">
      <c r="A190" s="297"/>
      <c r="B190" s="53"/>
      <c r="C190" s="9" t="s">
        <v>144</v>
      </c>
      <c r="D190" s="16" t="s">
        <v>101</v>
      </c>
      <c r="E190" s="18">
        <v>1</v>
      </c>
      <c r="F190" s="18">
        <v>1</v>
      </c>
      <c r="G190" s="18">
        <v>1</v>
      </c>
      <c r="H190" s="18">
        <f>SUM(I190:K190)</f>
        <v>217702</v>
      </c>
      <c r="I190" s="18">
        <v>217702</v>
      </c>
      <c r="J190" s="18"/>
      <c r="K190" s="18"/>
      <c r="L190" s="26">
        <f>SUM(M190:O190)</f>
        <v>217702</v>
      </c>
      <c r="M190" s="26">
        <f>E190*I190</f>
        <v>217702</v>
      </c>
      <c r="N190" s="26">
        <f>E190*J190</f>
        <v>0</v>
      </c>
      <c r="O190" s="26">
        <f>K190*E190</f>
        <v>0</v>
      </c>
      <c r="P190" s="14">
        <f t="shared" si="98"/>
        <v>217702</v>
      </c>
      <c r="Q190" s="14">
        <f t="shared" si="99"/>
        <v>217702</v>
      </c>
    </row>
    <row r="191" spans="1:17" ht="13.8">
      <c r="A191" s="297"/>
      <c r="B191" s="53"/>
      <c r="C191" s="21" t="s">
        <v>106</v>
      </c>
      <c r="D191" s="16"/>
      <c r="E191" s="25" t="s">
        <v>145</v>
      </c>
      <c r="F191" s="25" t="s">
        <v>146</v>
      </c>
      <c r="G191" s="25" t="s">
        <v>147</v>
      </c>
      <c r="H191" s="25" t="s">
        <v>104</v>
      </c>
      <c r="I191" s="25" t="s">
        <v>104</v>
      </c>
      <c r="J191" s="25" t="s">
        <v>104</v>
      </c>
      <c r="K191" s="25" t="s">
        <v>104</v>
      </c>
      <c r="L191" s="25">
        <f>SUM(M191:O191)</f>
        <v>7828930.0499999989</v>
      </c>
      <c r="M191" s="25">
        <f t="shared" ref="M191:O191" si="101">SUM(M187:M190)</f>
        <v>5593952.7699999996</v>
      </c>
      <c r="N191" s="25">
        <f t="shared" si="101"/>
        <v>435887.32999999996</v>
      </c>
      <c r="O191" s="25">
        <f t="shared" si="101"/>
        <v>1799089.9499999997</v>
      </c>
      <c r="P191" s="25">
        <f>SUM(P187:P190)</f>
        <v>9786678.0199999996</v>
      </c>
      <c r="Q191" s="25">
        <f>SUM(Q187:Q190)</f>
        <v>11725364.539999999</v>
      </c>
    </row>
    <row r="192" spans="1:17" ht="227.25" customHeight="1">
      <c r="A192" s="297"/>
      <c r="B192" s="53" t="s">
        <v>108</v>
      </c>
      <c r="C192" s="9" t="s">
        <v>128</v>
      </c>
      <c r="D192" s="10" t="s">
        <v>121</v>
      </c>
      <c r="E192" s="33" t="s">
        <v>148</v>
      </c>
      <c r="F192" s="33" t="s">
        <v>148</v>
      </c>
      <c r="G192" s="33" t="s">
        <v>149</v>
      </c>
      <c r="H192" s="33" t="s">
        <v>150</v>
      </c>
      <c r="I192" s="33" t="s">
        <v>151</v>
      </c>
      <c r="J192" s="33" t="s">
        <v>126</v>
      </c>
      <c r="K192" s="33" t="s">
        <v>127</v>
      </c>
      <c r="L192" s="26">
        <f>SUM(M192:O192)</f>
        <v>956431.65700000001</v>
      </c>
      <c r="M192" s="26">
        <f>808407.62+1367.67*7</f>
        <v>817981.30999999994</v>
      </c>
      <c r="N192" s="26">
        <f>7*3857.471</f>
        <v>27002.296999999999</v>
      </c>
      <c r="O192" s="26">
        <f>7*15921.15</f>
        <v>111448.05</v>
      </c>
      <c r="P192" s="36">
        <f>808407.62+7*21146.23</f>
        <v>956431.23</v>
      </c>
      <c r="Q192" s="14">
        <f>2*808407.62+17*21146.23</f>
        <v>1976301.15</v>
      </c>
    </row>
    <row r="193" spans="1:17" ht="13.8">
      <c r="A193" s="297"/>
      <c r="B193" s="53"/>
      <c r="C193" s="21" t="s">
        <v>106</v>
      </c>
      <c r="D193" s="16"/>
      <c r="E193" s="25" t="s">
        <v>148</v>
      </c>
      <c r="F193" s="25" t="s">
        <v>148</v>
      </c>
      <c r="G193" s="25" t="s">
        <v>149</v>
      </c>
      <c r="H193" s="25" t="s">
        <v>104</v>
      </c>
      <c r="I193" s="25" t="s">
        <v>104</v>
      </c>
      <c r="J193" s="25" t="s">
        <v>104</v>
      </c>
      <c r="K193" s="25" t="s">
        <v>104</v>
      </c>
      <c r="L193" s="25">
        <f>SUM(L192:L192)</f>
        <v>956431.65700000001</v>
      </c>
      <c r="M193" s="25">
        <f>SUM(M192:M192)</f>
        <v>817981.30999999994</v>
      </c>
      <c r="N193" s="25">
        <f>SUM(N192:N192)</f>
        <v>27002.296999999999</v>
      </c>
      <c r="O193" s="25">
        <f>SUM(O192:O192)</f>
        <v>111448.05</v>
      </c>
      <c r="P193" s="14">
        <f>SUM(P192)</f>
        <v>956431.23</v>
      </c>
      <c r="Q193" s="14">
        <f>SUM(Q192)</f>
        <v>1976301.15</v>
      </c>
    </row>
    <row r="194" spans="1:17" ht="168.75" customHeight="1">
      <c r="A194" s="297"/>
      <c r="B194" s="295" t="s">
        <v>109</v>
      </c>
      <c r="C194" s="9" t="s">
        <v>110</v>
      </c>
      <c r="D194" s="16" t="s">
        <v>101</v>
      </c>
      <c r="E194" s="25">
        <v>153</v>
      </c>
      <c r="F194" s="25">
        <v>156</v>
      </c>
      <c r="G194" s="25">
        <v>162</v>
      </c>
      <c r="H194" s="18">
        <f>I194</f>
        <v>3461.18</v>
      </c>
      <c r="I194" s="18">
        <v>3461.18</v>
      </c>
      <c r="J194" s="18" t="s">
        <v>104</v>
      </c>
      <c r="K194" s="18" t="s">
        <v>104</v>
      </c>
      <c r="L194" s="26">
        <f>SUM(M194:O194)</f>
        <v>529560.53999999992</v>
      </c>
      <c r="M194" s="26">
        <f>I194*E194</f>
        <v>529560.53999999992</v>
      </c>
      <c r="N194" s="26" t="s">
        <v>104</v>
      </c>
      <c r="O194" s="26" t="s">
        <v>104</v>
      </c>
      <c r="P194" s="14">
        <f t="shared" si="98"/>
        <v>539944.07999999996</v>
      </c>
      <c r="Q194" s="14">
        <f t="shared" si="99"/>
        <v>560711.15999999992</v>
      </c>
    </row>
    <row r="195" spans="1:17" ht="164.25" customHeight="1">
      <c r="A195" s="297"/>
      <c r="B195" s="295"/>
      <c r="C195" s="9" t="s">
        <v>111</v>
      </c>
      <c r="D195" s="16" t="s">
        <v>101</v>
      </c>
      <c r="E195" s="25">
        <v>147</v>
      </c>
      <c r="F195" s="25">
        <v>110</v>
      </c>
      <c r="G195" s="25">
        <v>115</v>
      </c>
      <c r="H195" s="18">
        <v>3829.24</v>
      </c>
      <c r="I195" s="18">
        <v>4783.41</v>
      </c>
      <c r="J195" s="18" t="s">
        <v>104</v>
      </c>
      <c r="K195" s="18" t="s">
        <v>104</v>
      </c>
      <c r="L195" s="26">
        <f>SUM(M195:O195)</f>
        <v>703161.27</v>
      </c>
      <c r="M195" s="26">
        <f>I195*E195</f>
        <v>703161.27</v>
      </c>
      <c r="N195" s="26" t="s">
        <v>104</v>
      </c>
      <c r="O195" s="37" t="s">
        <v>104</v>
      </c>
      <c r="P195" s="14">
        <f t="shared" si="98"/>
        <v>421216.39999999997</v>
      </c>
      <c r="Q195" s="14">
        <f t="shared" si="99"/>
        <v>440362.6</v>
      </c>
    </row>
    <row r="196" spans="1:17" ht="13.8">
      <c r="A196" s="297"/>
      <c r="B196" s="29"/>
      <c r="C196" s="21" t="s">
        <v>106</v>
      </c>
      <c r="D196" s="29"/>
      <c r="E196" s="25">
        <f>SUM(E194:E195)</f>
        <v>300</v>
      </c>
      <c r="F196" s="25">
        <f t="shared" ref="F196:G196" si="102">SUM(F194:F195)</f>
        <v>266</v>
      </c>
      <c r="G196" s="25">
        <f t="shared" si="102"/>
        <v>277</v>
      </c>
      <c r="H196" s="25" t="s">
        <v>104</v>
      </c>
      <c r="I196" s="25" t="s">
        <v>104</v>
      </c>
      <c r="J196" s="25" t="s">
        <v>104</v>
      </c>
      <c r="K196" s="25">
        <f t="shared" ref="K196:Q196" si="103">SUM(K194:K195)</f>
        <v>0</v>
      </c>
      <c r="L196" s="25">
        <f>SUM(L194:L195)</f>
        <v>1232721.81</v>
      </c>
      <c r="M196" s="25">
        <f>SUM(M194:M195)</f>
        <v>1232721.81</v>
      </c>
      <c r="N196" s="25">
        <f t="shared" si="103"/>
        <v>0</v>
      </c>
      <c r="O196" s="25">
        <f t="shared" si="103"/>
        <v>0</v>
      </c>
      <c r="P196" s="25">
        <f t="shared" si="103"/>
        <v>961160.48</v>
      </c>
      <c r="Q196" s="25">
        <f t="shared" si="103"/>
        <v>1001073.7599999999</v>
      </c>
    </row>
    <row r="197" spans="1:17" ht="13.8">
      <c r="A197" s="297"/>
      <c r="B197" s="30" t="s">
        <v>112</v>
      </c>
      <c r="C197" s="30"/>
      <c r="D197" s="29"/>
      <c r="E197" s="29"/>
      <c r="F197" s="29"/>
      <c r="G197" s="29"/>
      <c r="H197" s="29"/>
      <c r="I197" s="29"/>
      <c r="J197" s="29"/>
      <c r="K197" s="29"/>
      <c r="L197" s="29">
        <f>L186+L191+L193+L196</f>
        <v>15938128.856999999</v>
      </c>
      <c r="M197" s="29">
        <f t="shared" ref="M197:Q197" si="104">M186+M191+M193+M196</f>
        <v>11448395.310000001</v>
      </c>
      <c r="N197" s="29">
        <f t="shared" si="104"/>
        <v>875632.49699999997</v>
      </c>
      <c r="O197" s="29">
        <f t="shared" si="104"/>
        <v>3614101.05</v>
      </c>
      <c r="P197" s="29">
        <f t="shared" si="104"/>
        <v>17665776.350000001</v>
      </c>
      <c r="Q197" s="29">
        <f t="shared" si="104"/>
        <v>20728437.989999998</v>
      </c>
    </row>
    <row r="198" spans="1:17" ht="30" customHeight="1">
      <c r="A198" s="55" t="s">
        <v>156</v>
      </c>
    </row>
    <row r="199" spans="1:17" ht="27.6">
      <c r="A199" s="43" t="s">
        <v>3</v>
      </c>
      <c r="B199" s="43" t="s">
        <v>81</v>
      </c>
      <c r="C199" s="43" t="s">
        <v>4</v>
      </c>
      <c r="D199" s="305" t="s">
        <v>5</v>
      </c>
      <c r="E199" s="305"/>
      <c r="F199" s="305"/>
      <c r="G199" s="306" t="s">
        <v>6</v>
      </c>
      <c r="H199" s="306" t="s">
        <v>7</v>
      </c>
      <c r="I199" s="306"/>
      <c r="J199" s="306"/>
    </row>
    <row r="200" spans="1:17" ht="13.8">
      <c r="A200" s="45"/>
      <c r="B200" s="45"/>
      <c r="C200" s="45"/>
      <c r="D200" s="50" t="s">
        <v>8</v>
      </c>
      <c r="E200" s="50" t="s">
        <v>9</v>
      </c>
      <c r="F200" s="50" t="s">
        <v>10</v>
      </c>
      <c r="G200" s="306"/>
      <c r="H200" s="50">
        <v>2016</v>
      </c>
      <c r="I200" s="50" t="s">
        <v>9</v>
      </c>
      <c r="J200" s="50" t="s">
        <v>10</v>
      </c>
    </row>
    <row r="201" spans="1:17" ht="69">
      <c r="A201" s="42" t="s">
        <v>13</v>
      </c>
      <c r="B201" s="42" t="s">
        <v>14</v>
      </c>
      <c r="C201" s="43" t="s">
        <v>15</v>
      </c>
      <c r="D201" s="42" t="s">
        <v>16</v>
      </c>
      <c r="E201" s="42" t="s">
        <v>16</v>
      </c>
      <c r="F201" s="42" t="s">
        <v>16</v>
      </c>
      <c r="G201" s="43" t="s">
        <v>17</v>
      </c>
      <c r="H201" s="43" t="s">
        <v>17</v>
      </c>
      <c r="I201" s="43" t="s">
        <v>17</v>
      </c>
      <c r="J201" s="43" t="s">
        <v>17</v>
      </c>
    </row>
    <row r="202" spans="1:17" ht="13.8">
      <c r="A202" s="58" t="s">
        <v>157</v>
      </c>
      <c r="B202" s="45"/>
      <c r="C202" s="45"/>
      <c r="D202" s="45">
        <f>SUM(D203:D204)</f>
        <v>1550</v>
      </c>
      <c r="E202" s="45">
        <f>SUM(E203:E204)</f>
        <v>1550</v>
      </c>
      <c r="F202" s="45">
        <f>SUM(F203:F204)</f>
        <v>1550</v>
      </c>
      <c r="G202" s="45"/>
      <c r="H202" s="56">
        <f>H203+H204</f>
        <v>22307310</v>
      </c>
      <c r="I202" s="56">
        <f>I203+I204</f>
        <v>22307310</v>
      </c>
      <c r="J202" s="56">
        <f>J203+J204</f>
        <v>22307310</v>
      </c>
    </row>
    <row r="203" spans="1:17" ht="86.25" customHeight="1">
      <c r="A203" s="303"/>
      <c r="B203" s="43" t="s">
        <v>158</v>
      </c>
      <c r="C203" s="45" t="s">
        <v>20</v>
      </c>
      <c r="D203" s="48">
        <v>1300</v>
      </c>
      <c r="E203" s="48">
        <v>1300</v>
      </c>
      <c r="F203" s="48">
        <v>1300</v>
      </c>
      <c r="G203" s="46">
        <v>16584.45</v>
      </c>
      <c r="H203" s="46">
        <f>G203*D203</f>
        <v>21559785</v>
      </c>
      <c r="I203" s="46">
        <f>H203</f>
        <v>21559785</v>
      </c>
      <c r="J203" s="46">
        <f>I203</f>
        <v>21559785</v>
      </c>
    </row>
    <row r="204" spans="1:17" ht="63" customHeight="1">
      <c r="A204" s="304"/>
      <c r="B204" s="57" t="s">
        <v>159</v>
      </c>
      <c r="C204" s="45" t="s">
        <v>20</v>
      </c>
      <c r="D204" s="44">
        <v>250</v>
      </c>
      <c r="E204" s="44">
        <v>250</v>
      </c>
      <c r="F204" s="44">
        <v>250</v>
      </c>
      <c r="G204" s="46">
        <v>2990.1</v>
      </c>
      <c r="H204" s="46">
        <f>G204*D204</f>
        <v>747525</v>
      </c>
      <c r="I204" s="46">
        <f t="shared" ref="I204:J205" si="105">H204</f>
        <v>747525</v>
      </c>
      <c r="J204" s="46">
        <f t="shared" si="105"/>
        <v>747525</v>
      </c>
    </row>
    <row r="205" spans="1:17" ht="78.75" customHeight="1">
      <c r="A205" s="50" t="s">
        <v>160</v>
      </c>
      <c r="B205" s="43" t="s">
        <v>158</v>
      </c>
      <c r="C205" s="45" t="s">
        <v>20</v>
      </c>
      <c r="D205" s="48">
        <v>411</v>
      </c>
      <c r="E205" s="48">
        <v>411</v>
      </c>
      <c r="F205" s="48">
        <v>411</v>
      </c>
      <c r="G205" s="46">
        <v>12267.68</v>
      </c>
      <c r="H205" s="46">
        <f>G205*D205</f>
        <v>5042016.4800000004</v>
      </c>
      <c r="I205" s="46">
        <f t="shared" si="105"/>
        <v>5042016.4800000004</v>
      </c>
      <c r="J205" s="46">
        <f t="shared" si="105"/>
        <v>5042016.4800000004</v>
      </c>
    </row>
    <row r="208" spans="1:17">
      <c r="A208" s="54" t="s">
        <v>161</v>
      </c>
    </row>
  </sheetData>
  <sheetProtection password="CF7A" sheet="1" objects="1" scenarios="1"/>
  <mergeCells count="45">
    <mergeCell ref="A203:A204"/>
    <mergeCell ref="D199:F199"/>
    <mergeCell ref="G199:G200"/>
    <mergeCell ref="H199:J199"/>
    <mergeCell ref="E6:G6"/>
    <mergeCell ref="H6:K6"/>
    <mergeCell ref="B132:B135"/>
    <mergeCell ref="B136:B138"/>
    <mergeCell ref="B140:B142"/>
    <mergeCell ref="B144:B145"/>
    <mergeCell ref="A116:A131"/>
    <mergeCell ref="B116:B119"/>
    <mergeCell ref="B120:B122"/>
    <mergeCell ref="B124:B126"/>
    <mergeCell ref="B128:B129"/>
    <mergeCell ref="A183:A197"/>
    <mergeCell ref="L6:Q6"/>
    <mergeCell ref="L7:O7"/>
    <mergeCell ref="A3:Q3"/>
    <mergeCell ref="L97:Q97"/>
    <mergeCell ref="A100:A115"/>
    <mergeCell ref="B100:B103"/>
    <mergeCell ref="B104:B106"/>
    <mergeCell ref="B108:B110"/>
    <mergeCell ref="B112:B113"/>
    <mergeCell ref="A97:A98"/>
    <mergeCell ref="B97:B98"/>
    <mergeCell ref="D97:D98"/>
    <mergeCell ref="E97:G97"/>
    <mergeCell ref="H97:K97"/>
    <mergeCell ref="B183:B186"/>
    <mergeCell ref="B187:B189"/>
    <mergeCell ref="B194:B195"/>
    <mergeCell ref="A96:C96"/>
    <mergeCell ref="A164:A182"/>
    <mergeCell ref="B164:B166"/>
    <mergeCell ref="B169:B172"/>
    <mergeCell ref="B175:B177"/>
    <mergeCell ref="B179:B180"/>
    <mergeCell ref="A148:A163"/>
    <mergeCell ref="B148:B151"/>
    <mergeCell ref="B152:B154"/>
    <mergeCell ref="B156:B158"/>
    <mergeCell ref="B160:B161"/>
    <mergeCell ref="A132:A147"/>
  </mergeCells>
  <pageMargins left="0.51181102362204722" right="0.11811023622047245" top="0.15748031496062992" bottom="0.15748031496062992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Y271"/>
  <sheetViews>
    <sheetView zoomScale="80" zoomScaleNormal="80" workbookViewId="0">
      <selection activeCell="T50" sqref="T50"/>
    </sheetView>
  </sheetViews>
  <sheetFormatPr defaultColWidth="9.109375" defaultRowHeight="13.8"/>
  <cols>
    <col min="1" max="1" width="19.44140625" style="80" customWidth="1"/>
    <col min="2" max="2" width="19.88671875" style="80" customWidth="1"/>
    <col min="3" max="3" width="23.6640625" style="80" customWidth="1"/>
    <col min="4" max="4" width="8.6640625" style="80" customWidth="1"/>
    <col min="5" max="5" width="18.33203125" style="80" hidden="1" customWidth="1"/>
    <col min="6" max="6" width="13.33203125" style="80" hidden="1" customWidth="1"/>
    <col min="7" max="7" width="14" style="80" customWidth="1"/>
    <col min="8" max="9" width="12.6640625" style="80" customWidth="1"/>
    <col min="10" max="10" width="17.33203125" style="80" customWidth="1"/>
    <col min="11" max="11" width="16" style="80" customWidth="1"/>
    <col min="12" max="12" width="13.88671875" style="80" customWidth="1"/>
    <col min="13" max="13" width="13.5546875" style="80" customWidth="1"/>
    <col min="14" max="14" width="16.6640625" style="80" customWidth="1"/>
    <col min="15" max="16" width="15.44140625" style="80" customWidth="1"/>
    <col min="17" max="19" width="14.6640625" style="80" customWidth="1"/>
    <col min="20" max="20" width="14.33203125" style="80" customWidth="1"/>
    <col min="21" max="21" width="14.109375" style="80" customWidth="1"/>
    <col min="22" max="22" width="14.88671875" style="80" bestFit="1" customWidth="1"/>
    <col min="23" max="23" width="15.33203125" style="80" customWidth="1"/>
    <col min="24" max="24" width="13.5546875" style="80" bestFit="1" customWidth="1"/>
    <col min="25" max="25" width="9.44140625" style="80" bestFit="1" customWidth="1"/>
    <col min="26" max="16384" width="9.109375" style="80"/>
  </cols>
  <sheetData>
    <row r="1" spans="1:24">
      <c r="T1" s="117" t="s">
        <v>203</v>
      </c>
    </row>
    <row r="2" spans="1:24">
      <c r="T2" s="117" t="s">
        <v>204</v>
      </c>
    </row>
    <row r="3" spans="1:24">
      <c r="T3" s="117" t="s">
        <v>175</v>
      </c>
    </row>
    <row r="4" spans="1:24">
      <c r="T4" s="117" t="s">
        <v>189</v>
      </c>
    </row>
    <row r="5" spans="1:24">
      <c r="A5" s="316" t="s">
        <v>207</v>
      </c>
      <c r="B5" s="316"/>
      <c r="C5" s="317"/>
      <c r="D5" s="316"/>
      <c r="E5" s="316"/>
      <c r="F5" s="317"/>
      <c r="G5" s="317"/>
      <c r="H5" s="316"/>
      <c r="I5" s="316"/>
      <c r="J5" s="316"/>
      <c r="K5" s="317"/>
      <c r="L5" s="316"/>
      <c r="M5" s="316"/>
      <c r="N5" s="316"/>
      <c r="O5" s="316"/>
      <c r="P5" s="317"/>
      <c r="Q5" s="317"/>
      <c r="R5" s="317"/>
      <c r="S5" s="317"/>
      <c r="T5" s="316"/>
      <c r="U5" s="316"/>
      <c r="V5" s="316"/>
    </row>
    <row r="6" spans="1:24" ht="36.75" customHeight="1">
      <c r="A6" s="81" t="s">
        <v>155</v>
      </c>
    </row>
    <row r="8" spans="1:24" ht="49.2" customHeight="1">
      <c r="A8" s="132" t="s">
        <v>3</v>
      </c>
      <c r="B8" s="109" t="s">
        <v>81</v>
      </c>
      <c r="C8" s="109" t="s">
        <v>152</v>
      </c>
      <c r="D8" s="109" t="s">
        <v>4</v>
      </c>
      <c r="E8" s="133" t="s">
        <v>5</v>
      </c>
      <c r="F8" s="134"/>
      <c r="G8" s="134"/>
      <c r="H8" s="134"/>
      <c r="I8" s="135"/>
      <c r="J8" s="318" t="s">
        <v>6</v>
      </c>
      <c r="K8" s="319"/>
      <c r="L8" s="319"/>
      <c r="M8" s="320"/>
      <c r="N8" s="309" t="s">
        <v>7</v>
      </c>
      <c r="O8" s="309"/>
      <c r="P8" s="309"/>
      <c r="Q8" s="309"/>
      <c r="R8" s="309"/>
      <c r="S8" s="309"/>
      <c r="T8" s="309"/>
      <c r="U8" s="309"/>
      <c r="V8" s="309"/>
    </row>
    <row r="9" spans="1:24">
      <c r="A9" s="109"/>
      <c r="B9" s="109"/>
      <c r="C9" s="109"/>
      <c r="D9" s="109"/>
      <c r="E9" s="323"/>
      <c r="F9" s="324"/>
      <c r="G9" s="325"/>
      <c r="H9" s="108"/>
      <c r="I9" s="108"/>
      <c r="J9" s="142"/>
      <c r="K9" s="142"/>
      <c r="L9" s="142"/>
      <c r="M9" s="142"/>
      <c r="N9" s="318"/>
      <c r="O9" s="328"/>
      <c r="P9" s="328"/>
      <c r="Q9" s="328"/>
      <c r="R9" s="328"/>
      <c r="S9" s="328"/>
      <c r="T9" s="329"/>
      <c r="U9" s="109"/>
      <c r="V9" s="109"/>
    </row>
    <row r="10" spans="1:24" ht="55.2">
      <c r="A10" s="82"/>
      <c r="B10" s="82"/>
      <c r="C10" s="82"/>
      <c r="D10" s="82"/>
      <c r="E10" s="153" t="s">
        <v>176</v>
      </c>
      <c r="F10" s="155" t="s">
        <v>208</v>
      </c>
      <c r="G10" s="158" t="s">
        <v>212</v>
      </c>
      <c r="H10" s="154" t="s">
        <v>183</v>
      </c>
      <c r="I10" s="154" t="s">
        <v>205</v>
      </c>
      <c r="J10" s="83" t="s">
        <v>79</v>
      </c>
      <c r="K10" s="142" t="s">
        <v>80</v>
      </c>
      <c r="L10" s="159" t="s">
        <v>11</v>
      </c>
      <c r="M10" s="143" t="s">
        <v>12</v>
      </c>
      <c r="N10" s="321" t="s">
        <v>176</v>
      </c>
      <c r="O10" s="321"/>
      <c r="P10" s="321"/>
      <c r="Q10" s="321"/>
      <c r="R10" s="321"/>
      <c r="S10" s="321"/>
      <c r="T10" s="321"/>
      <c r="U10" s="154" t="s">
        <v>183</v>
      </c>
      <c r="V10" s="154" t="s">
        <v>205</v>
      </c>
    </row>
    <row r="11" spans="1:24" ht="63" customHeight="1">
      <c r="A11" s="83" t="s">
        <v>13</v>
      </c>
      <c r="B11" s="83" t="s">
        <v>14</v>
      </c>
      <c r="C11" s="83"/>
      <c r="D11" s="109" t="s">
        <v>15</v>
      </c>
      <c r="E11" s="83" t="s">
        <v>16</v>
      </c>
      <c r="F11" s="83" t="s">
        <v>16</v>
      </c>
      <c r="G11" s="83" t="s">
        <v>16</v>
      </c>
      <c r="H11" s="83" t="s">
        <v>16</v>
      </c>
      <c r="I11" s="83" t="s">
        <v>16</v>
      </c>
      <c r="J11" s="142" t="s">
        <v>17</v>
      </c>
      <c r="K11" s="142" t="s">
        <v>17</v>
      </c>
      <c r="L11" s="160" t="s">
        <v>17</v>
      </c>
      <c r="M11" s="142" t="s">
        <v>17</v>
      </c>
      <c r="N11" s="109" t="s">
        <v>85</v>
      </c>
      <c r="O11" s="132" t="s">
        <v>83</v>
      </c>
      <c r="P11" s="178" t="s">
        <v>222</v>
      </c>
      <c r="Q11" s="120" t="s">
        <v>84</v>
      </c>
      <c r="R11" s="178" t="s">
        <v>223</v>
      </c>
      <c r="S11" s="174" t="s">
        <v>221</v>
      </c>
      <c r="T11" s="116" t="s">
        <v>12</v>
      </c>
      <c r="U11" s="109" t="s">
        <v>17</v>
      </c>
      <c r="V11" s="109" t="s">
        <v>17</v>
      </c>
    </row>
    <row r="12" spans="1:24">
      <c r="A12" s="113" t="s">
        <v>18</v>
      </c>
      <c r="B12" s="82"/>
      <c r="C12" s="82"/>
      <c r="D12" s="82"/>
      <c r="E12" s="72"/>
      <c r="F12" s="72"/>
      <c r="G12" s="72"/>
      <c r="H12" s="72"/>
      <c r="I12" s="72"/>
      <c r="J12" s="75"/>
      <c r="K12" s="75"/>
      <c r="L12" s="156"/>
      <c r="M12" s="75"/>
      <c r="N12" s="78">
        <f>N13+N18</f>
        <v>6603084.7400000002</v>
      </c>
      <c r="O12" s="78">
        <f>O13+O18</f>
        <v>1481406.96</v>
      </c>
      <c r="P12" s="78"/>
      <c r="Q12" s="179">
        <f>Q13+Q18</f>
        <v>5010790.0999999996</v>
      </c>
      <c r="R12" s="179"/>
      <c r="S12" s="78"/>
      <c r="T12" s="78">
        <f>T13+T18</f>
        <v>13095281.800000001</v>
      </c>
      <c r="U12" s="78">
        <f>U13+U18</f>
        <v>13095281.799999999</v>
      </c>
      <c r="V12" s="78">
        <f>V13+V18</f>
        <v>13095281.799999999</v>
      </c>
    </row>
    <row r="13" spans="1:24" ht="82.8">
      <c r="A13" s="84"/>
      <c r="B13" s="84" t="s">
        <v>76</v>
      </c>
      <c r="C13" s="84"/>
      <c r="D13" s="82"/>
      <c r="E13" s="72"/>
      <c r="F13" s="72"/>
      <c r="G13" s="72"/>
      <c r="H13" s="72"/>
      <c r="I13" s="72"/>
      <c r="J13" s="75"/>
      <c r="K13" s="75"/>
      <c r="L13" s="156"/>
      <c r="M13" s="75"/>
      <c r="N13" s="75">
        <f>N14+N15+N17+N16</f>
        <v>6603084.7400000002</v>
      </c>
      <c r="O13" s="75">
        <f>O14+O15+O17+O16</f>
        <v>1481406.96</v>
      </c>
      <c r="P13" s="75"/>
      <c r="Q13" s="75">
        <f>Q14+Q15+Q17+Q16</f>
        <v>3769237.58</v>
      </c>
      <c r="R13" s="75"/>
      <c r="S13" s="75">
        <v>0</v>
      </c>
      <c r="T13" s="75">
        <f t="shared" ref="T13:V13" si="0">T14+T15+T17+T16</f>
        <v>11853729.280000001</v>
      </c>
      <c r="U13" s="75">
        <f>U14+U15+U17+U16</f>
        <v>11853729.279999999</v>
      </c>
      <c r="V13" s="75">
        <f t="shared" si="0"/>
        <v>11853729.279999999</v>
      </c>
      <c r="X13" s="85"/>
    </row>
    <row r="14" spans="1:24" ht="96.6">
      <c r="A14" s="83"/>
      <c r="B14" s="97" t="s">
        <v>19</v>
      </c>
      <c r="C14" s="93" t="s">
        <v>0</v>
      </c>
      <c r="D14" s="86" t="s">
        <v>20</v>
      </c>
      <c r="E14" s="87">
        <v>27</v>
      </c>
      <c r="F14" s="87">
        <v>27</v>
      </c>
      <c r="G14" s="87">
        <f>(E14*8+F14*4)/12</f>
        <v>27</v>
      </c>
      <c r="H14" s="87">
        <v>27</v>
      </c>
      <c r="I14" s="87">
        <v>27</v>
      </c>
      <c r="J14" s="75">
        <v>49378.38</v>
      </c>
      <c r="K14" s="75">
        <v>12142.68</v>
      </c>
      <c r="L14" s="156">
        <v>30895.39</v>
      </c>
      <c r="M14" s="75">
        <f>J14+K14+L14</f>
        <v>92416.45</v>
      </c>
      <c r="N14" s="75">
        <f>G14*J14</f>
        <v>1333216.26</v>
      </c>
      <c r="O14" s="75">
        <f>G14*K14</f>
        <v>327852.36</v>
      </c>
      <c r="P14" s="75"/>
      <c r="Q14" s="75">
        <f>G14*L14</f>
        <v>834175.53</v>
      </c>
      <c r="R14" s="75"/>
      <c r="S14" s="75">
        <v>0</v>
      </c>
      <c r="T14" s="75">
        <f>SUM(N14:Q14)</f>
        <v>2495244.1500000004</v>
      </c>
      <c r="U14" s="75">
        <f>H14*M14</f>
        <v>2495244.15</v>
      </c>
      <c r="V14" s="75">
        <f>I14*M14</f>
        <v>2495244.15</v>
      </c>
      <c r="X14" s="85"/>
    </row>
    <row r="15" spans="1:24">
      <c r="A15" s="88"/>
      <c r="B15" s="97" t="s">
        <v>24</v>
      </c>
      <c r="C15" s="127"/>
      <c r="D15" s="112" t="s">
        <v>20</v>
      </c>
      <c r="E15" s="87">
        <v>54</v>
      </c>
      <c r="F15" s="87">
        <v>54</v>
      </c>
      <c r="G15" s="87">
        <f>(E15*8+F15*4)/12</f>
        <v>54</v>
      </c>
      <c r="H15" s="87">
        <v>54</v>
      </c>
      <c r="I15" s="87">
        <v>54</v>
      </c>
      <c r="J15" s="75">
        <v>39098.57</v>
      </c>
      <c r="K15" s="75">
        <v>12142.68</v>
      </c>
      <c r="L15" s="156">
        <v>30895.39</v>
      </c>
      <c r="M15" s="75">
        <f>J15+K15+L15</f>
        <v>82136.639999999999</v>
      </c>
      <c r="N15" s="75">
        <f>G15*J15</f>
        <v>2111322.7799999998</v>
      </c>
      <c r="O15" s="75">
        <f>G15*K15</f>
        <v>655704.72</v>
      </c>
      <c r="P15" s="75"/>
      <c r="Q15" s="75">
        <f>G15*L15</f>
        <v>1668351.06</v>
      </c>
      <c r="R15" s="75"/>
      <c r="S15" s="75">
        <v>0</v>
      </c>
      <c r="T15" s="75">
        <f>SUM(N15:Q15)</f>
        <v>4435378.5600000005</v>
      </c>
      <c r="U15" s="75">
        <f>H15*M15</f>
        <v>4435378.5599999996</v>
      </c>
      <c r="V15" s="75">
        <f>I15*M15</f>
        <v>4435378.5599999996</v>
      </c>
      <c r="X15" s="85"/>
    </row>
    <row r="16" spans="1:24" ht="96.6">
      <c r="A16" s="88"/>
      <c r="B16" s="97" t="s">
        <v>24</v>
      </c>
      <c r="C16" s="93" t="s">
        <v>179</v>
      </c>
      <c r="D16" s="126" t="s">
        <v>20</v>
      </c>
      <c r="E16" s="87">
        <v>41</v>
      </c>
      <c r="F16" s="87">
        <v>41</v>
      </c>
      <c r="G16" s="87">
        <f>(E16*8+F16*4)/12</f>
        <v>41</v>
      </c>
      <c r="H16" s="87">
        <v>41</v>
      </c>
      <c r="I16" s="87">
        <v>41</v>
      </c>
      <c r="J16" s="75">
        <v>77037.7</v>
      </c>
      <c r="K16" s="75">
        <v>12142.68</v>
      </c>
      <c r="L16" s="156">
        <v>30895.39</v>
      </c>
      <c r="M16" s="75">
        <f>J16+K16+L16</f>
        <v>120075.77</v>
      </c>
      <c r="N16" s="75">
        <f>G16*J16</f>
        <v>3158545.6999999997</v>
      </c>
      <c r="O16" s="75">
        <f>G16*K16</f>
        <v>497849.88</v>
      </c>
      <c r="P16" s="75"/>
      <c r="Q16" s="75">
        <f>G16*L16</f>
        <v>1266710.99</v>
      </c>
      <c r="R16" s="75"/>
      <c r="S16" s="75">
        <v>0</v>
      </c>
      <c r="T16" s="75">
        <f>SUM(N16:Q16)</f>
        <v>4923106.5699999994</v>
      </c>
      <c r="U16" s="75">
        <f>H16*M16</f>
        <v>4923106.57</v>
      </c>
      <c r="V16" s="75">
        <f>I16*M16</f>
        <v>4923106.57</v>
      </c>
      <c r="X16" s="85"/>
    </row>
    <row r="17" spans="1:24" ht="110.4">
      <c r="A17" s="88"/>
      <c r="B17" s="97" t="s">
        <v>24</v>
      </c>
      <c r="C17" s="93" t="s">
        <v>162</v>
      </c>
      <c r="D17" s="112" t="s">
        <v>20</v>
      </c>
      <c r="E17" s="87">
        <v>0</v>
      </c>
      <c r="F17" s="87">
        <v>0</v>
      </c>
      <c r="G17" s="87">
        <f>(E17*8+F17*4)/12</f>
        <v>0</v>
      </c>
      <c r="H17" s="87">
        <v>0</v>
      </c>
      <c r="I17" s="87">
        <v>0</v>
      </c>
      <c r="J17" s="75">
        <v>57312.38</v>
      </c>
      <c r="K17" s="75">
        <v>12142.68</v>
      </c>
      <c r="L17" s="156">
        <v>30895.39</v>
      </c>
      <c r="M17" s="75">
        <f>J17+K17+L17</f>
        <v>100350.45</v>
      </c>
      <c r="N17" s="75">
        <f>G17*J17</f>
        <v>0</v>
      </c>
      <c r="O17" s="75">
        <f>G17*K17</f>
        <v>0</v>
      </c>
      <c r="P17" s="75"/>
      <c r="Q17" s="75">
        <f>G17*L17</f>
        <v>0</v>
      </c>
      <c r="R17" s="75"/>
      <c r="S17" s="75">
        <v>0</v>
      </c>
      <c r="T17" s="75">
        <f t="shared" ref="T17:T95" si="1">SUM(N17:Q17)</f>
        <v>0</v>
      </c>
      <c r="U17" s="75">
        <f t="shared" ref="U17:U95" si="2">H17*M17</f>
        <v>0</v>
      </c>
      <c r="V17" s="75">
        <f t="shared" ref="V17:V95" si="3">I17*M17</f>
        <v>0</v>
      </c>
      <c r="X17" s="85"/>
    </row>
    <row r="18" spans="1:24">
      <c r="A18" s="112"/>
      <c r="B18" s="112" t="s">
        <v>28</v>
      </c>
      <c r="C18" s="127" t="s">
        <v>219</v>
      </c>
      <c r="D18" s="82"/>
      <c r="E18" s="87">
        <f>E17+E16+E15+E14</f>
        <v>122</v>
      </c>
      <c r="F18" s="87">
        <f>F17+F16+F15+F14</f>
        <v>122</v>
      </c>
      <c r="G18" s="87">
        <f>(E18*8+F18*4)/12</f>
        <v>122</v>
      </c>
      <c r="H18" s="87">
        <f>H17+H16+H15+H14</f>
        <v>122</v>
      </c>
      <c r="I18" s="87">
        <f>I17+I16+I15+I14</f>
        <v>122</v>
      </c>
      <c r="J18" s="75">
        <v>0</v>
      </c>
      <c r="K18" s="75"/>
      <c r="L18" s="162">
        <v>10176.66</v>
      </c>
      <c r="M18" s="75">
        <f>J18+K18+L18</f>
        <v>10176.66</v>
      </c>
      <c r="N18" s="75">
        <f t="shared" ref="N18" si="4">E18*J18</f>
        <v>0</v>
      </c>
      <c r="O18" s="75">
        <f t="shared" ref="O18" si="5">G18*K18</f>
        <v>0</v>
      </c>
      <c r="P18" s="75"/>
      <c r="Q18" s="75">
        <f>G18*L18</f>
        <v>1241552.52</v>
      </c>
      <c r="R18" s="75"/>
      <c r="S18" s="75">
        <v>0</v>
      </c>
      <c r="T18" s="75">
        <f>SUM(N18:Q18)</f>
        <v>1241552.52</v>
      </c>
      <c r="U18" s="75">
        <f>H18*M18</f>
        <v>1241552.52</v>
      </c>
      <c r="V18" s="75">
        <f>I18*M18</f>
        <v>1241552.52</v>
      </c>
    </row>
    <row r="19" spans="1:24">
      <c r="A19" s="176"/>
      <c r="B19" s="176" t="s">
        <v>28</v>
      </c>
      <c r="C19" s="127" t="s">
        <v>220</v>
      </c>
      <c r="D19" s="82"/>
      <c r="E19" s="87"/>
      <c r="F19" s="87"/>
      <c r="G19" s="87"/>
      <c r="H19" s="87"/>
      <c r="I19" s="87"/>
      <c r="J19" s="75"/>
      <c r="K19" s="75"/>
      <c r="L19" s="162">
        <v>12248.94</v>
      </c>
      <c r="M19" s="75"/>
      <c r="N19" s="75"/>
      <c r="O19" s="75"/>
      <c r="P19" s="75"/>
      <c r="Q19" s="75"/>
      <c r="R19" s="75"/>
      <c r="S19" s="75">
        <f>G18*L19</f>
        <v>1494370.6800000002</v>
      </c>
      <c r="T19" s="75"/>
      <c r="U19" s="75"/>
      <c r="V19" s="75"/>
    </row>
    <row r="20" spans="1:24">
      <c r="A20" s="89" t="s">
        <v>29</v>
      </c>
      <c r="B20" s="112"/>
      <c r="C20" s="127"/>
      <c r="D20" s="82"/>
      <c r="E20" s="87"/>
      <c r="F20" s="87"/>
      <c r="G20" s="87"/>
      <c r="H20" s="87"/>
      <c r="I20" s="87"/>
      <c r="J20" s="75"/>
      <c r="K20" s="75"/>
      <c r="L20" s="156"/>
      <c r="M20" s="75">
        <f t="shared" ref="M20:M97" si="6">J20+K20+L20</f>
        <v>0</v>
      </c>
      <c r="N20" s="78">
        <f>N21+N23</f>
        <v>2274393.33</v>
      </c>
      <c r="O20" s="78">
        <f t="shared" ref="O20:V20" si="7">O21+O23</f>
        <v>412851.11999999994</v>
      </c>
      <c r="P20" s="78"/>
      <c r="Q20" s="179">
        <f>Q21+Q23</f>
        <v>1396449.7</v>
      </c>
      <c r="R20" s="179"/>
      <c r="S20" s="78">
        <f>S19</f>
        <v>1494370.6800000002</v>
      </c>
      <c r="T20" s="78">
        <f t="shared" si="7"/>
        <v>4083694.15</v>
      </c>
      <c r="U20" s="78">
        <f t="shared" si="7"/>
        <v>4083694.15</v>
      </c>
      <c r="V20" s="78">
        <f t="shared" si="7"/>
        <v>4083694.15</v>
      </c>
    </row>
    <row r="21" spans="1:24" ht="82.8">
      <c r="A21" s="90"/>
      <c r="B21" s="84" t="s">
        <v>76</v>
      </c>
      <c r="C21" s="128"/>
      <c r="D21" s="82"/>
      <c r="E21" s="68"/>
      <c r="F21" s="68"/>
      <c r="G21" s="68"/>
      <c r="H21" s="68"/>
      <c r="I21" s="68"/>
      <c r="J21" s="75"/>
      <c r="K21" s="75"/>
      <c r="L21" s="156"/>
      <c r="M21" s="75">
        <f t="shared" si="6"/>
        <v>0</v>
      </c>
      <c r="N21" s="75">
        <f t="shared" ref="N21:V21" si="8">SUM(N22:N22)</f>
        <v>2274393.33</v>
      </c>
      <c r="O21" s="75">
        <f>SUM(O22:O22)</f>
        <v>412851.11999999994</v>
      </c>
      <c r="P21" s="75"/>
      <c r="Q21" s="75">
        <f t="shared" si="8"/>
        <v>1050443.26</v>
      </c>
      <c r="R21" s="75"/>
      <c r="S21" s="75"/>
      <c r="T21" s="75">
        <f t="shared" si="8"/>
        <v>3737687.71</v>
      </c>
      <c r="U21" s="75">
        <f>SUM(U22:U22)</f>
        <v>3737687.71</v>
      </c>
      <c r="V21" s="75">
        <f t="shared" si="8"/>
        <v>3737687.71</v>
      </c>
    </row>
    <row r="22" spans="1:24" ht="96.6">
      <c r="A22" s="83"/>
      <c r="B22" s="82"/>
      <c r="C22" s="93" t="s">
        <v>30</v>
      </c>
      <c r="D22" s="112" t="s">
        <v>31</v>
      </c>
      <c r="E22" s="87" t="s">
        <v>188</v>
      </c>
      <c r="F22" s="87" t="s">
        <v>188</v>
      </c>
      <c r="G22" s="87" t="s">
        <v>188</v>
      </c>
      <c r="H22" s="87" t="s">
        <v>188</v>
      </c>
      <c r="I22" s="87" t="s">
        <v>188</v>
      </c>
      <c r="J22" s="75">
        <v>758131.11</v>
      </c>
      <c r="K22" s="75">
        <v>12142.68</v>
      </c>
      <c r="L22" s="46">
        <v>30895.39</v>
      </c>
      <c r="M22" s="46">
        <f>J22+K22+L22</f>
        <v>801169.18</v>
      </c>
      <c r="N22" s="46">
        <f>3*J22</f>
        <v>2274393.33</v>
      </c>
      <c r="O22" s="46">
        <f>((34*12142.68*8)+(34*12142.68*4))/12</f>
        <v>412851.11999999994</v>
      </c>
      <c r="P22" s="46"/>
      <c r="Q22" s="46">
        <f>L22*34</f>
        <v>1050443.26</v>
      </c>
      <c r="R22" s="46"/>
      <c r="S22" s="75"/>
      <c r="T22" s="75">
        <f>SUM(N22:Q22)</f>
        <v>3737687.71</v>
      </c>
      <c r="U22" s="75">
        <f>T22</f>
        <v>3737687.71</v>
      </c>
      <c r="V22" s="75">
        <f>U22</f>
        <v>3737687.71</v>
      </c>
    </row>
    <row r="23" spans="1:24">
      <c r="A23" s="112"/>
      <c r="B23" s="112" t="s">
        <v>28</v>
      </c>
      <c r="C23" s="127"/>
      <c r="D23" s="112" t="s">
        <v>20</v>
      </c>
      <c r="E23" s="87">
        <v>34</v>
      </c>
      <c r="F23" s="87">
        <v>34</v>
      </c>
      <c r="G23" s="87">
        <f>(E23*8+F23*4)/12</f>
        <v>34</v>
      </c>
      <c r="H23" s="87">
        <v>34</v>
      </c>
      <c r="I23" s="87">
        <v>34</v>
      </c>
      <c r="J23" s="75" t="s">
        <v>23</v>
      </c>
      <c r="K23" s="75"/>
      <c r="L23" s="46">
        <v>10176.66</v>
      </c>
      <c r="M23" s="46">
        <f t="shared" si="6"/>
        <v>10176.66</v>
      </c>
      <c r="N23" s="46">
        <f t="shared" ref="N23" si="9">E23*J23</f>
        <v>0</v>
      </c>
      <c r="O23" s="46">
        <f t="shared" ref="O23:O31" si="10">E23*K23</f>
        <v>0</v>
      </c>
      <c r="P23" s="46"/>
      <c r="Q23" s="46">
        <f>G23*L23</f>
        <v>346006.44</v>
      </c>
      <c r="R23" s="46"/>
      <c r="S23" s="75"/>
      <c r="T23" s="75">
        <f t="shared" si="1"/>
        <v>346006.44</v>
      </c>
      <c r="U23" s="75">
        <f>H23*M23</f>
        <v>346006.44</v>
      </c>
      <c r="V23" s="75">
        <f t="shared" si="3"/>
        <v>346006.44</v>
      </c>
    </row>
    <row r="24" spans="1:24">
      <c r="A24" s="176"/>
      <c r="B24" s="176" t="s">
        <v>28</v>
      </c>
      <c r="C24" s="127" t="s">
        <v>219</v>
      </c>
      <c r="D24" s="176"/>
      <c r="E24" s="87"/>
      <c r="F24" s="87"/>
      <c r="G24" s="87"/>
      <c r="H24" s="87"/>
      <c r="I24" s="87"/>
      <c r="J24" s="75"/>
      <c r="K24" s="75"/>
      <c r="L24" s="162">
        <v>12248.94</v>
      </c>
      <c r="M24" s="75"/>
      <c r="N24" s="75"/>
      <c r="O24" s="75"/>
      <c r="P24" s="75"/>
      <c r="Q24" s="75"/>
      <c r="R24" s="75"/>
      <c r="S24" s="75">
        <f>L24*G23</f>
        <v>416463.96</v>
      </c>
      <c r="T24" s="75"/>
      <c r="U24" s="75"/>
      <c r="V24" s="75"/>
    </row>
    <row r="25" spans="1:24">
      <c r="A25" s="113" t="s">
        <v>35</v>
      </c>
      <c r="B25" s="176" t="s">
        <v>28</v>
      </c>
      <c r="C25" s="127" t="s">
        <v>220</v>
      </c>
      <c r="D25" s="91"/>
      <c r="E25" s="92"/>
      <c r="F25" s="92"/>
      <c r="G25" s="92"/>
      <c r="H25" s="92"/>
      <c r="I25" s="92"/>
      <c r="J25" s="78"/>
      <c r="K25" s="78"/>
      <c r="L25" s="161"/>
      <c r="M25" s="78">
        <f t="shared" si="6"/>
        <v>0</v>
      </c>
      <c r="N25" s="78">
        <f>N26+N31</f>
        <v>8172644.0499999998</v>
      </c>
      <c r="O25" s="78">
        <f>O26+O31</f>
        <v>1335694.8</v>
      </c>
      <c r="P25" s="78"/>
      <c r="Q25" s="179">
        <f>Q26+Q31</f>
        <v>4517925.5</v>
      </c>
      <c r="R25" s="179"/>
      <c r="S25" s="78">
        <f>S24</f>
        <v>416463.96</v>
      </c>
      <c r="T25" s="78">
        <f t="shared" ref="T25:V25" si="11">T26+T31</f>
        <v>14026264.35</v>
      </c>
      <c r="U25" s="78">
        <f t="shared" si="11"/>
        <v>14026264.349999998</v>
      </c>
      <c r="V25" s="78">
        <f t="shared" si="11"/>
        <v>14026264.349999998</v>
      </c>
    </row>
    <row r="26" spans="1:24" ht="82.8">
      <c r="A26" s="83"/>
      <c r="B26" s="84" t="s">
        <v>76</v>
      </c>
      <c r="C26" s="128"/>
      <c r="D26" s="82"/>
      <c r="E26" s="68"/>
      <c r="F26" s="68"/>
      <c r="G26" s="68"/>
      <c r="H26" s="68"/>
      <c r="I26" s="68"/>
      <c r="J26" s="75"/>
      <c r="K26" s="75"/>
      <c r="L26" s="156"/>
      <c r="M26" s="75">
        <f t="shared" si="6"/>
        <v>0</v>
      </c>
      <c r="N26" s="75">
        <f>SUM(N27:N30)</f>
        <v>8172644.0499999998</v>
      </c>
      <c r="O26" s="75">
        <f t="shared" ref="O26:V26" si="12">SUM(O27:O30)</f>
        <v>1335694.8</v>
      </c>
      <c r="P26" s="75"/>
      <c r="Q26" s="75">
        <f t="shared" si="12"/>
        <v>3398492.9</v>
      </c>
      <c r="R26" s="75"/>
      <c r="S26" s="75"/>
      <c r="T26" s="75">
        <f t="shared" si="12"/>
        <v>12906831.75</v>
      </c>
      <c r="U26" s="75">
        <f t="shared" si="12"/>
        <v>12906831.749999998</v>
      </c>
      <c r="V26" s="75">
        <f t="shared" si="12"/>
        <v>12906831.749999998</v>
      </c>
    </row>
    <row r="27" spans="1:24" ht="96.6">
      <c r="A27" s="83"/>
      <c r="B27" s="97" t="s">
        <v>19</v>
      </c>
      <c r="C27" s="93" t="s">
        <v>0</v>
      </c>
      <c r="D27" s="112" t="s">
        <v>20</v>
      </c>
      <c r="E27" s="87">
        <v>0</v>
      </c>
      <c r="F27" s="87">
        <v>0</v>
      </c>
      <c r="G27" s="87">
        <f t="shared" ref="G27:G29" si="13">(E27*8+F27*4)/12</f>
        <v>0</v>
      </c>
      <c r="H27" s="87">
        <v>0</v>
      </c>
      <c r="I27" s="87">
        <v>0</v>
      </c>
      <c r="J27" s="75">
        <v>43138.04</v>
      </c>
      <c r="K27" s="75">
        <v>12142.68</v>
      </c>
      <c r="L27" s="156">
        <v>30895.39</v>
      </c>
      <c r="M27" s="75">
        <f t="shared" si="6"/>
        <v>86176.11</v>
      </c>
      <c r="N27" s="75">
        <f>G27*J27</f>
        <v>0</v>
      </c>
      <c r="O27" s="75">
        <f>G27*K27</f>
        <v>0</v>
      </c>
      <c r="P27" s="75"/>
      <c r="Q27" s="75">
        <f>G27*L27</f>
        <v>0</v>
      </c>
      <c r="R27" s="75"/>
      <c r="S27" s="75"/>
      <c r="T27" s="46">
        <f t="shared" si="1"/>
        <v>0</v>
      </c>
      <c r="U27" s="75">
        <f t="shared" si="2"/>
        <v>0</v>
      </c>
      <c r="V27" s="75">
        <f t="shared" si="3"/>
        <v>0</v>
      </c>
    </row>
    <row r="28" spans="1:24">
      <c r="A28" s="88"/>
      <c r="B28" s="97" t="s">
        <v>24</v>
      </c>
      <c r="C28" s="97"/>
      <c r="D28" s="86" t="s">
        <v>20</v>
      </c>
      <c r="E28" s="87">
        <v>0</v>
      </c>
      <c r="F28" s="87">
        <v>0</v>
      </c>
      <c r="G28" s="87">
        <f t="shared" si="13"/>
        <v>0</v>
      </c>
      <c r="H28" s="87">
        <v>0</v>
      </c>
      <c r="I28" s="87">
        <v>0</v>
      </c>
      <c r="J28" s="75">
        <v>34198.17</v>
      </c>
      <c r="K28" s="75">
        <v>12142.68</v>
      </c>
      <c r="L28" s="156">
        <v>30895.39</v>
      </c>
      <c r="M28" s="75">
        <f t="shared" si="6"/>
        <v>77236.239999999991</v>
      </c>
      <c r="N28" s="75">
        <f>G28*J28</f>
        <v>0</v>
      </c>
      <c r="O28" s="75">
        <f>G28*K28</f>
        <v>0</v>
      </c>
      <c r="P28" s="75"/>
      <c r="Q28" s="75">
        <f>G28*L28</f>
        <v>0</v>
      </c>
      <c r="R28" s="75"/>
      <c r="S28" s="75"/>
      <c r="T28" s="46">
        <f t="shared" si="1"/>
        <v>0</v>
      </c>
      <c r="U28" s="75">
        <f t="shared" si="2"/>
        <v>0</v>
      </c>
      <c r="V28" s="75">
        <f t="shared" si="3"/>
        <v>0</v>
      </c>
    </row>
    <row r="29" spans="1:24" ht="96.6">
      <c r="A29" s="83"/>
      <c r="B29" s="97" t="s">
        <v>24</v>
      </c>
      <c r="C29" s="93" t="s">
        <v>38</v>
      </c>
      <c r="D29" s="112" t="s">
        <v>20</v>
      </c>
      <c r="E29" s="87">
        <v>29</v>
      </c>
      <c r="F29" s="87">
        <v>29</v>
      </c>
      <c r="G29" s="87">
        <f t="shared" si="13"/>
        <v>29</v>
      </c>
      <c r="H29" s="87">
        <v>29</v>
      </c>
      <c r="I29" s="87">
        <v>29</v>
      </c>
      <c r="J29" s="75">
        <v>142093.57999999999</v>
      </c>
      <c r="K29" s="75">
        <v>12142.68</v>
      </c>
      <c r="L29" s="156">
        <v>30895.39</v>
      </c>
      <c r="M29" s="75">
        <f t="shared" si="6"/>
        <v>185131.64999999997</v>
      </c>
      <c r="N29" s="75">
        <f>G29*J29</f>
        <v>4120713.82</v>
      </c>
      <c r="O29" s="75">
        <f>G29*K29</f>
        <v>352137.72000000003</v>
      </c>
      <c r="P29" s="75"/>
      <c r="Q29" s="75">
        <f>G29*L29</f>
        <v>895966.30999999994</v>
      </c>
      <c r="R29" s="75"/>
      <c r="S29" s="75"/>
      <c r="T29" s="46">
        <f t="shared" si="1"/>
        <v>5368817.8499999996</v>
      </c>
      <c r="U29" s="75">
        <f t="shared" si="2"/>
        <v>5368817.8499999987</v>
      </c>
      <c r="V29" s="75">
        <f t="shared" si="3"/>
        <v>5368817.8499999987</v>
      </c>
    </row>
    <row r="30" spans="1:24" ht="110.4">
      <c r="A30" s="83"/>
      <c r="B30" s="97" t="s">
        <v>24</v>
      </c>
      <c r="C30" s="93" t="s">
        <v>162</v>
      </c>
      <c r="D30" s="112" t="s">
        <v>20</v>
      </c>
      <c r="E30" s="87">
        <v>81</v>
      </c>
      <c r="F30" s="87">
        <v>81</v>
      </c>
      <c r="G30" s="87">
        <f>(E30*8+F30*4)/12</f>
        <v>81</v>
      </c>
      <c r="H30" s="87">
        <v>81</v>
      </c>
      <c r="I30" s="87">
        <v>81</v>
      </c>
      <c r="J30" s="75">
        <v>50023.83</v>
      </c>
      <c r="K30" s="75">
        <v>12142.68</v>
      </c>
      <c r="L30" s="156">
        <v>30895.39</v>
      </c>
      <c r="M30" s="75">
        <f t="shared" si="6"/>
        <v>93061.9</v>
      </c>
      <c r="N30" s="75">
        <f>G30*J30</f>
        <v>4051930.23</v>
      </c>
      <c r="O30" s="75">
        <f>G30*K30</f>
        <v>983557.08000000007</v>
      </c>
      <c r="P30" s="75"/>
      <c r="Q30" s="75">
        <f>G30*L30</f>
        <v>2502526.59</v>
      </c>
      <c r="R30" s="75"/>
      <c r="S30" s="75"/>
      <c r="T30" s="46">
        <f t="shared" si="1"/>
        <v>7538013.9000000004</v>
      </c>
      <c r="U30" s="75">
        <f t="shared" si="2"/>
        <v>7538013.8999999994</v>
      </c>
      <c r="V30" s="75">
        <f t="shared" si="3"/>
        <v>7538013.8999999994</v>
      </c>
    </row>
    <row r="31" spans="1:24">
      <c r="A31" s="86"/>
      <c r="B31" s="176" t="s">
        <v>28</v>
      </c>
      <c r="C31" s="127" t="s">
        <v>219</v>
      </c>
      <c r="D31" s="112" t="s">
        <v>20</v>
      </c>
      <c r="E31" s="87">
        <f>E30+E29+E28+E27</f>
        <v>110</v>
      </c>
      <c r="F31" s="87">
        <f>F30+F29+F28+F27</f>
        <v>110</v>
      </c>
      <c r="G31" s="87">
        <f>(E31*8+F31*4)/12</f>
        <v>110</v>
      </c>
      <c r="H31" s="87">
        <f>H30+H29+H28+H27</f>
        <v>110</v>
      </c>
      <c r="I31" s="87">
        <f>I30+I29+I28+I27</f>
        <v>110</v>
      </c>
      <c r="J31" s="75" t="s">
        <v>23</v>
      </c>
      <c r="K31" s="75"/>
      <c r="L31" s="162">
        <v>10176.66</v>
      </c>
      <c r="M31" s="75">
        <f t="shared" si="6"/>
        <v>10176.66</v>
      </c>
      <c r="N31" s="75">
        <f t="shared" ref="N31:N61" si="14">E31*J31</f>
        <v>0</v>
      </c>
      <c r="O31" s="75">
        <f t="shared" si="10"/>
        <v>0</v>
      </c>
      <c r="P31" s="75"/>
      <c r="Q31" s="75">
        <f>G31*L31</f>
        <v>1119432.6000000001</v>
      </c>
      <c r="R31" s="75"/>
      <c r="S31" s="75"/>
      <c r="T31" s="46">
        <f>SUM(N31:Q31)</f>
        <v>1119432.6000000001</v>
      </c>
      <c r="U31" s="75">
        <f>H31*M31</f>
        <v>1119432.6000000001</v>
      </c>
      <c r="V31" s="75">
        <f t="shared" si="3"/>
        <v>1119432.6000000001</v>
      </c>
    </row>
    <row r="32" spans="1:24">
      <c r="A32" s="86"/>
      <c r="B32" s="176" t="s">
        <v>28</v>
      </c>
      <c r="C32" s="127" t="s">
        <v>220</v>
      </c>
      <c r="D32" s="176"/>
      <c r="E32" s="87"/>
      <c r="F32" s="87"/>
      <c r="G32" s="87"/>
      <c r="H32" s="87"/>
      <c r="I32" s="87"/>
      <c r="J32" s="75"/>
      <c r="K32" s="75"/>
      <c r="L32" s="162">
        <v>12248.94</v>
      </c>
      <c r="M32" s="75"/>
      <c r="N32" s="75"/>
      <c r="O32" s="75"/>
      <c r="P32" s="75"/>
      <c r="Q32" s="75"/>
      <c r="R32" s="75"/>
      <c r="S32" s="75">
        <f>L32*G31</f>
        <v>1347383.4000000001</v>
      </c>
      <c r="T32" s="46"/>
      <c r="U32" s="75"/>
      <c r="V32" s="75"/>
    </row>
    <row r="33" spans="1:23">
      <c r="A33" s="113" t="s">
        <v>40</v>
      </c>
      <c r="B33" s="94"/>
      <c r="C33" s="94"/>
      <c r="D33" s="94"/>
      <c r="E33" s="92"/>
      <c r="F33" s="92"/>
      <c r="G33" s="92"/>
      <c r="H33" s="92"/>
      <c r="I33" s="92"/>
      <c r="J33" s="78"/>
      <c r="K33" s="78"/>
      <c r="L33" s="161"/>
      <c r="M33" s="78">
        <f t="shared" si="6"/>
        <v>0</v>
      </c>
      <c r="N33" s="78">
        <f>N34+N38</f>
        <v>4610681.3000000007</v>
      </c>
      <c r="O33" s="78">
        <f t="shared" ref="O33:V33" si="15">O34+O38</f>
        <v>1299266.76</v>
      </c>
      <c r="P33" s="78"/>
      <c r="Q33" s="179">
        <f t="shared" si="15"/>
        <v>4394709.3499999996</v>
      </c>
      <c r="R33" s="179"/>
      <c r="S33" s="78">
        <f>S32</f>
        <v>1347383.4000000001</v>
      </c>
      <c r="T33" s="78">
        <f t="shared" si="15"/>
        <v>10304657.409999998</v>
      </c>
      <c r="U33" s="78">
        <f>U34+U38</f>
        <v>10304657.409999998</v>
      </c>
      <c r="V33" s="78">
        <f t="shared" si="15"/>
        <v>10304657.409999998</v>
      </c>
      <c r="W33" s="85">
        <f>T33-U33</f>
        <v>0</v>
      </c>
    </row>
    <row r="34" spans="1:23" ht="82.8">
      <c r="A34" s="83"/>
      <c r="B34" s="84" t="s">
        <v>76</v>
      </c>
      <c r="C34" s="128"/>
      <c r="D34" s="95"/>
      <c r="E34" s="68"/>
      <c r="F34" s="68"/>
      <c r="G34" s="68"/>
      <c r="H34" s="68"/>
      <c r="I34" s="68"/>
      <c r="J34" s="75"/>
      <c r="K34" s="75"/>
      <c r="L34" s="156"/>
      <c r="M34" s="75">
        <f t="shared" si="6"/>
        <v>0</v>
      </c>
      <c r="N34" s="75">
        <f>SUM(N35:N37)</f>
        <v>4610681.3000000007</v>
      </c>
      <c r="O34" s="75">
        <f t="shared" ref="O34:V34" si="16">SUM(O35:O37)</f>
        <v>1299266.76</v>
      </c>
      <c r="P34" s="75"/>
      <c r="Q34" s="75">
        <f t="shared" si="16"/>
        <v>3305806.73</v>
      </c>
      <c r="R34" s="75"/>
      <c r="S34" s="75"/>
      <c r="T34" s="75">
        <f t="shared" si="16"/>
        <v>9215754.7899999991</v>
      </c>
      <c r="U34" s="75">
        <f t="shared" si="16"/>
        <v>9215754.7899999991</v>
      </c>
      <c r="V34" s="75">
        <f t="shared" si="16"/>
        <v>9215754.7899999991</v>
      </c>
    </row>
    <row r="35" spans="1:23" ht="96.6">
      <c r="A35" s="83"/>
      <c r="B35" s="97" t="s">
        <v>19</v>
      </c>
      <c r="C35" s="93" t="s">
        <v>0</v>
      </c>
      <c r="D35" s="112" t="s">
        <v>20</v>
      </c>
      <c r="E35" s="87">
        <v>25</v>
      </c>
      <c r="F35" s="87">
        <v>25</v>
      </c>
      <c r="G35" s="87">
        <f t="shared" ref="G35:G37" si="17">(E35*8+F35*4)/12</f>
        <v>25</v>
      </c>
      <c r="H35" s="87">
        <v>25</v>
      </c>
      <c r="I35" s="87">
        <v>25</v>
      </c>
      <c r="J35" s="75">
        <v>43138.04</v>
      </c>
      <c r="K35" s="75">
        <v>12142.68</v>
      </c>
      <c r="L35" s="156">
        <v>30895.39</v>
      </c>
      <c r="M35" s="75">
        <f t="shared" si="6"/>
        <v>86176.11</v>
      </c>
      <c r="N35" s="75">
        <f>G35*J35</f>
        <v>1078451</v>
      </c>
      <c r="O35" s="75">
        <f>G35*K35</f>
        <v>303567</v>
      </c>
      <c r="P35" s="75"/>
      <c r="Q35" s="75">
        <f>G35*L35</f>
        <v>772384.75</v>
      </c>
      <c r="R35" s="75"/>
      <c r="S35" s="75"/>
      <c r="T35" s="75">
        <f t="shared" si="1"/>
        <v>2154402.75</v>
      </c>
      <c r="U35" s="75">
        <f t="shared" si="2"/>
        <v>2154402.75</v>
      </c>
      <c r="V35" s="75">
        <f t="shared" si="3"/>
        <v>2154402.75</v>
      </c>
    </row>
    <row r="36" spans="1:23">
      <c r="A36" s="88"/>
      <c r="B36" s="97" t="s">
        <v>24</v>
      </c>
      <c r="C36" s="97"/>
      <c r="D36" s="86" t="s">
        <v>20</v>
      </c>
      <c r="E36" s="87">
        <v>36</v>
      </c>
      <c r="F36" s="87">
        <v>36</v>
      </c>
      <c r="G36" s="87">
        <f t="shared" si="17"/>
        <v>36</v>
      </c>
      <c r="H36" s="87">
        <v>36</v>
      </c>
      <c r="I36" s="87">
        <v>36</v>
      </c>
      <c r="J36" s="75">
        <v>34198.17</v>
      </c>
      <c r="K36" s="75">
        <v>12142.68</v>
      </c>
      <c r="L36" s="156">
        <v>30895.39</v>
      </c>
      <c r="M36" s="75">
        <f t="shared" si="6"/>
        <v>77236.239999999991</v>
      </c>
      <c r="N36" s="75">
        <f>G36*J36</f>
        <v>1231134.1199999999</v>
      </c>
      <c r="O36" s="75">
        <f>G36*K36</f>
        <v>437136.48</v>
      </c>
      <c r="P36" s="75"/>
      <c r="Q36" s="75">
        <f>G36*L36</f>
        <v>1112234.04</v>
      </c>
      <c r="R36" s="75"/>
      <c r="S36" s="75"/>
      <c r="T36" s="75">
        <f t="shared" si="1"/>
        <v>2780504.6399999997</v>
      </c>
      <c r="U36" s="75">
        <f t="shared" si="2"/>
        <v>2780504.6399999997</v>
      </c>
      <c r="V36" s="75">
        <f t="shared" si="3"/>
        <v>2780504.6399999997</v>
      </c>
    </row>
    <row r="37" spans="1:23" ht="110.4">
      <c r="A37" s="88"/>
      <c r="B37" s="97" t="s">
        <v>24</v>
      </c>
      <c r="C37" s="93" t="s">
        <v>162</v>
      </c>
      <c r="D37" s="112" t="s">
        <v>20</v>
      </c>
      <c r="E37" s="87">
        <v>46</v>
      </c>
      <c r="F37" s="87">
        <v>46</v>
      </c>
      <c r="G37" s="87">
        <f t="shared" si="17"/>
        <v>46</v>
      </c>
      <c r="H37" s="87">
        <v>46</v>
      </c>
      <c r="I37" s="87">
        <v>46</v>
      </c>
      <c r="J37" s="75">
        <v>50023.83</v>
      </c>
      <c r="K37" s="75">
        <v>12142.68</v>
      </c>
      <c r="L37" s="156">
        <v>30895.39</v>
      </c>
      <c r="M37" s="75">
        <f t="shared" si="6"/>
        <v>93061.9</v>
      </c>
      <c r="N37" s="75">
        <f t="shared" ref="N37:N38" si="18">G37*J37</f>
        <v>2301096.1800000002</v>
      </c>
      <c r="O37" s="75">
        <f t="shared" ref="O37:O38" si="19">G37*K37</f>
        <v>558563.28</v>
      </c>
      <c r="P37" s="75"/>
      <c r="Q37" s="75">
        <f>G37*L37</f>
        <v>1421187.94</v>
      </c>
      <c r="R37" s="75"/>
      <c r="S37" s="75"/>
      <c r="T37" s="75">
        <f t="shared" si="1"/>
        <v>4280847.4000000004</v>
      </c>
      <c r="U37" s="75">
        <f t="shared" si="2"/>
        <v>4280847.3999999994</v>
      </c>
      <c r="V37" s="75">
        <f t="shared" si="3"/>
        <v>4280847.3999999994</v>
      </c>
    </row>
    <row r="38" spans="1:23">
      <c r="A38" s="86"/>
      <c r="B38" s="176" t="s">
        <v>28</v>
      </c>
      <c r="C38" s="127" t="s">
        <v>219</v>
      </c>
      <c r="D38" s="86" t="s">
        <v>20</v>
      </c>
      <c r="E38" s="87">
        <f>E37+E36+E35</f>
        <v>107</v>
      </c>
      <c r="F38" s="87">
        <f>F37+F36+F35</f>
        <v>107</v>
      </c>
      <c r="G38" s="87">
        <f>(E38*8+F38*4)/12</f>
        <v>107</v>
      </c>
      <c r="H38" s="87">
        <f>H37+H36+H35</f>
        <v>107</v>
      </c>
      <c r="I38" s="87">
        <f>I37+I36+I35</f>
        <v>107</v>
      </c>
      <c r="J38" s="75" t="s">
        <v>23</v>
      </c>
      <c r="K38" s="75"/>
      <c r="L38" s="162">
        <v>10176.66</v>
      </c>
      <c r="M38" s="75">
        <f t="shared" si="6"/>
        <v>10176.66</v>
      </c>
      <c r="N38" s="75">
        <f t="shared" si="18"/>
        <v>0</v>
      </c>
      <c r="O38" s="75">
        <f t="shared" si="19"/>
        <v>0</v>
      </c>
      <c r="P38" s="75"/>
      <c r="Q38" s="75">
        <f>E38*L38</f>
        <v>1088902.6199999999</v>
      </c>
      <c r="R38" s="75"/>
      <c r="S38" s="75"/>
      <c r="T38" s="75">
        <f>SUM(N38:Q38)</f>
        <v>1088902.6199999999</v>
      </c>
      <c r="U38" s="75">
        <f>H38*L38</f>
        <v>1088902.6199999999</v>
      </c>
      <c r="V38" s="75">
        <f>I38*M38</f>
        <v>1088902.6199999999</v>
      </c>
    </row>
    <row r="39" spans="1:23">
      <c r="A39" s="86"/>
      <c r="B39" s="176" t="s">
        <v>28</v>
      </c>
      <c r="C39" s="127" t="s">
        <v>220</v>
      </c>
      <c r="D39" s="86"/>
      <c r="E39" s="87"/>
      <c r="F39" s="87"/>
      <c r="G39" s="87"/>
      <c r="H39" s="87"/>
      <c r="I39" s="87"/>
      <c r="J39" s="75"/>
      <c r="K39" s="75"/>
      <c r="L39" s="162">
        <v>12248.94</v>
      </c>
      <c r="M39" s="75"/>
      <c r="N39" s="75"/>
      <c r="O39" s="75"/>
      <c r="P39" s="75"/>
      <c r="Q39" s="75"/>
      <c r="R39" s="75"/>
      <c r="S39" s="75">
        <f>L39*G38</f>
        <v>1310636.58</v>
      </c>
      <c r="T39" s="75"/>
      <c r="U39" s="75"/>
      <c r="V39" s="75"/>
    </row>
    <row r="40" spans="1:23">
      <c r="A40" s="113" t="s">
        <v>44</v>
      </c>
      <c r="B40" s="94"/>
      <c r="C40" s="94"/>
      <c r="D40" s="94"/>
      <c r="E40" s="92"/>
      <c r="F40" s="92"/>
      <c r="G40" s="92"/>
      <c r="H40" s="92"/>
      <c r="I40" s="92"/>
      <c r="J40" s="78"/>
      <c r="K40" s="78"/>
      <c r="L40" s="161"/>
      <c r="M40" s="78">
        <f t="shared" si="6"/>
        <v>0</v>
      </c>
      <c r="N40" s="78">
        <f>N41+N46</f>
        <v>11659167.85</v>
      </c>
      <c r="O40" s="78">
        <f t="shared" ref="O40:V40" si="20">O41+O46</f>
        <v>2659246.92</v>
      </c>
      <c r="P40" s="78"/>
      <c r="Q40" s="179">
        <f t="shared" si="20"/>
        <v>8994778.9499999993</v>
      </c>
      <c r="R40" s="179"/>
      <c r="S40" s="78">
        <f>S39</f>
        <v>1310636.58</v>
      </c>
      <c r="T40" s="78">
        <f t="shared" si="20"/>
        <v>23313193.719999999</v>
      </c>
      <c r="U40" s="78">
        <f t="shared" si="20"/>
        <v>23313193.719999999</v>
      </c>
      <c r="V40" s="78">
        <f t="shared" si="20"/>
        <v>23313193.719999999</v>
      </c>
    </row>
    <row r="41" spans="1:23" ht="82.8">
      <c r="A41" s="83"/>
      <c r="B41" s="84" t="s">
        <v>76</v>
      </c>
      <c r="C41" s="128"/>
      <c r="D41" s="95"/>
      <c r="E41" s="68"/>
      <c r="F41" s="68"/>
      <c r="G41" s="68"/>
      <c r="H41" s="68"/>
      <c r="I41" s="68"/>
      <c r="J41" s="75"/>
      <c r="K41" s="75"/>
      <c r="L41" s="156"/>
      <c r="M41" s="75">
        <f t="shared" si="6"/>
        <v>0</v>
      </c>
      <c r="N41" s="75">
        <f>SUM(N42:N45)</f>
        <v>11659167.85</v>
      </c>
      <c r="O41" s="75">
        <f t="shared" ref="O41:V41" si="21">SUM(O42:O45)</f>
        <v>2659246.92</v>
      </c>
      <c r="P41" s="75"/>
      <c r="Q41" s="75">
        <f t="shared" si="21"/>
        <v>6766090.4100000001</v>
      </c>
      <c r="R41" s="75"/>
      <c r="S41" s="75"/>
      <c r="T41" s="75">
        <f t="shared" si="21"/>
        <v>21084505.18</v>
      </c>
      <c r="U41" s="75">
        <f t="shared" si="21"/>
        <v>21084505.18</v>
      </c>
      <c r="V41" s="75">
        <f t="shared" si="21"/>
        <v>21084505.18</v>
      </c>
    </row>
    <row r="42" spans="1:23" ht="96.6">
      <c r="A42" s="83"/>
      <c r="B42" s="97" t="s">
        <v>19</v>
      </c>
      <c r="C42" s="93" t="s">
        <v>0</v>
      </c>
      <c r="D42" s="112" t="s">
        <v>20</v>
      </c>
      <c r="E42" s="87">
        <v>44</v>
      </c>
      <c r="F42" s="87">
        <v>44</v>
      </c>
      <c r="G42" s="87">
        <f t="shared" ref="G42:G45" si="22">(E42*8+F42*4)/12</f>
        <v>44</v>
      </c>
      <c r="H42" s="87">
        <v>44</v>
      </c>
      <c r="I42" s="87">
        <v>44</v>
      </c>
      <c r="J42" s="75">
        <v>43138.04</v>
      </c>
      <c r="K42" s="75">
        <v>12142.68</v>
      </c>
      <c r="L42" s="156">
        <v>30895.39</v>
      </c>
      <c r="M42" s="75">
        <f t="shared" si="6"/>
        <v>86176.11</v>
      </c>
      <c r="N42" s="75">
        <f>G42*J42</f>
        <v>1898073.76</v>
      </c>
      <c r="O42" s="75">
        <f>G42*K42</f>
        <v>534277.92000000004</v>
      </c>
      <c r="P42" s="75"/>
      <c r="Q42" s="75">
        <f>G42*L42</f>
        <v>1359397.16</v>
      </c>
      <c r="R42" s="75"/>
      <c r="S42" s="75"/>
      <c r="T42" s="75">
        <f t="shared" si="1"/>
        <v>3791748.84</v>
      </c>
      <c r="U42" s="75">
        <f t="shared" si="2"/>
        <v>3791748.84</v>
      </c>
      <c r="V42" s="75">
        <f t="shared" si="3"/>
        <v>3791748.84</v>
      </c>
    </row>
    <row r="43" spans="1:23">
      <c r="A43" s="88"/>
      <c r="B43" s="97" t="s">
        <v>24</v>
      </c>
      <c r="C43" s="97"/>
      <c r="D43" s="86" t="s">
        <v>20</v>
      </c>
      <c r="E43" s="87">
        <v>76</v>
      </c>
      <c r="F43" s="87">
        <v>76</v>
      </c>
      <c r="G43" s="87">
        <f t="shared" si="22"/>
        <v>76</v>
      </c>
      <c r="H43" s="87">
        <v>76</v>
      </c>
      <c r="I43" s="87">
        <v>76</v>
      </c>
      <c r="J43" s="75">
        <v>34198.17</v>
      </c>
      <c r="K43" s="75">
        <v>12142.68</v>
      </c>
      <c r="L43" s="156">
        <v>30895.39</v>
      </c>
      <c r="M43" s="75">
        <f t="shared" si="6"/>
        <v>77236.239999999991</v>
      </c>
      <c r="N43" s="75">
        <f t="shared" ref="N43:N46" si="23">G43*J43</f>
        <v>2599060.92</v>
      </c>
      <c r="O43" s="75">
        <f t="shared" ref="O43:O46" si="24">G43*K43</f>
        <v>922843.68</v>
      </c>
      <c r="P43" s="75"/>
      <c r="Q43" s="75">
        <f t="shared" ref="Q43:Q45" si="25">G43*L43</f>
        <v>2348049.64</v>
      </c>
      <c r="R43" s="75"/>
      <c r="S43" s="75"/>
      <c r="T43" s="75">
        <f t="shared" si="1"/>
        <v>5869954.2400000002</v>
      </c>
      <c r="U43" s="75">
        <f t="shared" si="2"/>
        <v>5869954.2399999993</v>
      </c>
      <c r="V43" s="75">
        <f t="shared" si="3"/>
        <v>5869954.2399999993</v>
      </c>
    </row>
    <row r="44" spans="1:23" ht="96.6">
      <c r="A44" s="83"/>
      <c r="B44" s="130"/>
      <c r="C44" s="93" t="s">
        <v>38</v>
      </c>
      <c r="D44" s="112" t="s">
        <v>20</v>
      </c>
      <c r="E44" s="87">
        <v>24</v>
      </c>
      <c r="F44" s="87">
        <v>24</v>
      </c>
      <c r="G44" s="87">
        <f t="shared" si="22"/>
        <v>24</v>
      </c>
      <c r="H44" s="87">
        <v>24</v>
      </c>
      <c r="I44" s="87">
        <v>24</v>
      </c>
      <c r="J44" s="75">
        <v>142093.57999999999</v>
      </c>
      <c r="K44" s="75">
        <v>12142.68</v>
      </c>
      <c r="L44" s="156">
        <v>30895.39</v>
      </c>
      <c r="M44" s="75">
        <f t="shared" si="6"/>
        <v>185131.64999999997</v>
      </c>
      <c r="N44" s="75">
        <f t="shared" si="23"/>
        <v>3410245.92</v>
      </c>
      <c r="O44" s="75">
        <f t="shared" si="24"/>
        <v>291424.32</v>
      </c>
      <c r="P44" s="75"/>
      <c r="Q44" s="75">
        <f t="shared" si="25"/>
        <v>741489.36</v>
      </c>
      <c r="R44" s="75"/>
      <c r="S44" s="75"/>
      <c r="T44" s="75">
        <f t="shared" si="1"/>
        <v>4443159.5999999996</v>
      </c>
      <c r="U44" s="75">
        <f t="shared" si="2"/>
        <v>4443159.5999999996</v>
      </c>
      <c r="V44" s="75">
        <f t="shared" si="3"/>
        <v>4443159.5999999996</v>
      </c>
    </row>
    <row r="45" spans="1:23" ht="110.4">
      <c r="A45" s="83"/>
      <c r="B45" s="97" t="s">
        <v>24</v>
      </c>
      <c r="C45" s="93" t="s">
        <v>162</v>
      </c>
      <c r="D45" s="112" t="s">
        <v>20</v>
      </c>
      <c r="E45" s="87">
        <v>75</v>
      </c>
      <c r="F45" s="87">
        <v>75</v>
      </c>
      <c r="G45" s="87">
        <f t="shared" si="22"/>
        <v>75</v>
      </c>
      <c r="H45" s="87">
        <v>75</v>
      </c>
      <c r="I45" s="87">
        <v>75</v>
      </c>
      <c r="J45" s="75">
        <v>50023.83</v>
      </c>
      <c r="K45" s="75">
        <v>12142.68</v>
      </c>
      <c r="L45" s="156">
        <v>30895.39</v>
      </c>
      <c r="M45" s="75">
        <f t="shared" si="6"/>
        <v>93061.9</v>
      </c>
      <c r="N45" s="75">
        <f t="shared" si="23"/>
        <v>3751787.25</v>
      </c>
      <c r="O45" s="75">
        <f t="shared" si="24"/>
        <v>910701</v>
      </c>
      <c r="P45" s="75"/>
      <c r="Q45" s="75">
        <f t="shared" si="25"/>
        <v>2317154.25</v>
      </c>
      <c r="R45" s="75"/>
      <c r="S45" s="75"/>
      <c r="T45" s="75">
        <f t="shared" si="1"/>
        <v>6979642.5</v>
      </c>
      <c r="U45" s="75">
        <f t="shared" si="2"/>
        <v>6979642.5</v>
      </c>
      <c r="V45" s="75">
        <f t="shared" si="3"/>
        <v>6979642.5</v>
      </c>
    </row>
    <row r="46" spans="1:23">
      <c r="A46" s="86"/>
      <c r="B46" s="176" t="s">
        <v>28</v>
      </c>
      <c r="C46" s="127" t="s">
        <v>219</v>
      </c>
      <c r="D46" s="86" t="s">
        <v>20</v>
      </c>
      <c r="E46" s="87">
        <f>E45+E44+E43+E42</f>
        <v>219</v>
      </c>
      <c r="F46" s="87">
        <f>F45+F44+F43+F42</f>
        <v>219</v>
      </c>
      <c r="G46" s="87">
        <f t="shared" ref="G46" si="26">(E46*8+F46*4)/12</f>
        <v>219</v>
      </c>
      <c r="H46" s="87">
        <f>H45+H44+H43+H42</f>
        <v>219</v>
      </c>
      <c r="I46" s="87">
        <f>I45+I44+I43+I42</f>
        <v>219</v>
      </c>
      <c r="J46" s="75" t="s">
        <v>23</v>
      </c>
      <c r="K46" s="75"/>
      <c r="L46" s="162">
        <v>10176.66</v>
      </c>
      <c r="M46" s="75">
        <f t="shared" si="6"/>
        <v>10176.66</v>
      </c>
      <c r="N46" s="75">
        <f t="shared" si="23"/>
        <v>0</v>
      </c>
      <c r="O46" s="75">
        <f t="shared" si="24"/>
        <v>0</v>
      </c>
      <c r="P46" s="75"/>
      <c r="Q46" s="75">
        <f>G46*L46</f>
        <v>2228688.54</v>
      </c>
      <c r="R46" s="75"/>
      <c r="S46" s="75"/>
      <c r="T46" s="75">
        <f t="shared" si="1"/>
        <v>2228688.54</v>
      </c>
      <c r="U46" s="75">
        <f t="shared" si="2"/>
        <v>2228688.54</v>
      </c>
      <c r="V46" s="75">
        <f t="shared" si="3"/>
        <v>2228688.54</v>
      </c>
    </row>
    <row r="47" spans="1:23">
      <c r="A47" s="86"/>
      <c r="B47" s="176" t="s">
        <v>28</v>
      </c>
      <c r="C47" s="127" t="s">
        <v>220</v>
      </c>
      <c r="D47" s="86"/>
      <c r="E47" s="87"/>
      <c r="F47" s="87"/>
      <c r="G47" s="87"/>
      <c r="H47" s="87"/>
      <c r="I47" s="87"/>
      <c r="J47" s="75"/>
      <c r="K47" s="75"/>
      <c r="L47" s="162">
        <v>12248.94</v>
      </c>
      <c r="M47" s="75"/>
      <c r="N47" s="75"/>
      <c r="O47" s="75"/>
      <c r="P47" s="75"/>
      <c r="Q47" s="75"/>
      <c r="R47" s="75"/>
      <c r="S47" s="75">
        <f>L47*G46</f>
        <v>2682517.8600000003</v>
      </c>
      <c r="T47" s="75"/>
      <c r="U47" s="75"/>
      <c r="V47" s="75"/>
    </row>
    <row r="48" spans="1:23">
      <c r="A48" s="113" t="s">
        <v>49</v>
      </c>
      <c r="B48" s="94"/>
      <c r="C48" s="94"/>
      <c r="D48" s="94"/>
      <c r="E48" s="92"/>
      <c r="F48" s="92"/>
      <c r="G48" s="92"/>
      <c r="H48" s="92"/>
      <c r="I48" s="92"/>
      <c r="J48" s="78"/>
      <c r="K48" s="78"/>
      <c r="L48" s="161"/>
      <c r="M48" s="78">
        <f t="shared" si="6"/>
        <v>0</v>
      </c>
      <c r="N48" s="78">
        <f>N49+N54</f>
        <v>4967010.3499999996</v>
      </c>
      <c r="O48" s="78">
        <f t="shared" ref="O48:V48" si="27">O49+O54</f>
        <v>1384265.52</v>
      </c>
      <c r="P48" s="78"/>
      <c r="Q48" s="179">
        <f>Q49+Q54</f>
        <v>4682213.7</v>
      </c>
      <c r="R48" s="179"/>
      <c r="S48" s="78">
        <f>S47</f>
        <v>2682517.8600000003</v>
      </c>
      <c r="T48" s="78">
        <f t="shared" si="27"/>
        <v>11033489.57</v>
      </c>
      <c r="U48" s="78">
        <f t="shared" si="27"/>
        <v>11033489.57</v>
      </c>
      <c r="V48" s="78">
        <f t="shared" si="27"/>
        <v>11033489.57</v>
      </c>
    </row>
    <row r="49" spans="1:22" ht="82.8">
      <c r="A49" s="83"/>
      <c r="B49" s="84" t="s">
        <v>76</v>
      </c>
      <c r="C49" s="128"/>
      <c r="D49" s="95"/>
      <c r="E49" s="68"/>
      <c r="F49" s="68"/>
      <c r="G49" s="68"/>
      <c r="H49" s="68"/>
      <c r="I49" s="68"/>
      <c r="J49" s="75"/>
      <c r="K49" s="75"/>
      <c r="L49" s="156"/>
      <c r="M49" s="75">
        <f t="shared" si="6"/>
        <v>0</v>
      </c>
      <c r="N49" s="75">
        <f t="shared" ref="N49:V49" si="28">SUM(N50:N53)</f>
        <v>4967010.3499999996</v>
      </c>
      <c r="O49" s="75">
        <f t="shared" si="28"/>
        <v>1384265.52</v>
      </c>
      <c r="P49" s="75"/>
      <c r="Q49" s="75">
        <f t="shared" si="28"/>
        <v>3522074.46</v>
      </c>
      <c r="R49" s="75"/>
      <c r="S49" s="75"/>
      <c r="T49" s="75">
        <f t="shared" si="28"/>
        <v>9873350.3300000001</v>
      </c>
      <c r="U49" s="75">
        <f t="shared" si="28"/>
        <v>9873350.3300000001</v>
      </c>
      <c r="V49" s="75">
        <f t="shared" si="28"/>
        <v>9873350.3300000001</v>
      </c>
    </row>
    <row r="50" spans="1:22" ht="96.6">
      <c r="A50" s="83"/>
      <c r="B50" s="97" t="s">
        <v>19</v>
      </c>
      <c r="C50" s="93" t="s">
        <v>0</v>
      </c>
      <c r="D50" s="112" t="s">
        <v>20</v>
      </c>
      <c r="E50" s="87">
        <v>31</v>
      </c>
      <c r="F50" s="87">
        <v>31</v>
      </c>
      <c r="G50" s="87">
        <f t="shared" ref="G50:G53" si="29">(E50*8+F50*4)/12</f>
        <v>31</v>
      </c>
      <c r="H50" s="87">
        <v>31</v>
      </c>
      <c r="I50" s="87">
        <v>31</v>
      </c>
      <c r="J50" s="75">
        <v>43138.04</v>
      </c>
      <c r="K50" s="75">
        <v>12142.68</v>
      </c>
      <c r="L50" s="156">
        <v>30895.39</v>
      </c>
      <c r="M50" s="75">
        <f t="shared" si="6"/>
        <v>86176.11</v>
      </c>
      <c r="N50" s="75">
        <f>G50*J50</f>
        <v>1337279.24</v>
      </c>
      <c r="O50" s="75">
        <f>G50*K50</f>
        <v>376423.08</v>
      </c>
      <c r="P50" s="75"/>
      <c r="Q50" s="75">
        <f>G50*L50</f>
        <v>957757.09</v>
      </c>
      <c r="R50" s="75"/>
      <c r="S50" s="75"/>
      <c r="T50" s="46">
        <f t="shared" si="1"/>
        <v>2671459.41</v>
      </c>
      <c r="U50" s="75">
        <f t="shared" si="2"/>
        <v>2671459.41</v>
      </c>
      <c r="V50" s="75">
        <f t="shared" si="3"/>
        <v>2671459.41</v>
      </c>
    </row>
    <row r="51" spans="1:22">
      <c r="A51" s="88"/>
      <c r="B51" s="97" t="s">
        <v>24</v>
      </c>
      <c r="C51" s="97"/>
      <c r="D51" s="86" t="s">
        <v>20</v>
      </c>
      <c r="E51" s="87">
        <v>33</v>
      </c>
      <c r="F51" s="87">
        <v>33</v>
      </c>
      <c r="G51" s="87">
        <f>(E51*8+F51*4)/12</f>
        <v>33</v>
      </c>
      <c r="H51" s="87">
        <v>33</v>
      </c>
      <c r="I51" s="87">
        <v>33</v>
      </c>
      <c r="J51" s="75">
        <v>34198.17</v>
      </c>
      <c r="K51" s="75">
        <v>12142.68</v>
      </c>
      <c r="L51" s="156">
        <v>30895.39</v>
      </c>
      <c r="M51" s="75">
        <f t="shared" si="6"/>
        <v>77236.239999999991</v>
      </c>
      <c r="N51" s="75">
        <f>G51*J51</f>
        <v>1128539.6099999999</v>
      </c>
      <c r="O51" s="75">
        <f>G51*K51</f>
        <v>400708.44</v>
      </c>
      <c r="P51" s="75"/>
      <c r="Q51" s="75">
        <f>G51*L51</f>
        <v>1019547.87</v>
      </c>
      <c r="R51" s="75"/>
      <c r="S51" s="75"/>
      <c r="T51" s="75">
        <f>SUM(N51:Q51)</f>
        <v>2548795.92</v>
      </c>
      <c r="U51" s="75">
        <f>H51*M51</f>
        <v>2548795.92</v>
      </c>
      <c r="V51" s="75">
        <f>I51*M51</f>
        <v>2548795.92</v>
      </c>
    </row>
    <row r="52" spans="1:22" ht="96.6">
      <c r="A52" s="88"/>
      <c r="B52" s="97" t="s">
        <v>24</v>
      </c>
      <c r="C52" s="93" t="s">
        <v>179</v>
      </c>
      <c r="D52" s="86" t="s">
        <v>20</v>
      </c>
      <c r="E52" s="87">
        <v>0</v>
      </c>
      <c r="F52" s="87">
        <v>0</v>
      </c>
      <c r="G52" s="87">
        <f>(E52*8+F52*4)/12</f>
        <v>0</v>
      </c>
      <c r="H52" s="87">
        <v>0</v>
      </c>
      <c r="I52" s="87">
        <v>0</v>
      </c>
      <c r="J52" s="75">
        <v>67236.92</v>
      </c>
      <c r="K52" s="75">
        <v>12142.68</v>
      </c>
      <c r="L52" s="156">
        <v>30895.39</v>
      </c>
      <c r="M52" s="75">
        <f>J52+K52+L52</f>
        <v>110274.99</v>
      </c>
      <c r="N52" s="75">
        <f>G52*J52</f>
        <v>0</v>
      </c>
      <c r="O52" s="75">
        <f>G52*K52</f>
        <v>0</v>
      </c>
      <c r="P52" s="75"/>
      <c r="Q52" s="75">
        <f>G52*L52</f>
        <v>0</v>
      </c>
      <c r="R52" s="75"/>
      <c r="S52" s="75"/>
      <c r="T52" s="75">
        <f>SUM(N52:Q52)</f>
        <v>0</v>
      </c>
      <c r="U52" s="75">
        <f>H52*M52</f>
        <v>0</v>
      </c>
      <c r="V52" s="75">
        <f>I52*M52</f>
        <v>0</v>
      </c>
    </row>
    <row r="53" spans="1:22" ht="110.4">
      <c r="A53" s="88"/>
      <c r="B53" s="97" t="s">
        <v>24</v>
      </c>
      <c r="C53" s="93" t="s">
        <v>162</v>
      </c>
      <c r="D53" s="112" t="s">
        <v>20</v>
      </c>
      <c r="E53" s="87">
        <v>50</v>
      </c>
      <c r="F53" s="87">
        <v>50</v>
      </c>
      <c r="G53" s="87">
        <f t="shared" si="29"/>
        <v>50</v>
      </c>
      <c r="H53" s="87">
        <v>50</v>
      </c>
      <c r="I53" s="87">
        <v>50</v>
      </c>
      <c r="J53" s="75">
        <v>50023.83</v>
      </c>
      <c r="K53" s="75">
        <v>12142.68</v>
      </c>
      <c r="L53" s="156">
        <v>30895.39</v>
      </c>
      <c r="M53" s="75">
        <f t="shared" ref="M53" si="30">J53+K53+L53</f>
        <v>93061.9</v>
      </c>
      <c r="N53" s="75">
        <f t="shared" ref="N53:N54" si="31">G53*J53</f>
        <v>2501191.5</v>
      </c>
      <c r="O53" s="75">
        <f t="shared" ref="O53:O54" si="32">G53*K53</f>
        <v>607134</v>
      </c>
      <c r="P53" s="75"/>
      <c r="Q53" s="75">
        <f t="shared" ref="Q53:Q54" si="33">G53*L53</f>
        <v>1544769.5</v>
      </c>
      <c r="R53" s="75"/>
      <c r="S53" s="75"/>
      <c r="T53" s="75">
        <f t="shared" ref="T53" si="34">SUM(N53:Q53)</f>
        <v>4653095</v>
      </c>
      <c r="U53" s="75">
        <f t="shared" ref="U53" si="35">H53*M53</f>
        <v>4653095</v>
      </c>
      <c r="V53" s="75">
        <f t="shared" ref="V53" si="36">I53*M53</f>
        <v>4653095</v>
      </c>
    </row>
    <row r="54" spans="1:22">
      <c r="A54" s="86"/>
      <c r="B54" s="176" t="s">
        <v>28</v>
      </c>
      <c r="C54" s="127" t="s">
        <v>219</v>
      </c>
      <c r="D54" s="86" t="s">
        <v>20</v>
      </c>
      <c r="E54" s="87">
        <f>E53+E52+E51+E50</f>
        <v>114</v>
      </c>
      <c r="F54" s="87">
        <f>F53+F52+F51+F50</f>
        <v>114</v>
      </c>
      <c r="G54" s="87">
        <f>(E54*8+F54*4)/12</f>
        <v>114</v>
      </c>
      <c r="H54" s="87">
        <f>H53+H52+H51+H50</f>
        <v>114</v>
      </c>
      <c r="I54" s="87">
        <f>I53+I52+I51+I50</f>
        <v>114</v>
      </c>
      <c r="J54" s="75" t="s">
        <v>23</v>
      </c>
      <c r="K54" s="75"/>
      <c r="L54" s="162">
        <v>10176.66</v>
      </c>
      <c r="M54" s="75">
        <f t="shared" si="6"/>
        <v>10176.66</v>
      </c>
      <c r="N54" s="75">
        <f t="shared" si="31"/>
        <v>0</v>
      </c>
      <c r="O54" s="75">
        <f t="shared" si="32"/>
        <v>0</v>
      </c>
      <c r="P54" s="75"/>
      <c r="Q54" s="75">
        <f t="shared" si="33"/>
        <v>1160139.24</v>
      </c>
      <c r="R54" s="75"/>
      <c r="S54" s="75"/>
      <c r="T54" s="75">
        <f t="shared" si="1"/>
        <v>1160139.24</v>
      </c>
      <c r="U54" s="75">
        <f t="shared" si="2"/>
        <v>1160139.24</v>
      </c>
      <c r="V54" s="75">
        <f t="shared" si="3"/>
        <v>1160139.24</v>
      </c>
    </row>
    <row r="55" spans="1:22">
      <c r="A55" s="86"/>
      <c r="B55" s="176" t="s">
        <v>28</v>
      </c>
      <c r="C55" s="127" t="s">
        <v>220</v>
      </c>
      <c r="D55" s="86"/>
      <c r="E55" s="87"/>
      <c r="F55" s="87"/>
      <c r="G55" s="87"/>
      <c r="H55" s="87"/>
      <c r="I55" s="87"/>
      <c r="J55" s="75"/>
      <c r="K55" s="75"/>
      <c r="L55" s="162">
        <v>12248.94</v>
      </c>
      <c r="M55" s="75"/>
      <c r="N55" s="75"/>
      <c r="O55" s="75"/>
      <c r="P55" s="75"/>
      <c r="Q55" s="75"/>
      <c r="R55" s="75"/>
      <c r="S55" s="75">
        <f>L55*G54</f>
        <v>1396379.1600000001</v>
      </c>
      <c r="T55" s="75"/>
      <c r="U55" s="75"/>
      <c r="V55" s="75"/>
    </row>
    <row r="56" spans="1:22">
      <c r="A56" s="113" t="s">
        <v>53</v>
      </c>
      <c r="B56" s="94"/>
      <c r="C56" s="94"/>
      <c r="D56" s="94"/>
      <c r="E56" s="92"/>
      <c r="F56" s="92"/>
      <c r="G56" s="92"/>
      <c r="H56" s="92"/>
      <c r="I56" s="92"/>
      <c r="J56" s="78"/>
      <c r="K56" s="78"/>
      <c r="L56" s="161"/>
      <c r="M56" s="78">
        <f t="shared" si="6"/>
        <v>0</v>
      </c>
      <c r="N56" s="78">
        <f>N57+N61</f>
        <v>6619023.6899999995</v>
      </c>
      <c r="O56" s="78">
        <f t="shared" ref="O56:V56" si="37">O57+O61</f>
        <v>1954971.48</v>
      </c>
      <c r="P56" s="78"/>
      <c r="Q56" s="179">
        <f t="shared" si="37"/>
        <v>6612600.0499999998</v>
      </c>
      <c r="R56" s="179"/>
      <c r="S56" s="78">
        <f>S55</f>
        <v>1396379.1600000001</v>
      </c>
      <c r="T56" s="78">
        <f t="shared" si="37"/>
        <v>15186595.220000001</v>
      </c>
      <c r="U56" s="78">
        <f t="shared" si="37"/>
        <v>15186595.219999999</v>
      </c>
      <c r="V56" s="78">
        <f t="shared" si="37"/>
        <v>15186595.219999999</v>
      </c>
    </row>
    <row r="57" spans="1:22" ht="82.8">
      <c r="A57" s="83"/>
      <c r="B57" s="84" t="s">
        <v>76</v>
      </c>
      <c r="C57" s="128"/>
      <c r="D57" s="95"/>
      <c r="E57" s="68"/>
      <c r="F57" s="68"/>
      <c r="G57" s="68"/>
      <c r="H57" s="68"/>
      <c r="I57" s="68"/>
      <c r="J57" s="75"/>
      <c r="K57" s="75"/>
      <c r="L57" s="156"/>
      <c r="M57" s="75">
        <f t="shared" si="6"/>
        <v>0</v>
      </c>
      <c r="N57" s="75">
        <f>SUM(N58:N60)</f>
        <v>6619023.6899999995</v>
      </c>
      <c r="O57" s="75">
        <f t="shared" ref="O57:T57" si="38">SUM(O58:O60)</f>
        <v>1954971.48</v>
      </c>
      <c r="P57" s="75"/>
      <c r="Q57" s="75">
        <f t="shared" si="38"/>
        <v>4974157.79</v>
      </c>
      <c r="R57" s="75"/>
      <c r="S57" s="75"/>
      <c r="T57" s="75">
        <f t="shared" si="38"/>
        <v>13548152.960000001</v>
      </c>
      <c r="U57" s="75">
        <f>SUM(U58:U60)</f>
        <v>13548152.959999999</v>
      </c>
      <c r="V57" s="75">
        <f>SUM(V58:V60)</f>
        <v>13548152.959999999</v>
      </c>
    </row>
    <row r="58" spans="1:22" ht="96.6">
      <c r="A58" s="83"/>
      <c r="B58" s="97" t="s">
        <v>19</v>
      </c>
      <c r="C58" s="93" t="s">
        <v>0</v>
      </c>
      <c r="D58" s="112" t="s">
        <v>20</v>
      </c>
      <c r="E58" s="87">
        <v>36</v>
      </c>
      <c r="F58" s="87">
        <v>36</v>
      </c>
      <c r="G58" s="87">
        <f t="shared" ref="G58:G60" si="39">(E58*8+F58*4)/12</f>
        <v>36</v>
      </c>
      <c r="H58" s="87">
        <v>36</v>
      </c>
      <c r="I58" s="87">
        <v>36</v>
      </c>
      <c r="J58" s="75">
        <v>43138.04</v>
      </c>
      <c r="K58" s="75">
        <v>12142.68</v>
      </c>
      <c r="L58" s="156">
        <v>30895.39</v>
      </c>
      <c r="M58" s="75">
        <f t="shared" si="6"/>
        <v>86176.11</v>
      </c>
      <c r="N58" s="75">
        <f>G58*J58</f>
        <v>1552969.44</v>
      </c>
      <c r="O58" s="75">
        <f>G58*K58</f>
        <v>437136.48</v>
      </c>
      <c r="P58" s="75"/>
      <c r="Q58" s="75">
        <f>G58*L58</f>
        <v>1112234.04</v>
      </c>
      <c r="R58" s="75"/>
      <c r="S58" s="75"/>
      <c r="T58" s="75">
        <f t="shared" si="1"/>
        <v>3102339.96</v>
      </c>
      <c r="U58" s="75">
        <f t="shared" si="2"/>
        <v>3102339.96</v>
      </c>
      <c r="V58" s="75">
        <f t="shared" si="3"/>
        <v>3102339.96</v>
      </c>
    </row>
    <row r="59" spans="1:22">
      <c r="A59" s="88"/>
      <c r="B59" s="97" t="s">
        <v>24</v>
      </c>
      <c r="C59" s="97"/>
      <c r="D59" s="86" t="s">
        <v>20</v>
      </c>
      <c r="E59" s="87">
        <v>75</v>
      </c>
      <c r="F59" s="87">
        <v>75</v>
      </c>
      <c r="G59" s="87">
        <f t="shared" si="39"/>
        <v>75</v>
      </c>
      <c r="H59" s="87">
        <v>75</v>
      </c>
      <c r="I59" s="87">
        <v>75</v>
      </c>
      <c r="J59" s="75">
        <v>34198.17</v>
      </c>
      <c r="K59" s="75">
        <v>12142.68</v>
      </c>
      <c r="L59" s="156">
        <v>30895.39</v>
      </c>
      <c r="M59" s="75">
        <f t="shared" si="6"/>
        <v>77236.239999999991</v>
      </c>
      <c r="N59" s="75">
        <f>G59*J59</f>
        <v>2564862.75</v>
      </c>
      <c r="O59" s="75">
        <f t="shared" ref="O59:O61" si="40">G59*K59</f>
        <v>910701</v>
      </c>
      <c r="P59" s="75"/>
      <c r="Q59" s="75">
        <f t="shared" ref="Q59:Q60" si="41">G59*L59</f>
        <v>2317154.25</v>
      </c>
      <c r="R59" s="75"/>
      <c r="S59" s="75"/>
      <c r="T59" s="75">
        <f t="shared" si="1"/>
        <v>5792718</v>
      </c>
      <c r="U59" s="75">
        <f t="shared" si="2"/>
        <v>5792717.9999999991</v>
      </c>
      <c r="V59" s="75">
        <f t="shared" si="3"/>
        <v>5792717.9999999991</v>
      </c>
    </row>
    <row r="60" spans="1:22" ht="110.4">
      <c r="A60" s="88"/>
      <c r="B60" s="97" t="s">
        <v>24</v>
      </c>
      <c r="C60" s="93" t="s">
        <v>162</v>
      </c>
      <c r="D60" s="112" t="s">
        <v>20</v>
      </c>
      <c r="E60" s="87">
        <v>50</v>
      </c>
      <c r="F60" s="87">
        <v>50</v>
      </c>
      <c r="G60" s="87">
        <f t="shared" si="39"/>
        <v>50</v>
      </c>
      <c r="H60" s="87">
        <v>50</v>
      </c>
      <c r="I60" s="87">
        <v>50</v>
      </c>
      <c r="J60" s="75">
        <v>50023.83</v>
      </c>
      <c r="K60" s="75">
        <v>12142.68</v>
      </c>
      <c r="L60" s="156">
        <v>30895.39</v>
      </c>
      <c r="M60" s="75">
        <f t="shared" si="6"/>
        <v>93061.9</v>
      </c>
      <c r="N60" s="75">
        <f>G60*J60</f>
        <v>2501191.5</v>
      </c>
      <c r="O60" s="75">
        <f t="shared" si="40"/>
        <v>607134</v>
      </c>
      <c r="P60" s="75"/>
      <c r="Q60" s="75">
        <f t="shared" si="41"/>
        <v>1544769.5</v>
      </c>
      <c r="R60" s="75"/>
      <c r="S60" s="75"/>
      <c r="T60" s="75">
        <f t="shared" si="1"/>
        <v>4653095</v>
      </c>
      <c r="U60" s="75">
        <f t="shared" si="2"/>
        <v>4653095</v>
      </c>
      <c r="V60" s="75">
        <f t="shared" si="3"/>
        <v>4653095</v>
      </c>
    </row>
    <row r="61" spans="1:22">
      <c r="A61" s="86"/>
      <c r="B61" s="176" t="s">
        <v>28</v>
      </c>
      <c r="C61" s="127" t="s">
        <v>219</v>
      </c>
      <c r="D61" s="86" t="s">
        <v>20</v>
      </c>
      <c r="E61" s="87">
        <f>E60+E59+E58</f>
        <v>161</v>
      </c>
      <c r="F61" s="87">
        <f>F60+F59+F58</f>
        <v>161</v>
      </c>
      <c r="G61" s="87">
        <f t="shared" ref="G61" si="42">(E61*8+F61*4)/12</f>
        <v>161</v>
      </c>
      <c r="H61" s="87">
        <f>H60+H59+H58</f>
        <v>161</v>
      </c>
      <c r="I61" s="87">
        <f>I60+I59+I58</f>
        <v>161</v>
      </c>
      <c r="J61" s="75" t="s">
        <v>23</v>
      </c>
      <c r="K61" s="75"/>
      <c r="L61" s="162">
        <v>10176.66</v>
      </c>
      <c r="M61" s="75">
        <f t="shared" si="6"/>
        <v>10176.66</v>
      </c>
      <c r="N61" s="75">
        <f t="shared" si="14"/>
        <v>0</v>
      </c>
      <c r="O61" s="75">
        <f t="shared" si="40"/>
        <v>0</v>
      </c>
      <c r="P61" s="75"/>
      <c r="Q61" s="75">
        <f>G61*L61</f>
        <v>1638442.26</v>
      </c>
      <c r="R61" s="75"/>
      <c r="S61" s="75"/>
      <c r="T61" s="75">
        <f t="shared" si="1"/>
        <v>1638442.26</v>
      </c>
      <c r="U61" s="75">
        <f t="shared" si="2"/>
        <v>1638442.26</v>
      </c>
      <c r="V61" s="75">
        <f t="shared" si="3"/>
        <v>1638442.26</v>
      </c>
    </row>
    <row r="62" spans="1:22">
      <c r="A62" s="86"/>
      <c r="B62" s="176" t="s">
        <v>28</v>
      </c>
      <c r="C62" s="127" t="s">
        <v>220</v>
      </c>
      <c r="D62" s="86"/>
      <c r="E62" s="87"/>
      <c r="F62" s="87"/>
      <c r="G62" s="87"/>
      <c r="H62" s="87"/>
      <c r="I62" s="87"/>
      <c r="J62" s="75"/>
      <c r="K62" s="75"/>
      <c r="L62" s="162">
        <v>12248.94</v>
      </c>
      <c r="M62" s="75"/>
      <c r="N62" s="75"/>
      <c r="O62" s="75"/>
      <c r="P62" s="75"/>
      <c r="Q62" s="75"/>
      <c r="R62" s="75"/>
      <c r="S62" s="75">
        <f>L62*G61</f>
        <v>1972079.34</v>
      </c>
      <c r="T62" s="75"/>
      <c r="U62" s="75"/>
      <c r="V62" s="75"/>
    </row>
    <row r="63" spans="1:22">
      <c r="A63" s="113" t="s">
        <v>57</v>
      </c>
      <c r="B63" s="94"/>
      <c r="C63" s="94"/>
      <c r="D63" s="94"/>
      <c r="E63" s="92"/>
      <c r="F63" s="92"/>
      <c r="G63" s="92"/>
      <c r="H63" s="92"/>
      <c r="I63" s="92"/>
      <c r="J63" s="78"/>
      <c r="K63" s="78"/>
      <c r="L63" s="161"/>
      <c r="M63" s="78">
        <f t="shared" si="6"/>
        <v>0</v>
      </c>
      <c r="N63" s="78">
        <f t="shared" ref="N63:V63" si="43">N64+N71</f>
        <v>5077661.33</v>
      </c>
      <c r="O63" s="78">
        <f t="shared" si="43"/>
        <v>1384265.52</v>
      </c>
      <c r="P63" s="78"/>
      <c r="Q63" s="179">
        <f t="shared" si="43"/>
        <v>4682213.7</v>
      </c>
      <c r="R63" s="179"/>
      <c r="S63" s="78">
        <f>S62</f>
        <v>1972079.34</v>
      </c>
      <c r="T63" s="78">
        <f t="shared" si="43"/>
        <v>11144140.549999999</v>
      </c>
      <c r="U63" s="78">
        <f t="shared" si="43"/>
        <v>11144140.549999999</v>
      </c>
      <c r="V63" s="78">
        <f t="shared" si="43"/>
        <v>11144140.549999999</v>
      </c>
    </row>
    <row r="64" spans="1:22" ht="82.8">
      <c r="A64" s="83"/>
      <c r="B64" s="84" t="s">
        <v>76</v>
      </c>
      <c r="C64" s="128"/>
      <c r="D64" s="95"/>
      <c r="E64" s="68"/>
      <c r="F64" s="68"/>
      <c r="G64" s="68"/>
      <c r="H64" s="68"/>
      <c r="I64" s="68"/>
      <c r="J64" s="75"/>
      <c r="K64" s="75"/>
      <c r="L64" s="156"/>
      <c r="M64" s="75">
        <f t="shared" si="6"/>
        <v>0</v>
      </c>
      <c r="N64" s="75">
        <f t="shared" ref="N64:V64" si="44">SUM(N65:N70)</f>
        <v>5077661.33</v>
      </c>
      <c r="O64" s="75">
        <f t="shared" si="44"/>
        <v>1384265.52</v>
      </c>
      <c r="P64" s="75"/>
      <c r="Q64" s="75">
        <f t="shared" si="44"/>
        <v>3522074.46</v>
      </c>
      <c r="R64" s="75"/>
      <c r="S64" s="75"/>
      <c r="T64" s="75">
        <f t="shared" si="44"/>
        <v>9984001.3099999987</v>
      </c>
      <c r="U64" s="75">
        <f t="shared" si="44"/>
        <v>9984001.3099999987</v>
      </c>
      <c r="V64" s="75">
        <f t="shared" si="44"/>
        <v>9984001.3099999987</v>
      </c>
    </row>
    <row r="65" spans="1:22" ht="96.6">
      <c r="A65" s="83"/>
      <c r="B65" s="97" t="s">
        <v>19</v>
      </c>
      <c r="C65" s="93" t="s">
        <v>0</v>
      </c>
      <c r="D65" s="112" t="s">
        <v>20</v>
      </c>
      <c r="E65" s="87">
        <v>25</v>
      </c>
      <c r="F65" s="87">
        <v>25</v>
      </c>
      <c r="G65" s="87">
        <f t="shared" ref="G65:G66" si="45">(E65*8+F65*4)/12</f>
        <v>25</v>
      </c>
      <c r="H65" s="87">
        <v>25</v>
      </c>
      <c r="I65" s="87">
        <v>25</v>
      </c>
      <c r="J65" s="75">
        <v>43138.04</v>
      </c>
      <c r="K65" s="75">
        <v>12142.68</v>
      </c>
      <c r="L65" s="156">
        <v>30895.39</v>
      </c>
      <c r="M65" s="75">
        <f t="shared" si="6"/>
        <v>86176.11</v>
      </c>
      <c r="N65" s="75">
        <f t="shared" ref="N65:N71" si="46">G65*J65</f>
        <v>1078451</v>
      </c>
      <c r="O65" s="75">
        <f>G65*K65</f>
        <v>303567</v>
      </c>
      <c r="P65" s="75"/>
      <c r="Q65" s="75">
        <f>G65*L65</f>
        <v>772384.75</v>
      </c>
      <c r="R65" s="75"/>
      <c r="S65" s="75"/>
      <c r="T65" s="75">
        <f t="shared" si="1"/>
        <v>2154402.75</v>
      </c>
      <c r="U65" s="75">
        <f t="shared" si="2"/>
        <v>2154402.75</v>
      </c>
      <c r="V65" s="75">
        <f t="shared" si="3"/>
        <v>2154402.75</v>
      </c>
    </row>
    <row r="66" spans="1:22">
      <c r="A66" s="88"/>
      <c r="B66" s="97" t="s">
        <v>24</v>
      </c>
      <c r="C66" s="97"/>
      <c r="D66" s="86" t="s">
        <v>20</v>
      </c>
      <c r="E66" s="87">
        <v>39</v>
      </c>
      <c r="F66" s="87">
        <v>39</v>
      </c>
      <c r="G66" s="87">
        <f t="shared" si="45"/>
        <v>39</v>
      </c>
      <c r="H66" s="87">
        <v>39</v>
      </c>
      <c r="I66" s="87">
        <v>39</v>
      </c>
      <c r="J66" s="75">
        <v>34198.17</v>
      </c>
      <c r="K66" s="75">
        <v>12142.68</v>
      </c>
      <c r="L66" s="156">
        <v>30895.39</v>
      </c>
      <c r="M66" s="75">
        <f t="shared" si="6"/>
        <v>77236.239999999991</v>
      </c>
      <c r="N66" s="75">
        <f t="shared" si="46"/>
        <v>1333728.6299999999</v>
      </c>
      <c r="O66" s="75">
        <f t="shared" ref="O66:O71" si="47">G66*K66</f>
        <v>473564.52</v>
      </c>
      <c r="P66" s="75"/>
      <c r="Q66" s="75">
        <f t="shared" ref="Q66" si="48">G66*L66</f>
        <v>1204920.21</v>
      </c>
      <c r="R66" s="75"/>
      <c r="S66" s="75"/>
      <c r="T66" s="75">
        <f t="shared" si="1"/>
        <v>3012213.36</v>
      </c>
      <c r="U66" s="75">
        <f t="shared" si="2"/>
        <v>3012213.3599999994</v>
      </c>
      <c r="V66" s="75">
        <f t="shared" si="3"/>
        <v>3012213.3599999994</v>
      </c>
    </row>
    <row r="67" spans="1:22" ht="110.4">
      <c r="A67" s="83"/>
      <c r="B67" s="97" t="s">
        <v>24</v>
      </c>
      <c r="C67" s="93" t="s">
        <v>162</v>
      </c>
      <c r="D67" s="112" t="s">
        <v>20</v>
      </c>
      <c r="E67" s="87">
        <v>50</v>
      </c>
      <c r="F67" s="87">
        <v>50</v>
      </c>
      <c r="G67" s="87">
        <f>(E67*8+F67*4)/12</f>
        <v>50</v>
      </c>
      <c r="H67" s="87">
        <v>50</v>
      </c>
      <c r="I67" s="87">
        <v>50</v>
      </c>
      <c r="J67" s="75">
        <v>50023.83</v>
      </c>
      <c r="K67" s="75">
        <v>12142.68</v>
      </c>
      <c r="L67" s="156">
        <v>30895.39</v>
      </c>
      <c r="M67" s="75">
        <f t="shared" ref="M67" si="49">J67+K67+L67</f>
        <v>93061.9</v>
      </c>
      <c r="N67" s="75">
        <f>G67*J67</f>
        <v>2501191.5</v>
      </c>
      <c r="O67" s="75">
        <f>G67*K67</f>
        <v>607134</v>
      </c>
      <c r="P67" s="75"/>
      <c r="Q67" s="75">
        <f>G67*L67</f>
        <v>1544769.5</v>
      </c>
      <c r="R67" s="75"/>
      <c r="S67" s="75"/>
      <c r="T67" s="75">
        <f>SUM(N67:Q67)</f>
        <v>4653095</v>
      </c>
      <c r="U67" s="75">
        <f t="shared" ref="U67" si="50">H67*M67</f>
        <v>4653095</v>
      </c>
      <c r="V67" s="75">
        <f t="shared" ref="V67" si="51">I67*M67</f>
        <v>4653095</v>
      </c>
    </row>
    <row r="68" spans="1:22" ht="56.25" customHeight="1">
      <c r="A68" s="83"/>
      <c r="B68" s="97" t="s">
        <v>180</v>
      </c>
      <c r="C68" s="330" t="s">
        <v>78</v>
      </c>
      <c r="D68" s="332" t="s">
        <v>20</v>
      </c>
      <c r="E68" s="87">
        <v>0</v>
      </c>
      <c r="F68" s="87">
        <v>0</v>
      </c>
      <c r="G68" s="87">
        <f>(E68*8+F68*4)/12</f>
        <v>0</v>
      </c>
      <c r="H68" s="87">
        <v>0</v>
      </c>
      <c r="I68" s="87">
        <v>0</v>
      </c>
      <c r="J68" s="75">
        <v>2073.06</v>
      </c>
      <c r="K68" s="75"/>
      <c r="L68" s="156"/>
      <c r="M68" s="75">
        <f>J68+K68+L68</f>
        <v>2073.06</v>
      </c>
      <c r="N68" s="75">
        <f t="shared" si="46"/>
        <v>0</v>
      </c>
      <c r="O68" s="75">
        <f>G68*K68</f>
        <v>0</v>
      </c>
      <c r="P68" s="75"/>
      <c r="Q68" s="75">
        <f>G68*L68</f>
        <v>0</v>
      </c>
      <c r="R68" s="75"/>
      <c r="S68" s="75"/>
      <c r="T68" s="75">
        <f>SUM(N68:Q68)</f>
        <v>0</v>
      </c>
      <c r="U68" s="75">
        <f>H68*M68</f>
        <v>0</v>
      </c>
      <c r="V68" s="75">
        <f>I68*M68</f>
        <v>0</v>
      </c>
    </row>
    <row r="69" spans="1:22" ht="21" customHeight="1">
      <c r="A69" s="83"/>
      <c r="B69" s="97" t="s">
        <v>181</v>
      </c>
      <c r="C69" s="331"/>
      <c r="D69" s="333"/>
      <c r="E69" s="87">
        <v>39</v>
      </c>
      <c r="F69" s="87">
        <v>39</v>
      </c>
      <c r="G69" s="87">
        <f>(E69*8+F69*4)/12</f>
        <v>39</v>
      </c>
      <c r="H69" s="87">
        <v>39</v>
      </c>
      <c r="I69" s="87">
        <v>39</v>
      </c>
      <c r="J69" s="75">
        <v>1554.8</v>
      </c>
      <c r="K69" s="75"/>
      <c r="L69" s="156"/>
      <c r="M69" s="75">
        <f>J69+K69+L69</f>
        <v>1554.8</v>
      </c>
      <c r="N69" s="75">
        <f>G69*J69</f>
        <v>60637.2</v>
      </c>
      <c r="O69" s="75">
        <f>G69*K69</f>
        <v>0</v>
      </c>
      <c r="P69" s="75"/>
      <c r="Q69" s="75">
        <f>G69*L69</f>
        <v>0</v>
      </c>
      <c r="R69" s="75"/>
      <c r="S69" s="75"/>
      <c r="T69" s="75">
        <f>SUM(N69:Q69)</f>
        <v>60637.2</v>
      </c>
      <c r="U69" s="75">
        <f>H69*M69</f>
        <v>60637.2</v>
      </c>
      <c r="V69" s="75">
        <f>I69*M69</f>
        <v>60637.2</v>
      </c>
    </row>
    <row r="70" spans="1:22" ht="69">
      <c r="A70" s="83"/>
      <c r="B70" s="97" t="s">
        <v>181</v>
      </c>
      <c r="C70" s="139" t="s">
        <v>182</v>
      </c>
      <c r="D70" s="86" t="s">
        <v>20</v>
      </c>
      <c r="E70" s="87">
        <v>50</v>
      </c>
      <c r="F70" s="87">
        <v>50</v>
      </c>
      <c r="G70" s="87">
        <f>(E70*8+F70*4)/12</f>
        <v>50</v>
      </c>
      <c r="H70" s="87">
        <v>50</v>
      </c>
      <c r="I70" s="87">
        <v>50</v>
      </c>
      <c r="J70" s="75">
        <v>2073.06</v>
      </c>
      <c r="K70" s="75"/>
      <c r="L70" s="156"/>
      <c r="M70" s="75">
        <f>J70+K70+L70</f>
        <v>2073.06</v>
      </c>
      <c r="N70" s="75">
        <f t="shared" si="46"/>
        <v>103653</v>
      </c>
      <c r="O70" s="75">
        <f>G70*K70</f>
        <v>0</v>
      </c>
      <c r="P70" s="75"/>
      <c r="Q70" s="75">
        <f>G70*L70</f>
        <v>0</v>
      </c>
      <c r="R70" s="75"/>
      <c r="S70" s="75"/>
      <c r="T70" s="75">
        <f>SUM(N70:Q70)</f>
        <v>103653</v>
      </c>
      <c r="U70" s="75">
        <f>H70*M70</f>
        <v>103653</v>
      </c>
      <c r="V70" s="75">
        <f>I70*M70</f>
        <v>103653</v>
      </c>
    </row>
    <row r="71" spans="1:22">
      <c r="A71" s="86"/>
      <c r="B71" s="176" t="s">
        <v>28</v>
      </c>
      <c r="C71" s="127" t="s">
        <v>219</v>
      </c>
      <c r="D71" s="86" t="s">
        <v>20</v>
      </c>
      <c r="E71" s="87">
        <f>E67+E66+E65</f>
        <v>114</v>
      </c>
      <c r="F71" s="87">
        <f>F67+F66+F65</f>
        <v>114</v>
      </c>
      <c r="G71" s="87">
        <f>(E71*8+F71*4)/12</f>
        <v>114</v>
      </c>
      <c r="H71" s="87">
        <f>H67+H66+H65</f>
        <v>114</v>
      </c>
      <c r="I71" s="87">
        <f>I67+I66+I65</f>
        <v>114</v>
      </c>
      <c r="J71" s="75" t="s">
        <v>23</v>
      </c>
      <c r="K71" s="75"/>
      <c r="L71" s="162">
        <v>10176.66</v>
      </c>
      <c r="M71" s="75">
        <f t="shared" si="6"/>
        <v>10176.66</v>
      </c>
      <c r="N71" s="75">
        <f t="shared" si="46"/>
        <v>0</v>
      </c>
      <c r="O71" s="75">
        <f t="shared" si="47"/>
        <v>0</v>
      </c>
      <c r="P71" s="75"/>
      <c r="Q71" s="75">
        <f>G71*L71</f>
        <v>1160139.24</v>
      </c>
      <c r="R71" s="75"/>
      <c r="S71" s="75"/>
      <c r="T71" s="75">
        <f t="shared" si="1"/>
        <v>1160139.24</v>
      </c>
      <c r="U71" s="75">
        <f t="shared" si="2"/>
        <v>1160139.24</v>
      </c>
      <c r="V71" s="75">
        <f t="shared" si="3"/>
        <v>1160139.24</v>
      </c>
    </row>
    <row r="72" spans="1:22">
      <c r="A72" s="86"/>
      <c r="B72" s="176" t="s">
        <v>28</v>
      </c>
      <c r="C72" s="127" t="s">
        <v>220</v>
      </c>
      <c r="D72" s="86"/>
      <c r="E72" s="87"/>
      <c r="F72" s="87"/>
      <c r="G72" s="87"/>
      <c r="H72" s="87"/>
      <c r="I72" s="87"/>
      <c r="J72" s="75"/>
      <c r="K72" s="75"/>
      <c r="L72" s="162">
        <v>12248.94</v>
      </c>
      <c r="M72" s="75"/>
      <c r="N72" s="75"/>
      <c r="O72" s="75"/>
      <c r="P72" s="75"/>
      <c r="Q72" s="75"/>
      <c r="R72" s="75"/>
      <c r="S72" s="75">
        <f>L72*G71</f>
        <v>1396379.1600000001</v>
      </c>
      <c r="T72" s="75"/>
      <c r="U72" s="75"/>
      <c r="V72" s="75"/>
    </row>
    <row r="73" spans="1:22">
      <c r="A73" s="113" t="s">
        <v>61</v>
      </c>
      <c r="B73" s="94"/>
      <c r="C73" s="94"/>
      <c r="D73" s="94"/>
      <c r="E73" s="92"/>
      <c r="F73" s="92"/>
      <c r="G73" s="92"/>
      <c r="H73" s="92"/>
      <c r="I73" s="92"/>
      <c r="J73" s="78"/>
      <c r="K73" s="78"/>
      <c r="L73" s="78"/>
      <c r="M73" s="78">
        <f t="shared" si="6"/>
        <v>0</v>
      </c>
      <c r="N73" s="78">
        <f t="shared" ref="N73:V73" si="52">N74+N81</f>
        <v>11094680.750000002</v>
      </c>
      <c r="O73" s="78">
        <f t="shared" si="52"/>
        <v>2732103</v>
      </c>
      <c r="P73" s="78"/>
      <c r="Q73" s="179">
        <f t="shared" si="52"/>
        <v>9241211.25</v>
      </c>
      <c r="R73" s="179"/>
      <c r="S73" s="78">
        <f>S72</f>
        <v>1396379.1600000001</v>
      </c>
      <c r="T73" s="78">
        <f t="shared" si="52"/>
        <v>23067995</v>
      </c>
      <c r="U73" s="78">
        <f t="shared" si="52"/>
        <v>23067995</v>
      </c>
      <c r="V73" s="78">
        <f t="shared" si="52"/>
        <v>23067995</v>
      </c>
    </row>
    <row r="74" spans="1:22" ht="82.8">
      <c r="A74" s="83"/>
      <c r="B74" s="84" t="s">
        <v>76</v>
      </c>
      <c r="C74" s="128"/>
      <c r="D74" s="95"/>
      <c r="E74" s="68"/>
      <c r="F74" s="68"/>
      <c r="G74" s="68"/>
      <c r="H74" s="68"/>
      <c r="I74" s="68"/>
      <c r="J74" s="75"/>
      <c r="K74" s="75"/>
      <c r="L74" s="156"/>
      <c r="M74" s="75">
        <f>J74+K74+L74</f>
        <v>0</v>
      </c>
      <c r="N74" s="75">
        <f t="shared" ref="N74:V74" si="53">SUM(N75:N80)</f>
        <v>11094680.750000002</v>
      </c>
      <c r="O74" s="75">
        <f t="shared" si="53"/>
        <v>2732103</v>
      </c>
      <c r="P74" s="75"/>
      <c r="Q74" s="75">
        <f t="shared" si="53"/>
        <v>6951462.75</v>
      </c>
      <c r="R74" s="75"/>
      <c r="S74" s="75"/>
      <c r="T74" s="75">
        <f t="shared" si="53"/>
        <v>20778246.5</v>
      </c>
      <c r="U74" s="75">
        <f t="shared" si="53"/>
        <v>20778246.5</v>
      </c>
      <c r="V74" s="75">
        <f t="shared" si="53"/>
        <v>20778246.5</v>
      </c>
    </row>
    <row r="75" spans="1:22" ht="96.6">
      <c r="A75" s="83"/>
      <c r="B75" s="97" t="s">
        <v>19</v>
      </c>
      <c r="C75" s="93" t="s">
        <v>0</v>
      </c>
      <c r="D75" s="112" t="s">
        <v>20</v>
      </c>
      <c r="E75" s="87">
        <v>70</v>
      </c>
      <c r="F75" s="87">
        <v>70</v>
      </c>
      <c r="G75" s="87">
        <f t="shared" ref="G75:G80" si="54">(E75*8+F75*4)/12</f>
        <v>70</v>
      </c>
      <c r="H75" s="87">
        <v>70</v>
      </c>
      <c r="I75" s="87">
        <v>70</v>
      </c>
      <c r="J75" s="75">
        <v>43138.04</v>
      </c>
      <c r="K75" s="75">
        <v>12142.68</v>
      </c>
      <c r="L75" s="156">
        <v>30895.39</v>
      </c>
      <c r="M75" s="75">
        <f t="shared" si="6"/>
        <v>86176.11</v>
      </c>
      <c r="N75" s="75">
        <f>G75*J75</f>
        <v>3019662.8000000003</v>
      </c>
      <c r="O75" s="75">
        <f>G75*K75</f>
        <v>849987.6</v>
      </c>
      <c r="P75" s="75"/>
      <c r="Q75" s="75">
        <f>G75*L75</f>
        <v>2162677.2999999998</v>
      </c>
      <c r="R75" s="75"/>
      <c r="S75" s="75"/>
      <c r="T75" s="75">
        <f t="shared" si="1"/>
        <v>6032327.7000000002</v>
      </c>
      <c r="U75" s="75">
        <f t="shared" si="2"/>
        <v>6032327.7000000002</v>
      </c>
      <c r="V75" s="75">
        <f t="shared" si="3"/>
        <v>6032327.7000000002</v>
      </c>
    </row>
    <row r="76" spans="1:22">
      <c r="A76" s="88"/>
      <c r="B76" s="97" t="s">
        <v>24</v>
      </c>
      <c r="C76" s="97"/>
      <c r="D76" s="86" t="s">
        <v>20</v>
      </c>
      <c r="E76" s="87">
        <v>0</v>
      </c>
      <c r="F76" s="87">
        <v>0</v>
      </c>
      <c r="G76" s="87">
        <f t="shared" si="54"/>
        <v>0</v>
      </c>
      <c r="H76" s="87">
        <v>0</v>
      </c>
      <c r="I76" s="87">
        <v>0</v>
      </c>
      <c r="J76" s="75">
        <v>34198.17</v>
      </c>
      <c r="K76" s="75">
        <v>12142.68</v>
      </c>
      <c r="L76" s="156">
        <v>30895.39</v>
      </c>
      <c r="M76" s="75">
        <f>J76+K76+L76</f>
        <v>77236.239999999991</v>
      </c>
      <c r="N76" s="75">
        <f>G76*J76</f>
        <v>0</v>
      </c>
      <c r="O76" s="75">
        <f t="shared" ref="O76:O81" si="55">G76*K76</f>
        <v>0</v>
      </c>
      <c r="P76" s="75"/>
      <c r="Q76" s="75">
        <f t="shared" ref="Q76:Q78" si="56">G76*L76</f>
        <v>0</v>
      </c>
      <c r="R76" s="75"/>
      <c r="S76" s="75"/>
      <c r="T76" s="75">
        <f t="shared" si="1"/>
        <v>0</v>
      </c>
      <c r="U76" s="75">
        <f t="shared" si="2"/>
        <v>0</v>
      </c>
      <c r="V76" s="75">
        <f t="shared" si="3"/>
        <v>0</v>
      </c>
    </row>
    <row r="77" spans="1:22" ht="110.4">
      <c r="A77" s="88"/>
      <c r="B77" s="97" t="s">
        <v>24</v>
      </c>
      <c r="C77" s="125" t="s">
        <v>162</v>
      </c>
      <c r="D77" s="112" t="s">
        <v>20</v>
      </c>
      <c r="E77" s="87">
        <v>155</v>
      </c>
      <c r="F77" s="87">
        <v>155</v>
      </c>
      <c r="G77" s="87">
        <f t="shared" si="54"/>
        <v>155</v>
      </c>
      <c r="H77" s="87">
        <v>155</v>
      </c>
      <c r="I77" s="87">
        <v>155</v>
      </c>
      <c r="J77" s="75">
        <v>50023.83</v>
      </c>
      <c r="K77" s="75">
        <v>12142.68</v>
      </c>
      <c r="L77" s="156">
        <v>30895.39</v>
      </c>
      <c r="M77" s="75">
        <f t="shared" si="6"/>
        <v>93061.9</v>
      </c>
      <c r="N77" s="75">
        <f t="shared" ref="N77:N78" si="57">G77*J77</f>
        <v>7753693.6500000004</v>
      </c>
      <c r="O77" s="75">
        <f t="shared" si="55"/>
        <v>1882115.4000000001</v>
      </c>
      <c r="P77" s="75"/>
      <c r="Q77" s="75">
        <f t="shared" si="56"/>
        <v>4788785.45</v>
      </c>
      <c r="R77" s="75"/>
      <c r="S77" s="75"/>
      <c r="T77" s="75">
        <f t="shared" si="1"/>
        <v>14424594.5</v>
      </c>
      <c r="U77" s="75">
        <f t="shared" si="2"/>
        <v>14424594.5</v>
      </c>
      <c r="V77" s="75">
        <f t="shared" si="3"/>
        <v>14424594.5</v>
      </c>
    </row>
    <row r="78" spans="1:22" ht="69">
      <c r="A78" s="83"/>
      <c r="B78" s="97" t="s">
        <v>180</v>
      </c>
      <c r="C78" s="93" t="s">
        <v>78</v>
      </c>
      <c r="D78" s="112" t="s">
        <v>20</v>
      </c>
      <c r="E78" s="87"/>
      <c r="F78" s="87"/>
      <c r="G78" s="87">
        <f t="shared" si="54"/>
        <v>0</v>
      </c>
      <c r="H78" s="87"/>
      <c r="I78" s="87"/>
      <c r="J78" s="75">
        <v>2073.06</v>
      </c>
      <c r="K78" s="75"/>
      <c r="L78" s="156"/>
      <c r="M78" s="75">
        <f t="shared" si="6"/>
        <v>2073.06</v>
      </c>
      <c r="N78" s="75">
        <f t="shared" si="57"/>
        <v>0</v>
      </c>
      <c r="O78" s="75">
        <f t="shared" si="55"/>
        <v>0</v>
      </c>
      <c r="P78" s="75"/>
      <c r="Q78" s="75">
        <f t="shared" si="56"/>
        <v>0</v>
      </c>
      <c r="R78" s="75"/>
      <c r="S78" s="75"/>
      <c r="T78" s="75">
        <f t="shared" si="1"/>
        <v>0</v>
      </c>
      <c r="U78" s="75">
        <f t="shared" si="2"/>
        <v>0</v>
      </c>
      <c r="V78" s="75">
        <f t="shared" si="3"/>
        <v>0</v>
      </c>
    </row>
    <row r="79" spans="1:22">
      <c r="A79" s="83"/>
      <c r="B79" s="97" t="s">
        <v>181</v>
      </c>
      <c r="C79" s="93"/>
      <c r="D79" s="126" t="s">
        <v>20</v>
      </c>
      <c r="E79" s="87"/>
      <c r="F79" s="87"/>
      <c r="G79" s="87">
        <f t="shared" si="54"/>
        <v>0</v>
      </c>
      <c r="H79" s="87"/>
      <c r="I79" s="87"/>
      <c r="J79" s="75">
        <v>1554.8</v>
      </c>
      <c r="K79" s="75"/>
      <c r="L79" s="156"/>
      <c r="M79" s="75">
        <f t="shared" ref="M79:M80" si="58">J79+K79+L79</f>
        <v>1554.8</v>
      </c>
      <c r="N79" s="75">
        <f t="shared" ref="N79:N80" si="59">G79*J79</f>
        <v>0</v>
      </c>
      <c r="O79" s="75">
        <f t="shared" ref="O79:O80" si="60">G79*K79</f>
        <v>0</v>
      </c>
      <c r="P79" s="75"/>
      <c r="Q79" s="75">
        <f t="shared" ref="Q79:Q80" si="61">G79*L79</f>
        <v>0</v>
      </c>
      <c r="R79" s="75"/>
      <c r="S79" s="75"/>
      <c r="T79" s="75">
        <f t="shared" ref="T79:T80" si="62">SUM(N79:Q79)</f>
        <v>0</v>
      </c>
      <c r="U79" s="75">
        <f t="shared" ref="U79:U80" si="63">H79*M79</f>
        <v>0</v>
      </c>
      <c r="V79" s="75">
        <f t="shared" ref="V79:V80" si="64">I79*M79</f>
        <v>0</v>
      </c>
    </row>
    <row r="80" spans="1:22" ht="69">
      <c r="A80" s="83"/>
      <c r="B80" s="97" t="s">
        <v>181</v>
      </c>
      <c r="C80" s="129" t="s">
        <v>182</v>
      </c>
      <c r="D80" s="126" t="s">
        <v>20</v>
      </c>
      <c r="E80" s="87">
        <v>155</v>
      </c>
      <c r="F80" s="87">
        <v>155</v>
      </c>
      <c r="G80" s="87">
        <f t="shared" si="54"/>
        <v>155</v>
      </c>
      <c r="H80" s="87">
        <v>155</v>
      </c>
      <c r="I80" s="87">
        <v>155</v>
      </c>
      <c r="J80" s="75">
        <v>2073.06</v>
      </c>
      <c r="K80" s="75"/>
      <c r="L80" s="156"/>
      <c r="M80" s="75">
        <f t="shared" si="58"/>
        <v>2073.06</v>
      </c>
      <c r="N80" s="75">
        <f t="shared" si="59"/>
        <v>321324.3</v>
      </c>
      <c r="O80" s="75">
        <f t="shared" si="60"/>
        <v>0</v>
      </c>
      <c r="P80" s="75"/>
      <c r="Q80" s="75">
        <f t="shared" si="61"/>
        <v>0</v>
      </c>
      <c r="R80" s="75"/>
      <c r="S80" s="75"/>
      <c r="T80" s="75">
        <f t="shared" si="62"/>
        <v>321324.3</v>
      </c>
      <c r="U80" s="75">
        <f t="shared" si="63"/>
        <v>321324.3</v>
      </c>
      <c r="V80" s="75">
        <f t="shared" si="64"/>
        <v>321324.3</v>
      </c>
    </row>
    <row r="81" spans="1:22">
      <c r="A81" s="86"/>
      <c r="B81" s="176" t="s">
        <v>28</v>
      </c>
      <c r="C81" s="127" t="s">
        <v>219</v>
      </c>
      <c r="D81" s="86" t="s">
        <v>20</v>
      </c>
      <c r="E81" s="87">
        <f>E77+E76+E75</f>
        <v>225</v>
      </c>
      <c r="F81" s="87">
        <f>F77+F76+F75</f>
        <v>225</v>
      </c>
      <c r="G81" s="87">
        <f>(E81*8+F81*4)/12</f>
        <v>225</v>
      </c>
      <c r="H81" s="87">
        <f>H77+H76+H75</f>
        <v>225</v>
      </c>
      <c r="I81" s="87">
        <f>I77+I76+I75</f>
        <v>225</v>
      </c>
      <c r="J81" s="75" t="s">
        <v>23</v>
      </c>
      <c r="K81" s="75"/>
      <c r="L81" s="162">
        <v>10176.66</v>
      </c>
      <c r="M81" s="75">
        <f t="shared" si="6"/>
        <v>10176.66</v>
      </c>
      <c r="N81" s="75">
        <f>G81*J81</f>
        <v>0</v>
      </c>
      <c r="O81" s="75">
        <f t="shared" si="55"/>
        <v>0</v>
      </c>
      <c r="P81" s="75"/>
      <c r="Q81" s="75">
        <f>G81*L81</f>
        <v>2289748.5</v>
      </c>
      <c r="R81" s="75"/>
      <c r="S81" s="75"/>
      <c r="T81" s="75">
        <f t="shared" si="1"/>
        <v>2289748.5</v>
      </c>
      <c r="U81" s="75">
        <f t="shared" si="2"/>
        <v>2289748.5</v>
      </c>
      <c r="V81" s="75">
        <f t="shared" si="3"/>
        <v>2289748.5</v>
      </c>
    </row>
    <row r="82" spans="1:22">
      <c r="A82" s="86"/>
      <c r="B82" s="176" t="s">
        <v>28</v>
      </c>
      <c r="C82" s="127" t="s">
        <v>220</v>
      </c>
      <c r="D82" s="86"/>
      <c r="E82" s="87"/>
      <c r="F82" s="87"/>
      <c r="G82" s="87"/>
      <c r="H82" s="87"/>
      <c r="I82" s="87"/>
      <c r="J82" s="75"/>
      <c r="K82" s="75"/>
      <c r="L82" s="162">
        <v>12248.94</v>
      </c>
      <c r="M82" s="75"/>
      <c r="N82" s="75"/>
      <c r="O82" s="75"/>
      <c r="P82" s="75"/>
      <c r="Q82" s="75"/>
      <c r="R82" s="75"/>
      <c r="S82" s="75">
        <f>L82*G81</f>
        <v>2756011.5</v>
      </c>
      <c r="T82" s="75"/>
      <c r="U82" s="75"/>
      <c r="V82" s="75"/>
    </row>
    <row r="83" spans="1:22">
      <c r="A83" s="113" t="s">
        <v>65</v>
      </c>
      <c r="B83" s="94"/>
      <c r="C83" s="94"/>
      <c r="D83" s="94"/>
      <c r="E83" s="92"/>
      <c r="F83" s="92"/>
      <c r="G83" s="92"/>
      <c r="H83" s="92"/>
      <c r="I83" s="92"/>
      <c r="J83" s="78"/>
      <c r="K83" s="78"/>
      <c r="L83" s="78"/>
      <c r="M83" s="78">
        <f t="shared" si="6"/>
        <v>0</v>
      </c>
      <c r="N83" s="78">
        <f>N84+N88</f>
        <v>6224984.6600000001</v>
      </c>
      <c r="O83" s="78">
        <f t="shared" ref="O83:V83" si="65">O84+O88</f>
        <v>1699975.2000000002</v>
      </c>
      <c r="P83" s="78"/>
      <c r="Q83" s="179">
        <f t="shared" si="65"/>
        <v>5750087</v>
      </c>
      <c r="R83" s="179"/>
      <c r="S83" s="78">
        <f>S82</f>
        <v>2756011.5</v>
      </c>
      <c r="T83" s="78">
        <f t="shared" si="65"/>
        <v>13675046.860000001</v>
      </c>
      <c r="U83" s="78">
        <f t="shared" si="65"/>
        <v>13675046.860000001</v>
      </c>
      <c r="V83" s="78">
        <f t="shared" si="65"/>
        <v>13675046.860000001</v>
      </c>
    </row>
    <row r="84" spans="1:22" ht="82.8">
      <c r="A84" s="83"/>
      <c r="B84" s="84" t="s">
        <v>76</v>
      </c>
      <c r="C84" s="128"/>
      <c r="D84" s="95"/>
      <c r="E84" s="68"/>
      <c r="F84" s="68"/>
      <c r="G84" s="68"/>
      <c r="H84" s="68"/>
      <c r="I84" s="68"/>
      <c r="J84" s="75"/>
      <c r="K84" s="75"/>
      <c r="L84" s="156"/>
      <c r="M84" s="75">
        <f t="shared" si="6"/>
        <v>0</v>
      </c>
      <c r="N84" s="75">
        <f>SUM(N85:N87)</f>
        <v>6224984.6600000001</v>
      </c>
      <c r="O84" s="75">
        <f t="shared" ref="O84:V84" si="66">SUM(O85:O87)</f>
        <v>1699975.2000000002</v>
      </c>
      <c r="P84" s="75"/>
      <c r="Q84" s="75">
        <f t="shared" si="66"/>
        <v>4325354.5999999996</v>
      </c>
      <c r="R84" s="75"/>
      <c r="S84" s="75"/>
      <c r="T84" s="75">
        <f t="shared" si="66"/>
        <v>12250314.460000001</v>
      </c>
      <c r="U84" s="75">
        <f t="shared" si="66"/>
        <v>12250314.460000001</v>
      </c>
      <c r="V84" s="75">
        <f t="shared" si="66"/>
        <v>12250314.460000001</v>
      </c>
    </row>
    <row r="85" spans="1:22" ht="96.6">
      <c r="A85" s="83"/>
      <c r="B85" s="97" t="s">
        <v>19</v>
      </c>
      <c r="C85" s="93" t="s">
        <v>0</v>
      </c>
      <c r="D85" s="86" t="s">
        <v>20</v>
      </c>
      <c r="E85" s="87">
        <v>28</v>
      </c>
      <c r="F85" s="87">
        <v>28</v>
      </c>
      <c r="G85" s="87">
        <f t="shared" ref="G85:G88" si="67">(E85*8+F85*4)/12</f>
        <v>28</v>
      </c>
      <c r="H85" s="87">
        <v>28</v>
      </c>
      <c r="I85" s="87">
        <v>28</v>
      </c>
      <c r="J85" s="75">
        <v>43138.04</v>
      </c>
      <c r="K85" s="75">
        <v>12142.68</v>
      </c>
      <c r="L85" s="156">
        <v>30895.39</v>
      </c>
      <c r="M85" s="75">
        <f t="shared" si="6"/>
        <v>86176.11</v>
      </c>
      <c r="N85" s="75">
        <f>G85*J85</f>
        <v>1207865.1200000001</v>
      </c>
      <c r="O85" s="75">
        <f>G85*K85</f>
        <v>339995.04000000004</v>
      </c>
      <c r="P85" s="75"/>
      <c r="Q85" s="75">
        <f>G85*L85</f>
        <v>865070.91999999993</v>
      </c>
      <c r="R85" s="75"/>
      <c r="S85" s="75"/>
      <c r="T85" s="75">
        <f t="shared" si="1"/>
        <v>2412931.08</v>
      </c>
      <c r="U85" s="75">
        <f t="shared" si="2"/>
        <v>2412931.08</v>
      </c>
      <c r="V85" s="75">
        <f t="shared" si="3"/>
        <v>2412931.08</v>
      </c>
    </row>
    <row r="86" spans="1:22">
      <c r="A86" s="88"/>
      <c r="B86" s="97" t="s">
        <v>24</v>
      </c>
      <c r="C86" s="97"/>
      <c r="D86" s="86" t="s">
        <v>20</v>
      </c>
      <c r="E86" s="87">
        <v>37</v>
      </c>
      <c r="F86" s="87">
        <v>37</v>
      </c>
      <c r="G86" s="87">
        <f t="shared" si="67"/>
        <v>37</v>
      </c>
      <c r="H86" s="87">
        <v>37</v>
      </c>
      <c r="I86" s="87">
        <v>37</v>
      </c>
      <c r="J86" s="75">
        <v>34198.17</v>
      </c>
      <c r="K86" s="75">
        <v>12142.68</v>
      </c>
      <c r="L86" s="156">
        <v>30895.39</v>
      </c>
      <c r="M86" s="75">
        <f t="shared" si="6"/>
        <v>77236.239999999991</v>
      </c>
      <c r="N86" s="75">
        <f t="shared" ref="N86:N88" si="68">G86*J86</f>
        <v>1265332.29</v>
      </c>
      <c r="O86" s="75">
        <f t="shared" ref="O86:O88" si="69">G86*K86</f>
        <v>449279.16000000003</v>
      </c>
      <c r="P86" s="75"/>
      <c r="Q86" s="75">
        <f t="shared" ref="Q86:Q87" si="70">G86*L86</f>
        <v>1143129.43</v>
      </c>
      <c r="R86" s="75"/>
      <c r="S86" s="75"/>
      <c r="T86" s="75">
        <f t="shared" si="1"/>
        <v>2857740.88</v>
      </c>
      <c r="U86" s="75">
        <f t="shared" si="2"/>
        <v>2857740.88</v>
      </c>
      <c r="V86" s="75">
        <f t="shared" si="3"/>
        <v>2857740.88</v>
      </c>
    </row>
    <row r="87" spans="1:22" ht="110.4">
      <c r="A87" s="88"/>
      <c r="B87" s="97" t="s">
        <v>24</v>
      </c>
      <c r="C87" s="125" t="s">
        <v>162</v>
      </c>
      <c r="D87" s="112" t="s">
        <v>20</v>
      </c>
      <c r="E87" s="87">
        <v>75</v>
      </c>
      <c r="F87" s="87">
        <v>75</v>
      </c>
      <c r="G87" s="87">
        <f t="shared" si="67"/>
        <v>75</v>
      </c>
      <c r="H87" s="87">
        <v>75</v>
      </c>
      <c r="I87" s="87">
        <v>75</v>
      </c>
      <c r="J87" s="75">
        <v>50023.83</v>
      </c>
      <c r="K87" s="75">
        <v>12142.68</v>
      </c>
      <c r="L87" s="156">
        <v>30895.39</v>
      </c>
      <c r="M87" s="75">
        <f t="shared" ref="M87" si="71">J87+K87+L87</f>
        <v>93061.9</v>
      </c>
      <c r="N87" s="75">
        <f t="shared" si="68"/>
        <v>3751787.25</v>
      </c>
      <c r="O87" s="75">
        <f t="shared" si="69"/>
        <v>910701</v>
      </c>
      <c r="P87" s="75"/>
      <c r="Q87" s="75">
        <f t="shared" si="70"/>
        <v>2317154.25</v>
      </c>
      <c r="R87" s="75"/>
      <c r="S87" s="75"/>
      <c r="T87" s="75">
        <f t="shared" ref="T87" si="72">SUM(N87:Q87)</f>
        <v>6979642.5</v>
      </c>
      <c r="U87" s="75">
        <f t="shared" ref="U87" si="73">H87*M87</f>
        <v>6979642.5</v>
      </c>
      <c r="V87" s="75">
        <f t="shared" ref="V87" si="74">I87*M87</f>
        <v>6979642.5</v>
      </c>
    </row>
    <row r="88" spans="1:22">
      <c r="A88" s="86"/>
      <c r="B88" s="176" t="s">
        <v>28</v>
      </c>
      <c r="C88" s="127" t="s">
        <v>219</v>
      </c>
      <c r="D88" s="86" t="s">
        <v>20</v>
      </c>
      <c r="E88" s="87">
        <f>E87+E86+E85</f>
        <v>140</v>
      </c>
      <c r="F88" s="87">
        <f>F87+F86+F85</f>
        <v>140</v>
      </c>
      <c r="G88" s="87">
        <f t="shared" si="67"/>
        <v>140</v>
      </c>
      <c r="H88" s="87">
        <f>H87+H86+H85</f>
        <v>140</v>
      </c>
      <c r="I88" s="87">
        <f>I87+I86+I85</f>
        <v>140</v>
      </c>
      <c r="J88" s="75" t="s">
        <v>23</v>
      </c>
      <c r="K88" s="75"/>
      <c r="L88" s="162">
        <v>10176.66</v>
      </c>
      <c r="M88" s="75">
        <f t="shared" si="6"/>
        <v>10176.66</v>
      </c>
      <c r="N88" s="75">
        <f t="shared" si="68"/>
        <v>0</v>
      </c>
      <c r="O88" s="75">
        <f t="shared" si="69"/>
        <v>0</v>
      </c>
      <c r="P88" s="75"/>
      <c r="Q88" s="75">
        <f>G88*L88</f>
        <v>1424732.4</v>
      </c>
      <c r="R88" s="75"/>
      <c r="S88" s="75"/>
      <c r="T88" s="75">
        <f t="shared" si="1"/>
        <v>1424732.4</v>
      </c>
      <c r="U88" s="75">
        <f t="shared" si="2"/>
        <v>1424732.4</v>
      </c>
      <c r="V88" s="75">
        <f t="shared" si="3"/>
        <v>1424732.4</v>
      </c>
    </row>
    <row r="89" spans="1:22">
      <c r="A89" s="86"/>
      <c r="B89" s="176" t="s">
        <v>28</v>
      </c>
      <c r="C89" s="127" t="s">
        <v>220</v>
      </c>
      <c r="D89" s="86"/>
      <c r="E89" s="87"/>
      <c r="F89" s="87"/>
      <c r="G89" s="87"/>
      <c r="H89" s="87"/>
      <c r="I89" s="87"/>
      <c r="J89" s="75"/>
      <c r="K89" s="75"/>
      <c r="L89" s="162">
        <v>12248.94</v>
      </c>
      <c r="M89" s="75"/>
      <c r="N89" s="75"/>
      <c r="O89" s="75"/>
      <c r="P89" s="75"/>
      <c r="Q89" s="75"/>
      <c r="R89" s="75"/>
      <c r="S89" s="75">
        <f>L89*G88</f>
        <v>1714851.6</v>
      </c>
      <c r="T89" s="75"/>
      <c r="U89" s="75"/>
      <c r="V89" s="75"/>
    </row>
    <row r="90" spans="1:22">
      <c r="A90" s="113" t="s">
        <v>68</v>
      </c>
      <c r="B90" s="94"/>
      <c r="C90" s="94"/>
      <c r="D90" s="94"/>
      <c r="E90" s="92"/>
      <c r="F90" s="92"/>
      <c r="G90" s="92"/>
      <c r="H90" s="92"/>
      <c r="I90" s="92"/>
      <c r="J90" s="78"/>
      <c r="K90" s="78"/>
      <c r="L90" s="78"/>
      <c r="M90" s="78">
        <f t="shared" si="6"/>
        <v>0</v>
      </c>
      <c r="N90" s="78">
        <f>N91+N95</f>
        <v>5861980.0199999996</v>
      </c>
      <c r="O90" s="78">
        <f t="shared" ref="O90:V90" si="75">O91+O95</f>
        <v>1724260.56</v>
      </c>
      <c r="P90" s="78"/>
      <c r="Q90" s="179">
        <f t="shared" si="75"/>
        <v>5832231.0999999996</v>
      </c>
      <c r="R90" s="179"/>
      <c r="S90" s="78">
        <f>S89</f>
        <v>1714851.6</v>
      </c>
      <c r="T90" s="78">
        <f t="shared" si="75"/>
        <v>13418471.680000002</v>
      </c>
      <c r="U90" s="78">
        <f t="shared" si="75"/>
        <v>13418471.68</v>
      </c>
      <c r="V90" s="78">
        <f t="shared" si="75"/>
        <v>13418471.68</v>
      </c>
    </row>
    <row r="91" spans="1:22" ht="82.8">
      <c r="A91" s="83"/>
      <c r="B91" s="84" t="s">
        <v>76</v>
      </c>
      <c r="C91" s="128"/>
      <c r="D91" s="95"/>
      <c r="E91" s="68"/>
      <c r="F91" s="68"/>
      <c r="G91" s="68"/>
      <c r="H91" s="68"/>
      <c r="I91" s="68"/>
      <c r="J91" s="75"/>
      <c r="K91" s="75"/>
      <c r="L91" s="75"/>
      <c r="M91" s="75">
        <f t="shared" si="6"/>
        <v>0</v>
      </c>
      <c r="N91" s="75">
        <f>SUM(N92:N94)</f>
        <v>5861980.0199999996</v>
      </c>
      <c r="O91" s="75">
        <f>SUM(O92:O94)</f>
        <v>1724260.56</v>
      </c>
      <c r="P91" s="75"/>
      <c r="Q91" s="75">
        <f t="shared" ref="Q91:V91" si="76">SUM(Q92:Q94)</f>
        <v>4387145.38</v>
      </c>
      <c r="R91" s="75"/>
      <c r="S91" s="75"/>
      <c r="T91" s="75">
        <f t="shared" si="76"/>
        <v>11973385.960000001</v>
      </c>
      <c r="U91" s="75">
        <f t="shared" si="76"/>
        <v>11973385.959999999</v>
      </c>
      <c r="V91" s="75">
        <f t="shared" si="76"/>
        <v>11973385.959999999</v>
      </c>
    </row>
    <row r="92" spans="1:22" ht="96.6">
      <c r="A92" s="83"/>
      <c r="B92" s="97" t="s">
        <v>19</v>
      </c>
      <c r="C92" s="93" t="s">
        <v>0</v>
      </c>
      <c r="D92" s="112" t="s">
        <v>20</v>
      </c>
      <c r="E92" s="87">
        <v>24</v>
      </c>
      <c r="F92" s="87">
        <v>24</v>
      </c>
      <c r="G92" s="87">
        <f t="shared" ref="G92:G95" si="77">(E92*8+F92*4)/12</f>
        <v>24</v>
      </c>
      <c r="H92" s="87">
        <v>24</v>
      </c>
      <c r="I92" s="87">
        <v>24</v>
      </c>
      <c r="J92" s="75">
        <v>43138.04</v>
      </c>
      <c r="K92" s="75">
        <v>12142.68</v>
      </c>
      <c r="L92" s="156">
        <v>30895.39</v>
      </c>
      <c r="M92" s="75">
        <f t="shared" si="6"/>
        <v>86176.11</v>
      </c>
      <c r="N92" s="75">
        <f>G92*J92</f>
        <v>1035312.96</v>
      </c>
      <c r="O92" s="75">
        <f>G92*K92</f>
        <v>291424.32</v>
      </c>
      <c r="P92" s="75"/>
      <c r="Q92" s="75">
        <f>G92*L92</f>
        <v>741489.36</v>
      </c>
      <c r="R92" s="75"/>
      <c r="S92" s="75"/>
      <c r="T92" s="75">
        <f t="shared" si="1"/>
        <v>2068226.6400000001</v>
      </c>
      <c r="U92" s="75">
        <f t="shared" si="2"/>
        <v>2068226.6400000001</v>
      </c>
      <c r="V92" s="75">
        <f t="shared" si="3"/>
        <v>2068226.6400000001</v>
      </c>
    </row>
    <row r="93" spans="1:22">
      <c r="A93" s="88"/>
      <c r="B93" s="97" t="s">
        <v>24</v>
      </c>
      <c r="C93" s="97"/>
      <c r="D93" s="86" t="s">
        <v>20</v>
      </c>
      <c r="E93" s="87">
        <v>68</v>
      </c>
      <c r="F93" s="87">
        <v>68</v>
      </c>
      <c r="G93" s="87">
        <f t="shared" si="77"/>
        <v>68</v>
      </c>
      <c r="H93" s="87">
        <v>68</v>
      </c>
      <c r="I93" s="87">
        <v>68</v>
      </c>
      <c r="J93" s="75">
        <v>34198.17</v>
      </c>
      <c r="K93" s="75">
        <v>12142.68</v>
      </c>
      <c r="L93" s="156">
        <v>30895.39</v>
      </c>
      <c r="M93" s="75">
        <f t="shared" si="6"/>
        <v>77236.239999999991</v>
      </c>
      <c r="N93" s="75">
        <f t="shared" ref="N93:N95" si="78">G93*J93</f>
        <v>2325475.56</v>
      </c>
      <c r="O93" s="75">
        <f>G93*K93</f>
        <v>825702.24</v>
      </c>
      <c r="P93" s="75"/>
      <c r="Q93" s="75">
        <f t="shared" ref="Q93:Q94" si="79">G93*L93</f>
        <v>2100886.52</v>
      </c>
      <c r="R93" s="75"/>
      <c r="S93" s="75"/>
      <c r="T93" s="75">
        <f t="shared" si="1"/>
        <v>5252064.32</v>
      </c>
      <c r="U93" s="75">
        <f t="shared" si="2"/>
        <v>5252064.3199999994</v>
      </c>
      <c r="V93" s="75">
        <f t="shared" si="3"/>
        <v>5252064.3199999994</v>
      </c>
    </row>
    <row r="94" spans="1:22" ht="110.4">
      <c r="A94" s="88"/>
      <c r="B94" s="97" t="s">
        <v>24</v>
      </c>
      <c r="C94" s="93" t="s">
        <v>162</v>
      </c>
      <c r="D94" s="112" t="s">
        <v>20</v>
      </c>
      <c r="E94" s="87">
        <v>50</v>
      </c>
      <c r="F94" s="87">
        <v>50</v>
      </c>
      <c r="G94" s="87">
        <f t="shared" si="77"/>
        <v>50</v>
      </c>
      <c r="H94" s="87">
        <v>50</v>
      </c>
      <c r="I94" s="87">
        <v>50</v>
      </c>
      <c r="J94" s="75">
        <v>50023.83</v>
      </c>
      <c r="K94" s="75">
        <v>12142.68</v>
      </c>
      <c r="L94" s="156">
        <v>30895.39</v>
      </c>
      <c r="M94" s="75">
        <f t="shared" si="6"/>
        <v>93061.9</v>
      </c>
      <c r="N94" s="75">
        <f t="shared" si="78"/>
        <v>2501191.5</v>
      </c>
      <c r="O94" s="75">
        <f>G94*K94</f>
        <v>607134</v>
      </c>
      <c r="P94" s="75"/>
      <c r="Q94" s="75">
        <f t="shared" si="79"/>
        <v>1544769.5</v>
      </c>
      <c r="R94" s="75"/>
      <c r="S94" s="75"/>
      <c r="T94" s="75">
        <f t="shared" si="1"/>
        <v>4653095</v>
      </c>
      <c r="U94" s="75">
        <f t="shared" si="2"/>
        <v>4653095</v>
      </c>
      <c r="V94" s="75">
        <f t="shared" si="3"/>
        <v>4653095</v>
      </c>
    </row>
    <row r="95" spans="1:22">
      <c r="A95" s="86"/>
      <c r="B95" s="176" t="s">
        <v>28</v>
      </c>
      <c r="C95" s="127" t="s">
        <v>219</v>
      </c>
      <c r="D95" s="86" t="s">
        <v>20</v>
      </c>
      <c r="E95" s="87">
        <f>E94+E93+E92</f>
        <v>142</v>
      </c>
      <c r="F95" s="87">
        <f>F94+F93+F92</f>
        <v>142</v>
      </c>
      <c r="G95" s="87">
        <f t="shared" si="77"/>
        <v>142</v>
      </c>
      <c r="H95" s="87">
        <f>H94+H93+H92</f>
        <v>142</v>
      </c>
      <c r="I95" s="87">
        <f>I94+I93+I92</f>
        <v>142</v>
      </c>
      <c r="J95" s="75" t="s">
        <v>23</v>
      </c>
      <c r="K95" s="75"/>
      <c r="L95" s="162">
        <v>10176.66</v>
      </c>
      <c r="M95" s="75">
        <f t="shared" si="6"/>
        <v>10176.66</v>
      </c>
      <c r="N95" s="75">
        <f t="shared" si="78"/>
        <v>0</v>
      </c>
      <c r="O95" s="75">
        <f t="shared" ref="O95" si="80">G95*K95</f>
        <v>0</v>
      </c>
      <c r="P95" s="75"/>
      <c r="Q95" s="75">
        <f>G95*L95</f>
        <v>1445085.72</v>
      </c>
      <c r="R95" s="75"/>
      <c r="S95" s="75"/>
      <c r="T95" s="75">
        <f t="shared" si="1"/>
        <v>1445085.72</v>
      </c>
      <c r="U95" s="75">
        <f t="shared" si="2"/>
        <v>1445085.72</v>
      </c>
      <c r="V95" s="75">
        <f t="shared" si="3"/>
        <v>1445085.72</v>
      </c>
    </row>
    <row r="96" spans="1:22">
      <c r="A96" s="86"/>
      <c r="B96" s="176" t="s">
        <v>28</v>
      </c>
      <c r="C96" s="127" t="s">
        <v>220</v>
      </c>
      <c r="D96" s="86"/>
      <c r="E96" s="87"/>
      <c r="F96" s="87"/>
      <c r="G96" s="87"/>
      <c r="H96" s="87"/>
      <c r="I96" s="87"/>
      <c r="J96" s="75"/>
      <c r="K96" s="75"/>
      <c r="L96" s="162">
        <v>12248.94</v>
      </c>
      <c r="M96" s="75"/>
      <c r="N96" s="75"/>
      <c r="O96" s="75"/>
      <c r="P96" s="75"/>
      <c r="Q96" s="75"/>
      <c r="R96" s="75"/>
      <c r="S96" s="75">
        <f>L96*G95</f>
        <v>1739349.48</v>
      </c>
      <c r="T96" s="75"/>
      <c r="U96" s="75"/>
      <c r="V96" s="75"/>
    </row>
    <row r="97" spans="1:22" s="96" customFormat="1">
      <c r="A97" s="113" t="s">
        <v>71</v>
      </c>
      <c r="B97" s="94"/>
      <c r="C97" s="94"/>
      <c r="D97" s="94"/>
      <c r="E97" s="92"/>
      <c r="F97" s="92"/>
      <c r="G97" s="92"/>
      <c r="H97" s="92"/>
      <c r="I97" s="92"/>
      <c r="J97" s="78"/>
      <c r="K97" s="78"/>
      <c r="L97" s="78"/>
      <c r="M97" s="78">
        <f t="shared" si="6"/>
        <v>0</v>
      </c>
      <c r="N97" s="78">
        <f>N98+N102</f>
        <v>10839512.129999999</v>
      </c>
      <c r="O97" s="78">
        <f t="shared" ref="O97:V97" si="81">O98+O102</f>
        <v>2974956.6</v>
      </c>
      <c r="P97" s="78"/>
      <c r="Q97" s="179">
        <f t="shared" si="81"/>
        <v>9611389.5999999996</v>
      </c>
      <c r="R97" s="179"/>
      <c r="S97" s="78">
        <f>S96</f>
        <v>1739349.48</v>
      </c>
      <c r="T97" s="78">
        <f t="shared" si="81"/>
        <v>23425858.330000002</v>
      </c>
      <c r="U97" s="78">
        <f t="shared" si="81"/>
        <v>23425867.73</v>
      </c>
      <c r="V97" s="78">
        <f t="shared" si="81"/>
        <v>23425867.73</v>
      </c>
    </row>
    <row r="98" spans="1:22" ht="82.8">
      <c r="A98" s="83"/>
      <c r="B98" s="84" t="s">
        <v>76</v>
      </c>
      <c r="C98" s="128"/>
      <c r="D98" s="95"/>
      <c r="E98" s="68"/>
      <c r="F98" s="68"/>
      <c r="G98" s="68"/>
      <c r="H98" s="68"/>
      <c r="I98" s="68"/>
      <c r="J98" s="75"/>
      <c r="K98" s="75"/>
      <c r="L98" s="75"/>
      <c r="M98" s="75">
        <f t="shared" ref="M98:M102" si="82">J98+K98+L98</f>
        <v>0</v>
      </c>
      <c r="N98" s="75">
        <f>SUM(N99:N101)</f>
        <v>10839512.129999999</v>
      </c>
      <c r="O98" s="75">
        <f t="shared" ref="O98:V98" si="83">SUM(O99:O101)</f>
        <v>2974956.6</v>
      </c>
      <c r="P98" s="75"/>
      <c r="Q98" s="75">
        <f t="shared" si="83"/>
        <v>7075462.7999999998</v>
      </c>
      <c r="R98" s="75"/>
      <c r="S98" s="75"/>
      <c r="T98" s="75">
        <f>SUM(T99:T101)</f>
        <v>20889931.530000001</v>
      </c>
      <c r="U98" s="75">
        <f t="shared" si="83"/>
        <v>20889931.530000001</v>
      </c>
      <c r="V98" s="75">
        <f t="shared" si="83"/>
        <v>20889931.530000001</v>
      </c>
    </row>
    <row r="99" spans="1:22" ht="96.6">
      <c r="A99" s="83"/>
      <c r="B99" s="97" t="s">
        <v>19</v>
      </c>
      <c r="C99" s="93" t="s">
        <v>0</v>
      </c>
      <c r="D99" s="112" t="s">
        <v>20</v>
      </c>
      <c r="E99" s="87">
        <v>54</v>
      </c>
      <c r="F99" s="87">
        <v>54</v>
      </c>
      <c r="G99" s="87">
        <f t="shared" ref="G99:G102" si="84">(E99*8+F99*4)/12</f>
        <v>54</v>
      </c>
      <c r="H99" s="87">
        <v>54</v>
      </c>
      <c r="I99" s="87">
        <v>54</v>
      </c>
      <c r="J99" s="75">
        <v>43138.04</v>
      </c>
      <c r="K99" s="75">
        <v>12142.68</v>
      </c>
      <c r="L99" s="156">
        <v>28879.439999999999</v>
      </c>
      <c r="M99" s="75">
        <f t="shared" si="82"/>
        <v>84160.16</v>
      </c>
      <c r="N99" s="75">
        <f>G99*J99</f>
        <v>2329454.16</v>
      </c>
      <c r="O99" s="75">
        <f>G99*K99</f>
        <v>655704.72</v>
      </c>
      <c r="P99" s="75"/>
      <c r="Q99" s="75">
        <f>G99*L99</f>
        <v>1559489.76</v>
      </c>
      <c r="R99" s="75"/>
      <c r="S99" s="75"/>
      <c r="T99" s="75">
        <f t="shared" ref="T99:T102" si="85">SUM(N99:Q99)</f>
        <v>4544648.6399999997</v>
      </c>
      <c r="U99" s="75">
        <f t="shared" ref="U99:U102" si="86">H99*M99</f>
        <v>4544648.6400000006</v>
      </c>
      <c r="V99" s="75">
        <f t="shared" ref="V99:V102" si="87">I99*M99</f>
        <v>4544648.6400000006</v>
      </c>
    </row>
    <row r="100" spans="1:22">
      <c r="A100" s="88"/>
      <c r="B100" s="97" t="s">
        <v>24</v>
      </c>
      <c r="C100" s="97"/>
      <c r="D100" s="86" t="s">
        <v>20</v>
      </c>
      <c r="E100" s="87">
        <v>66</v>
      </c>
      <c r="F100" s="87">
        <v>66</v>
      </c>
      <c r="G100" s="87">
        <f t="shared" si="84"/>
        <v>66</v>
      </c>
      <c r="H100" s="87">
        <v>66</v>
      </c>
      <c r="I100" s="87">
        <v>66</v>
      </c>
      <c r="J100" s="75">
        <v>34198.17</v>
      </c>
      <c r="K100" s="75">
        <v>12142.68</v>
      </c>
      <c r="L100" s="156">
        <v>28879.439999999999</v>
      </c>
      <c r="M100" s="75">
        <f t="shared" si="82"/>
        <v>75220.289999999994</v>
      </c>
      <c r="N100" s="75">
        <f t="shared" ref="N100:N102" si="88">G100*J100</f>
        <v>2257079.2199999997</v>
      </c>
      <c r="O100" s="75">
        <f t="shared" ref="O100:O102" si="89">G100*K100</f>
        <v>801416.88</v>
      </c>
      <c r="P100" s="75"/>
      <c r="Q100" s="75">
        <f t="shared" ref="Q100:Q101" si="90">G100*L100</f>
        <v>1906043.0399999998</v>
      </c>
      <c r="R100" s="75"/>
      <c r="S100" s="75"/>
      <c r="T100" s="75">
        <f t="shared" si="85"/>
        <v>4964539.1399999997</v>
      </c>
      <c r="U100" s="75">
        <f t="shared" si="86"/>
        <v>4964539.1399999997</v>
      </c>
      <c r="V100" s="75">
        <f t="shared" si="87"/>
        <v>4964539.1399999997</v>
      </c>
    </row>
    <row r="101" spans="1:22" ht="110.4">
      <c r="A101" s="88"/>
      <c r="B101" s="97" t="s">
        <v>24</v>
      </c>
      <c r="C101" s="93" t="s">
        <v>162</v>
      </c>
      <c r="D101" s="112" t="s">
        <v>20</v>
      </c>
      <c r="E101" s="87">
        <v>125</v>
      </c>
      <c r="F101" s="87">
        <v>125</v>
      </c>
      <c r="G101" s="87">
        <f t="shared" si="84"/>
        <v>125</v>
      </c>
      <c r="H101" s="87">
        <v>125</v>
      </c>
      <c r="I101" s="87">
        <v>125</v>
      </c>
      <c r="J101" s="75">
        <v>50023.83</v>
      </c>
      <c r="K101" s="75">
        <v>12142.68</v>
      </c>
      <c r="L101" s="156">
        <v>28879.439999999999</v>
      </c>
      <c r="M101" s="75">
        <f t="shared" si="82"/>
        <v>91045.95</v>
      </c>
      <c r="N101" s="75">
        <f t="shared" si="88"/>
        <v>6252978.75</v>
      </c>
      <c r="O101" s="75">
        <f t="shared" si="89"/>
        <v>1517835</v>
      </c>
      <c r="P101" s="75"/>
      <c r="Q101" s="75">
        <f t="shared" si="90"/>
        <v>3609930</v>
      </c>
      <c r="R101" s="75"/>
      <c r="S101" s="75"/>
      <c r="T101" s="75">
        <f t="shared" si="85"/>
        <v>11380743.75</v>
      </c>
      <c r="U101" s="75">
        <f t="shared" si="86"/>
        <v>11380743.75</v>
      </c>
      <c r="V101" s="75">
        <f t="shared" si="87"/>
        <v>11380743.75</v>
      </c>
    </row>
    <row r="102" spans="1:22">
      <c r="A102" s="86"/>
      <c r="B102" s="176" t="s">
        <v>28</v>
      </c>
      <c r="C102" s="127" t="s">
        <v>219</v>
      </c>
      <c r="D102" s="86" t="s">
        <v>20</v>
      </c>
      <c r="E102" s="87">
        <f>E101+E100+E99</f>
        <v>245</v>
      </c>
      <c r="F102" s="87">
        <f>F101+F100+F99</f>
        <v>245</v>
      </c>
      <c r="G102" s="87">
        <f t="shared" si="84"/>
        <v>245</v>
      </c>
      <c r="H102" s="87">
        <f>H101+H100+H99</f>
        <v>245</v>
      </c>
      <c r="I102" s="87">
        <f>I101+I100+I99</f>
        <v>245</v>
      </c>
      <c r="J102" s="75" t="s">
        <v>23</v>
      </c>
      <c r="K102" s="75"/>
      <c r="L102" s="162">
        <v>10350.76</v>
      </c>
      <c r="M102" s="75">
        <f t="shared" si="82"/>
        <v>10350.76</v>
      </c>
      <c r="N102" s="75">
        <f t="shared" si="88"/>
        <v>0</v>
      </c>
      <c r="O102" s="75">
        <f t="shared" si="89"/>
        <v>0</v>
      </c>
      <c r="P102" s="75"/>
      <c r="Q102" s="75">
        <f>G102*L102-9.4</f>
        <v>2535926.8000000003</v>
      </c>
      <c r="R102" s="75"/>
      <c r="S102" s="75"/>
      <c r="T102" s="75">
        <f t="shared" si="85"/>
        <v>2535926.8000000003</v>
      </c>
      <c r="U102" s="75">
        <f t="shared" si="86"/>
        <v>2535936.2000000002</v>
      </c>
      <c r="V102" s="75">
        <f t="shared" si="87"/>
        <v>2535936.2000000002</v>
      </c>
    </row>
    <row r="103" spans="1:22">
      <c r="A103" s="86"/>
      <c r="B103" s="176" t="s">
        <v>28</v>
      </c>
      <c r="C103" s="127" t="s">
        <v>220</v>
      </c>
      <c r="D103" s="86"/>
      <c r="E103" s="87"/>
      <c r="F103" s="87"/>
      <c r="G103" s="87"/>
      <c r="H103" s="87"/>
      <c r="I103" s="87"/>
      <c r="J103" s="75"/>
      <c r="K103" s="75"/>
      <c r="L103" s="162">
        <v>12248.94</v>
      </c>
      <c r="M103" s="75"/>
      <c r="N103" s="75"/>
      <c r="O103" s="75"/>
      <c r="P103" s="75"/>
      <c r="Q103" s="75"/>
      <c r="R103" s="75"/>
      <c r="S103" s="75">
        <f>L103*G102</f>
        <v>3000990.3000000003</v>
      </c>
      <c r="T103" s="75"/>
      <c r="U103" s="75"/>
      <c r="V103" s="75"/>
    </row>
    <row r="104" spans="1:22">
      <c r="A104" s="322" t="s">
        <v>154</v>
      </c>
      <c r="B104" s="322"/>
      <c r="C104" s="322"/>
      <c r="D104" s="86"/>
      <c r="E104" s="87"/>
      <c r="F104" s="87"/>
      <c r="G104" s="87"/>
      <c r="H104" s="87"/>
      <c r="I104" s="87"/>
      <c r="J104" s="75"/>
      <c r="K104" s="75"/>
      <c r="L104" s="75"/>
      <c r="M104" s="75"/>
      <c r="N104" s="75"/>
      <c r="O104" s="75"/>
      <c r="P104" s="75"/>
      <c r="Q104" s="162">
        <f>Q97+Q90+Q83+Q73+Q63+Q56+Q48+Q40+Q33+Q25+Q20+Q12</f>
        <v>70726600</v>
      </c>
      <c r="R104" s="162"/>
      <c r="S104" s="75"/>
      <c r="T104" s="75"/>
      <c r="U104" s="75"/>
      <c r="V104" s="75"/>
    </row>
    <row r="105" spans="1:22" ht="27.6">
      <c r="A105" s="326" t="s">
        <v>3</v>
      </c>
      <c r="B105" s="326" t="s">
        <v>86</v>
      </c>
      <c r="C105" s="114" t="s">
        <v>87</v>
      </c>
      <c r="D105" s="326" t="s">
        <v>4</v>
      </c>
      <c r="E105" s="327" t="s">
        <v>5</v>
      </c>
      <c r="F105" s="327"/>
      <c r="G105" s="327"/>
      <c r="H105" s="327"/>
      <c r="I105" s="327"/>
      <c r="J105" s="315" t="s">
        <v>6</v>
      </c>
      <c r="K105" s="315"/>
      <c r="L105" s="315"/>
      <c r="M105" s="315"/>
      <c r="N105" s="315" t="s">
        <v>7</v>
      </c>
      <c r="O105" s="315"/>
      <c r="P105" s="315"/>
      <c r="Q105" s="315"/>
      <c r="R105" s="315"/>
      <c r="S105" s="315"/>
      <c r="T105" s="315"/>
      <c r="U105" s="315"/>
      <c r="V105" s="315"/>
    </row>
    <row r="106" spans="1:22" ht="110.4">
      <c r="A106" s="326"/>
      <c r="B106" s="326"/>
      <c r="C106" s="114"/>
      <c r="D106" s="326"/>
      <c r="E106" s="155" t="s">
        <v>176</v>
      </c>
      <c r="F106" s="155" t="s">
        <v>208</v>
      </c>
      <c r="G106" s="158" t="s">
        <v>212</v>
      </c>
      <c r="H106" s="155" t="s">
        <v>183</v>
      </c>
      <c r="I106" s="155" t="s">
        <v>205</v>
      </c>
      <c r="J106" s="141" t="s">
        <v>88</v>
      </c>
      <c r="K106" s="141" t="s">
        <v>89</v>
      </c>
      <c r="L106" s="141" t="s">
        <v>90</v>
      </c>
      <c r="M106" s="141" t="s">
        <v>91</v>
      </c>
      <c r="N106" s="152" t="s">
        <v>209</v>
      </c>
      <c r="O106" s="131" t="s">
        <v>93</v>
      </c>
      <c r="P106" s="177"/>
      <c r="Q106" s="119" t="s">
        <v>94</v>
      </c>
      <c r="R106" s="177"/>
      <c r="S106" s="175"/>
      <c r="T106" s="115" t="s">
        <v>95</v>
      </c>
      <c r="U106" s="152" t="s">
        <v>184</v>
      </c>
      <c r="V106" s="152" t="s">
        <v>210</v>
      </c>
    </row>
    <row r="107" spans="1:22" ht="41.4">
      <c r="A107" s="98" t="s">
        <v>13</v>
      </c>
      <c r="B107" s="98" t="s">
        <v>13</v>
      </c>
      <c r="C107" s="98"/>
      <c r="D107" s="98" t="s">
        <v>15</v>
      </c>
      <c r="E107" s="99" t="s">
        <v>16</v>
      </c>
      <c r="F107" s="99" t="s">
        <v>16</v>
      </c>
      <c r="G107" s="99"/>
      <c r="H107" s="99" t="s">
        <v>16</v>
      </c>
      <c r="I107" s="99" t="s">
        <v>16</v>
      </c>
      <c r="J107" s="141" t="s">
        <v>17</v>
      </c>
      <c r="K107" s="141" t="s">
        <v>17</v>
      </c>
      <c r="L107" s="141" t="s">
        <v>17</v>
      </c>
      <c r="M107" s="141" t="s">
        <v>17</v>
      </c>
      <c r="N107" s="140" t="s">
        <v>17</v>
      </c>
      <c r="O107" s="131" t="s">
        <v>17</v>
      </c>
      <c r="P107" s="177"/>
      <c r="Q107" s="119" t="s">
        <v>17</v>
      </c>
      <c r="R107" s="177"/>
      <c r="S107" s="175"/>
      <c r="T107" s="115" t="s">
        <v>17</v>
      </c>
      <c r="U107" s="111" t="s">
        <v>17</v>
      </c>
      <c r="V107" s="111" t="s">
        <v>17</v>
      </c>
    </row>
    <row r="108" spans="1:22" ht="82.8">
      <c r="A108" s="310" t="s">
        <v>98</v>
      </c>
      <c r="B108" s="312" t="s">
        <v>99</v>
      </c>
      <c r="C108" s="61" t="s">
        <v>100</v>
      </c>
      <c r="D108" s="62" t="s">
        <v>101</v>
      </c>
      <c r="E108" s="59">
        <v>268</v>
      </c>
      <c r="F108" s="59">
        <v>268</v>
      </c>
      <c r="G108" s="59">
        <f>((E108*8)+(F108*4))/12</f>
        <v>268</v>
      </c>
      <c r="H108" s="59">
        <v>268</v>
      </c>
      <c r="I108" s="59">
        <v>268</v>
      </c>
      <c r="J108" s="107">
        <f>SUM(K108:M108)</f>
        <v>40097.97</v>
      </c>
      <c r="K108" s="147">
        <f>23119.12+1351.63</f>
        <v>24470.75</v>
      </c>
      <c r="L108" s="70">
        <v>4001.99</v>
      </c>
      <c r="M108" s="163">
        <v>11625.23</v>
      </c>
      <c r="N108" s="71">
        <f>SUM(O108:T108)</f>
        <v>10746255.960000001</v>
      </c>
      <c r="O108" s="146">
        <f>G108*K108</f>
        <v>6558161</v>
      </c>
      <c r="P108" s="146"/>
      <c r="Q108" s="71">
        <f>G108*L108</f>
        <v>1072533.3199999998</v>
      </c>
      <c r="R108" s="71"/>
      <c r="S108" s="71"/>
      <c r="T108" s="156">
        <f>G108*M108</f>
        <v>3115561.6399999997</v>
      </c>
      <c r="U108" s="75">
        <f>H108*J108</f>
        <v>10746255.960000001</v>
      </c>
      <c r="V108" s="75">
        <f>I108*J108</f>
        <v>10746255.960000001</v>
      </c>
    </row>
    <row r="109" spans="1:22" ht="120.75" customHeight="1">
      <c r="A109" s="310"/>
      <c r="B109" s="313"/>
      <c r="C109" s="63" t="s">
        <v>163</v>
      </c>
      <c r="D109" s="64" t="s">
        <v>101</v>
      </c>
      <c r="E109" s="59" t="s">
        <v>104</v>
      </c>
      <c r="F109" s="59" t="s">
        <v>104</v>
      </c>
      <c r="G109" s="59"/>
      <c r="H109" s="59" t="s">
        <v>104</v>
      </c>
      <c r="I109" s="59" t="s">
        <v>104</v>
      </c>
      <c r="J109" s="59" t="s">
        <v>104</v>
      </c>
      <c r="K109" s="59" t="s">
        <v>104</v>
      </c>
      <c r="L109" s="72" t="s">
        <v>104</v>
      </c>
      <c r="M109" s="72" t="s">
        <v>104</v>
      </c>
      <c r="N109" s="140"/>
      <c r="O109" s="71"/>
      <c r="P109" s="71"/>
      <c r="Q109" s="72" t="s">
        <v>104</v>
      </c>
      <c r="R109" s="72"/>
      <c r="S109" s="72"/>
      <c r="T109" s="72" t="s">
        <v>104</v>
      </c>
      <c r="U109" s="100"/>
      <c r="V109" s="100"/>
    </row>
    <row r="110" spans="1:22">
      <c r="A110" s="310"/>
      <c r="B110" s="313"/>
      <c r="C110" s="63" t="s">
        <v>164</v>
      </c>
      <c r="D110" s="64"/>
      <c r="E110" s="123"/>
      <c r="F110" s="59"/>
      <c r="G110" s="59">
        <f>((E110*8)+(F110*4))/12</f>
        <v>0</v>
      </c>
      <c r="H110" s="123"/>
      <c r="I110" s="123"/>
      <c r="J110" s="71">
        <f>K110</f>
        <v>25589.72</v>
      </c>
      <c r="K110" s="75">
        <v>25589.72</v>
      </c>
      <c r="L110" s="72" t="s">
        <v>104</v>
      </c>
      <c r="M110" s="72" t="s">
        <v>104</v>
      </c>
      <c r="N110" s="140">
        <f>O110</f>
        <v>0</v>
      </c>
      <c r="O110" s="146">
        <f>G110*K110</f>
        <v>0</v>
      </c>
      <c r="P110" s="146"/>
      <c r="Q110" s="72" t="s">
        <v>104</v>
      </c>
      <c r="R110" s="72"/>
      <c r="S110" s="72"/>
      <c r="T110" s="72" t="s">
        <v>104</v>
      </c>
      <c r="U110" s="100">
        <f>H110*K110</f>
        <v>0</v>
      </c>
      <c r="V110" s="100">
        <f>I110*K110</f>
        <v>0</v>
      </c>
    </row>
    <row r="111" spans="1:22">
      <c r="A111" s="310"/>
      <c r="B111" s="313"/>
      <c r="C111" s="15" t="s">
        <v>169</v>
      </c>
      <c r="D111" s="64"/>
      <c r="E111" s="59">
        <v>7</v>
      </c>
      <c r="F111" s="59">
        <v>7</v>
      </c>
      <c r="G111" s="59">
        <f t="shared" ref="G111:G118" si="91">((E111*8)+(F111*4))/12</f>
        <v>7</v>
      </c>
      <c r="H111" s="59">
        <v>7</v>
      </c>
      <c r="I111" s="59">
        <v>7</v>
      </c>
      <c r="J111" s="71">
        <f>K111</f>
        <v>69362.66</v>
      </c>
      <c r="K111" s="71">
        <v>69362.66</v>
      </c>
      <c r="L111" s="72" t="s">
        <v>104</v>
      </c>
      <c r="M111" s="72" t="s">
        <v>104</v>
      </c>
      <c r="N111" s="140">
        <f>O111</f>
        <v>485538.62</v>
      </c>
      <c r="O111" s="146">
        <f t="shared" ref="O111:O117" si="92">G111*K111</f>
        <v>485538.62</v>
      </c>
      <c r="P111" s="146"/>
      <c r="Q111" s="72" t="s">
        <v>104</v>
      </c>
      <c r="R111" s="72"/>
      <c r="S111" s="72"/>
      <c r="T111" s="72" t="s">
        <v>104</v>
      </c>
      <c r="U111" s="100">
        <f>H111*K111</f>
        <v>485538.62</v>
      </c>
      <c r="V111" s="100">
        <f>I111*K111</f>
        <v>485538.62</v>
      </c>
    </row>
    <row r="112" spans="1:22">
      <c r="A112" s="310"/>
      <c r="B112" s="313"/>
      <c r="C112" s="15" t="s">
        <v>165</v>
      </c>
      <c r="D112" s="64"/>
      <c r="E112" s="59">
        <v>4</v>
      </c>
      <c r="F112" s="59">
        <v>4</v>
      </c>
      <c r="G112" s="59">
        <f t="shared" si="91"/>
        <v>4</v>
      </c>
      <c r="H112" s="59">
        <v>4</v>
      </c>
      <c r="I112" s="59">
        <v>4</v>
      </c>
      <c r="J112" s="71">
        <f t="shared" ref="J112:J117" si="93">K112</f>
        <v>92468.25</v>
      </c>
      <c r="K112" s="75">
        <v>92468.25</v>
      </c>
      <c r="L112" s="72" t="s">
        <v>104</v>
      </c>
      <c r="M112" s="72" t="s">
        <v>104</v>
      </c>
      <c r="N112" s="140">
        <f t="shared" ref="N112:N117" si="94">O112</f>
        <v>369873</v>
      </c>
      <c r="O112" s="146">
        <f t="shared" si="92"/>
        <v>369873</v>
      </c>
      <c r="P112" s="146"/>
      <c r="Q112" s="72" t="s">
        <v>104</v>
      </c>
      <c r="R112" s="72"/>
      <c r="S112" s="72"/>
      <c r="T112" s="72" t="s">
        <v>104</v>
      </c>
      <c r="U112" s="100">
        <f t="shared" ref="U112:U117" si="95">H112*K112</f>
        <v>369873</v>
      </c>
      <c r="V112" s="100">
        <f t="shared" ref="V112:V117" si="96">I112*K112</f>
        <v>369873</v>
      </c>
    </row>
    <row r="113" spans="1:25">
      <c r="A113" s="310"/>
      <c r="B113" s="313"/>
      <c r="C113" s="15" t="s">
        <v>166</v>
      </c>
      <c r="D113" s="64"/>
      <c r="E113" s="59">
        <v>17</v>
      </c>
      <c r="F113" s="59">
        <v>17</v>
      </c>
      <c r="G113" s="59">
        <f t="shared" si="91"/>
        <v>17</v>
      </c>
      <c r="H113" s="59">
        <v>17</v>
      </c>
      <c r="I113" s="59">
        <v>17</v>
      </c>
      <c r="J113" s="71">
        <f t="shared" si="93"/>
        <v>66361.320000000007</v>
      </c>
      <c r="K113" s="75">
        <v>66361.320000000007</v>
      </c>
      <c r="L113" s="72" t="s">
        <v>104</v>
      </c>
      <c r="M113" s="72" t="s">
        <v>104</v>
      </c>
      <c r="N113" s="140">
        <f t="shared" si="94"/>
        <v>1128142.4400000002</v>
      </c>
      <c r="O113" s="146">
        <f t="shared" si="92"/>
        <v>1128142.4400000002</v>
      </c>
      <c r="P113" s="146"/>
      <c r="Q113" s="72" t="s">
        <v>104</v>
      </c>
      <c r="R113" s="72"/>
      <c r="S113" s="72"/>
      <c r="T113" s="72" t="s">
        <v>104</v>
      </c>
      <c r="U113" s="100">
        <f t="shared" si="95"/>
        <v>1128142.4400000002</v>
      </c>
      <c r="V113" s="100">
        <f t="shared" si="96"/>
        <v>1128142.4400000002</v>
      </c>
    </row>
    <row r="114" spans="1:25">
      <c r="A114" s="310"/>
      <c r="B114" s="313"/>
      <c r="C114" s="15" t="s">
        <v>167</v>
      </c>
      <c r="D114" s="64"/>
      <c r="E114" s="59">
        <v>1</v>
      </c>
      <c r="F114" s="59">
        <v>1</v>
      </c>
      <c r="G114" s="59">
        <f t="shared" si="91"/>
        <v>1</v>
      </c>
      <c r="H114" s="59">
        <v>1</v>
      </c>
      <c r="I114" s="59">
        <v>1</v>
      </c>
      <c r="J114" s="71">
        <f t="shared" si="93"/>
        <v>174890.83</v>
      </c>
      <c r="K114" s="75">
        <v>174890.83</v>
      </c>
      <c r="L114" s="72" t="s">
        <v>104</v>
      </c>
      <c r="M114" s="72" t="s">
        <v>104</v>
      </c>
      <c r="N114" s="140">
        <f t="shared" si="94"/>
        <v>174890.83</v>
      </c>
      <c r="O114" s="146">
        <f t="shared" si="92"/>
        <v>174890.83</v>
      </c>
      <c r="P114" s="146"/>
      <c r="Q114" s="72" t="s">
        <v>104</v>
      </c>
      <c r="R114" s="72"/>
      <c r="S114" s="72"/>
      <c r="T114" s="72" t="s">
        <v>104</v>
      </c>
      <c r="U114" s="100">
        <f t="shared" si="95"/>
        <v>174890.83</v>
      </c>
      <c r="V114" s="100">
        <f t="shared" si="96"/>
        <v>174890.83</v>
      </c>
    </row>
    <row r="115" spans="1:25">
      <c r="A115" s="310"/>
      <c r="B115" s="313"/>
      <c r="C115" s="15" t="s">
        <v>190</v>
      </c>
      <c r="D115" s="64"/>
      <c r="E115" s="59">
        <v>1</v>
      </c>
      <c r="F115" s="59">
        <v>1</v>
      </c>
      <c r="G115" s="157">
        <f t="shared" si="91"/>
        <v>1</v>
      </c>
      <c r="H115" s="59">
        <v>1</v>
      </c>
      <c r="I115" s="59">
        <v>1</v>
      </c>
      <c r="J115" s="71">
        <f t="shared" si="93"/>
        <v>178794.98</v>
      </c>
      <c r="K115" s="75">
        <v>178794.98</v>
      </c>
      <c r="L115" s="72"/>
      <c r="M115" s="72"/>
      <c r="N115" s="145">
        <f t="shared" si="94"/>
        <v>178794.98</v>
      </c>
      <c r="O115" s="146">
        <f t="shared" si="92"/>
        <v>178794.98</v>
      </c>
      <c r="P115" s="146"/>
      <c r="Q115" s="72" t="s">
        <v>104</v>
      </c>
      <c r="R115" s="72"/>
      <c r="S115" s="72"/>
      <c r="T115" s="72" t="s">
        <v>104</v>
      </c>
      <c r="U115" s="100">
        <f t="shared" si="95"/>
        <v>178794.98</v>
      </c>
      <c r="V115" s="100">
        <f t="shared" si="96"/>
        <v>178794.98</v>
      </c>
    </row>
    <row r="116" spans="1:25">
      <c r="A116" s="310"/>
      <c r="B116" s="313"/>
      <c r="C116" s="15" t="s">
        <v>170</v>
      </c>
      <c r="D116" s="64"/>
      <c r="E116" s="59">
        <v>1</v>
      </c>
      <c r="F116" s="59">
        <v>1</v>
      </c>
      <c r="G116" s="59">
        <f t="shared" si="91"/>
        <v>1</v>
      </c>
      <c r="H116" s="59">
        <v>1</v>
      </c>
      <c r="I116" s="59">
        <v>1</v>
      </c>
      <c r="J116" s="71">
        <f t="shared" si="93"/>
        <v>99648.29</v>
      </c>
      <c r="K116" s="75">
        <v>99648.29</v>
      </c>
      <c r="L116" s="72" t="s">
        <v>104</v>
      </c>
      <c r="M116" s="72" t="s">
        <v>104</v>
      </c>
      <c r="N116" s="140">
        <f t="shared" si="94"/>
        <v>99648.29</v>
      </c>
      <c r="O116" s="146">
        <f t="shared" si="92"/>
        <v>99648.29</v>
      </c>
      <c r="P116" s="146"/>
      <c r="Q116" s="72" t="s">
        <v>104</v>
      </c>
      <c r="R116" s="72"/>
      <c r="S116" s="72"/>
      <c r="T116" s="72" t="s">
        <v>104</v>
      </c>
      <c r="U116" s="100">
        <f t="shared" si="95"/>
        <v>99648.29</v>
      </c>
      <c r="V116" s="100">
        <f t="shared" si="96"/>
        <v>99648.29</v>
      </c>
    </row>
    <row r="117" spans="1:25">
      <c r="A117" s="310"/>
      <c r="B117" s="313"/>
      <c r="C117" s="63" t="s">
        <v>168</v>
      </c>
      <c r="D117" s="64"/>
      <c r="E117" s="59">
        <v>1</v>
      </c>
      <c r="F117" s="59">
        <v>1</v>
      </c>
      <c r="G117" s="157">
        <f t="shared" si="91"/>
        <v>1</v>
      </c>
      <c r="H117" s="59">
        <v>1</v>
      </c>
      <c r="I117" s="59">
        <v>1</v>
      </c>
      <c r="J117" s="71">
        <f t="shared" si="93"/>
        <v>23553.439999999999</v>
      </c>
      <c r="K117" s="75">
        <v>23553.439999999999</v>
      </c>
      <c r="L117" s="72" t="s">
        <v>104</v>
      </c>
      <c r="M117" s="72" t="s">
        <v>104</v>
      </c>
      <c r="N117" s="140">
        <f t="shared" si="94"/>
        <v>23553.439999999999</v>
      </c>
      <c r="O117" s="146">
        <f t="shared" si="92"/>
        <v>23553.439999999999</v>
      </c>
      <c r="P117" s="146"/>
      <c r="Q117" s="72" t="s">
        <v>104</v>
      </c>
      <c r="R117" s="72"/>
      <c r="S117" s="72"/>
      <c r="T117" s="72" t="s">
        <v>104</v>
      </c>
      <c r="U117" s="100">
        <f t="shared" si="95"/>
        <v>23553.439999999999</v>
      </c>
      <c r="V117" s="100">
        <f t="shared" si="96"/>
        <v>23553.439999999999</v>
      </c>
    </row>
    <row r="118" spans="1:25" ht="110.4">
      <c r="A118" s="310"/>
      <c r="B118" s="313"/>
      <c r="C118" s="61" t="s">
        <v>105</v>
      </c>
      <c r="D118" s="64" t="s">
        <v>101</v>
      </c>
      <c r="E118" s="59">
        <v>4</v>
      </c>
      <c r="F118" s="59">
        <v>4</v>
      </c>
      <c r="G118" s="59">
        <f t="shared" si="91"/>
        <v>4</v>
      </c>
      <c r="H118" s="123">
        <v>4</v>
      </c>
      <c r="I118" s="123">
        <v>4</v>
      </c>
      <c r="J118" s="75">
        <f>SUM(K118:M118)</f>
        <v>138391.77000000002</v>
      </c>
      <c r="K118" s="148">
        <f>121412.92+1351.63</f>
        <v>122764.55</v>
      </c>
      <c r="L118" s="72">
        <v>4001.99</v>
      </c>
      <c r="M118" s="163">
        <v>11625.23</v>
      </c>
      <c r="N118" s="71">
        <f>SUM(O118:T118)</f>
        <v>553567.08000000007</v>
      </c>
      <c r="O118" s="146">
        <f>G118*K118</f>
        <v>491058.2</v>
      </c>
      <c r="P118" s="146"/>
      <c r="Q118" s="71">
        <f>G118*L118</f>
        <v>16007.96</v>
      </c>
      <c r="R118" s="71"/>
      <c r="S118" s="71"/>
      <c r="T118" s="156">
        <f>G118*M118</f>
        <v>46500.92</v>
      </c>
      <c r="U118" s="100">
        <f t="shared" ref="U118:U212" si="97">H118*J118</f>
        <v>553567.08000000007</v>
      </c>
      <c r="V118" s="100">
        <f t="shared" ref="V118:V212" si="98">I118*J118</f>
        <v>553567.08000000007</v>
      </c>
    </row>
    <row r="119" spans="1:25">
      <c r="A119" s="310"/>
      <c r="B119" s="314"/>
      <c r="C119" s="66" t="s">
        <v>106</v>
      </c>
      <c r="D119" s="67"/>
      <c r="E119" s="59">
        <f>E108+E118</f>
        <v>272</v>
      </c>
      <c r="F119" s="59">
        <f>F108+F118</f>
        <v>272</v>
      </c>
      <c r="G119" s="59">
        <f>G108+G118</f>
        <v>272</v>
      </c>
      <c r="H119" s="123">
        <f t="shared" ref="H119:I119" si="99">H108+H118</f>
        <v>272</v>
      </c>
      <c r="I119" s="123">
        <f t="shared" si="99"/>
        <v>272</v>
      </c>
      <c r="J119" s="71" t="s">
        <v>104</v>
      </c>
      <c r="K119" s="71" t="s">
        <v>104</v>
      </c>
      <c r="L119" s="71" t="s">
        <v>104</v>
      </c>
      <c r="M119" s="71" t="s">
        <v>104</v>
      </c>
      <c r="N119" s="71">
        <f>SUM(N108:N118)</f>
        <v>13760264.639999999</v>
      </c>
      <c r="O119" s="71">
        <f t="shared" ref="O119:T119" si="100">SUM(O108:O118)</f>
        <v>9509660.7999999989</v>
      </c>
      <c r="P119" s="71"/>
      <c r="Q119" s="71">
        <f t="shared" si="100"/>
        <v>1088541.2799999998</v>
      </c>
      <c r="R119" s="71"/>
      <c r="S119" s="71"/>
      <c r="T119" s="71">
        <f t="shared" si="100"/>
        <v>3162062.5599999996</v>
      </c>
      <c r="U119" s="75">
        <f>SUM(U108:U118)</f>
        <v>13760264.639999999</v>
      </c>
      <c r="V119" s="75">
        <f>SUM(V108:V118)</f>
        <v>13760264.639999999</v>
      </c>
    </row>
    <row r="120" spans="1:25" ht="82.8">
      <c r="A120" s="310"/>
      <c r="B120" s="311" t="s">
        <v>107</v>
      </c>
      <c r="C120" s="61" t="s">
        <v>100</v>
      </c>
      <c r="D120" s="62" t="s">
        <v>101</v>
      </c>
      <c r="E120" s="123">
        <v>226</v>
      </c>
      <c r="F120" s="59">
        <v>226</v>
      </c>
      <c r="G120" s="59">
        <f>((E120*8)+(F120*4))/12</f>
        <v>226</v>
      </c>
      <c r="H120" s="123">
        <v>226</v>
      </c>
      <c r="I120" s="123">
        <v>226</v>
      </c>
      <c r="J120" s="107">
        <f>SUM(K120:M120)</f>
        <v>51622.92</v>
      </c>
      <c r="K120" s="147">
        <f>34346.05+1649.65</f>
        <v>35995.700000000004</v>
      </c>
      <c r="L120" s="70">
        <v>4001.99</v>
      </c>
      <c r="M120" s="163">
        <v>11625.23</v>
      </c>
      <c r="N120" s="71">
        <f>SUM(O120:T120)</f>
        <v>11666779.920000002</v>
      </c>
      <c r="O120" s="146">
        <f>G120*K120</f>
        <v>8135028.2000000011</v>
      </c>
      <c r="P120" s="146"/>
      <c r="Q120" s="73">
        <f>G120*L120</f>
        <v>904449.74</v>
      </c>
      <c r="R120" s="73"/>
      <c r="S120" s="73"/>
      <c r="T120" s="156">
        <f>G120*M120</f>
        <v>2627301.98</v>
      </c>
      <c r="U120" s="75">
        <f t="shared" si="97"/>
        <v>11666779.92</v>
      </c>
      <c r="V120" s="75">
        <f t="shared" si="98"/>
        <v>11666779.92</v>
      </c>
      <c r="Y120" s="85"/>
    </row>
    <row r="121" spans="1:25" ht="111.75" customHeight="1">
      <c r="A121" s="310"/>
      <c r="B121" s="311"/>
      <c r="C121" s="63" t="s">
        <v>102</v>
      </c>
      <c r="D121" s="64" t="s">
        <v>101</v>
      </c>
      <c r="E121" s="59" t="s">
        <v>104</v>
      </c>
      <c r="F121" s="59" t="s">
        <v>104</v>
      </c>
      <c r="G121" s="59" t="s">
        <v>104</v>
      </c>
      <c r="H121" s="59" t="s">
        <v>104</v>
      </c>
      <c r="I121" s="59" t="s">
        <v>104</v>
      </c>
      <c r="J121" s="59" t="s">
        <v>104</v>
      </c>
      <c r="K121" s="59" t="s">
        <v>104</v>
      </c>
      <c r="L121" s="59" t="s">
        <v>104</v>
      </c>
      <c r="M121" s="59" t="s">
        <v>104</v>
      </c>
      <c r="N121" s="71"/>
      <c r="O121" s="71"/>
      <c r="P121" s="71"/>
      <c r="Q121" s="59" t="s">
        <v>104</v>
      </c>
      <c r="R121" s="59"/>
      <c r="S121" s="59"/>
      <c r="T121" s="59" t="s">
        <v>104</v>
      </c>
      <c r="U121" s="75"/>
      <c r="V121" s="75"/>
    </row>
    <row r="122" spans="1:25" ht="20.25" customHeight="1">
      <c r="A122" s="310"/>
      <c r="B122" s="311"/>
      <c r="C122" s="63" t="s">
        <v>165</v>
      </c>
      <c r="D122" s="64" t="s">
        <v>101</v>
      </c>
      <c r="E122" s="60">
        <v>2</v>
      </c>
      <c r="F122" s="60">
        <v>2</v>
      </c>
      <c r="G122" s="59">
        <f>((E122*8)+(F122*4))/12</f>
        <v>2</v>
      </c>
      <c r="H122" s="60">
        <v>2</v>
      </c>
      <c r="I122" s="60">
        <v>2</v>
      </c>
      <c r="J122" s="71">
        <f>K122</f>
        <v>92468.25</v>
      </c>
      <c r="K122" s="75">
        <v>92468.25</v>
      </c>
      <c r="L122" s="59" t="s">
        <v>104</v>
      </c>
      <c r="M122" s="59" t="s">
        <v>104</v>
      </c>
      <c r="N122" s="71">
        <f>O122</f>
        <v>184936.5</v>
      </c>
      <c r="O122" s="146">
        <f>G122*K122</f>
        <v>184936.5</v>
      </c>
      <c r="P122" s="146"/>
      <c r="Q122" s="59" t="s">
        <v>104</v>
      </c>
      <c r="R122" s="59"/>
      <c r="S122" s="59"/>
      <c r="T122" s="59" t="s">
        <v>104</v>
      </c>
      <c r="U122" s="75">
        <f>H122*K122</f>
        <v>184936.5</v>
      </c>
      <c r="V122" s="75">
        <f>I122*K122</f>
        <v>184936.5</v>
      </c>
    </row>
    <row r="123" spans="1:25" ht="21" customHeight="1">
      <c r="A123" s="310"/>
      <c r="B123" s="311"/>
      <c r="C123" s="63" t="s">
        <v>167</v>
      </c>
      <c r="D123" s="64" t="s">
        <v>101</v>
      </c>
      <c r="E123" s="60">
        <v>1</v>
      </c>
      <c r="F123" s="60">
        <v>1</v>
      </c>
      <c r="G123" s="157">
        <f t="shared" ref="G123:G125" si="101">((E123*8)+(F123*4))/12</f>
        <v>1</v>
      </c>
      <c r="H123" s="60">
        <v>1</v>
      </c>
      <c r="I123" s="60">
        <v>1</v>
      </c>
      <c r="J123" s="71">
        <f t="shared" ref="J123:J124" si="102">K123</f>
        <v>266106.15000000002</v>
      </c>
      <c r="K123" s="75">
        <v>266106.15000000002</v>
      </c>
      <c r="L123" s="59" t="s">
        <v>104</v>
      </c>
      <c r="M123" s="59" t="s">
        <v>104</v>
      </c>
      <c r="N123" s="71">
        <f t="shared" ref="N123:N124" si="103">O123</f>
        <v>266106.15000000002</v>
      </c>
      <c r="O123" s="146">
        <f t="shared" ref="O123:O124" si="104">G123*K123</f>
        <v>266106.15000000002</v>
      </c>
      <c r="P123" s="146"/>
      <c r="Q123" s="59" t="s">
        <v>104</v>
      </c>
      <c r="R123" s="59"/>
      <c r="S123" s="59"/>
      <c r="T123" s="59" t="s">
        <v>104</v>
      </c>
      <c r="U123" s="75">
        <f t="shared" ref="U123:U124" si="105">H123*K123</f>
        <v>266106.15000000002</v>
      </c>
      <c r="V123" s="75">
        <f t="shared" ref="V123:V124" si="106">I123*K123</f>
        <v>266106.15000000002</v>
      </c>
    </row>
    <row r="124" spans="1:25" ht="21" customHeight="1">
      <c r="A124" s="310"/>
      <c r="B124" s="311"/>
      <c r="C124" s="63" t="s">
        <v>168</v>
      </c>
      <c r="D124" s="64" t="s">
        <v>101</v>
      </c>
      <c r="E124" s="60">
        <v>3</v>
      </c>
      <c r="F124" s="60">
        <v>3</v>
      </c>
      <c r="G124" s="59">
        <f t="shared" si="101"/>
        <v>3</v>
      </c>
      <c r="H124" s="60">
        <v>3</v>
      </c>
      <c r="I124" s="60">
        <v>3</v>
      </c>
      <c r="J124" s="71">
        <f t="shared" si="102"/>
        <v>23553.439999999999</v>
      </c>
      <c r="K124" s="75">
        <v>23553.439999999999</v>
      </c>
      <c r="L124" s="59" t="s">
        <v>104</v>
      </c>
      <c r="M124" s="59" t="s">
        <v>104</v>
      </c>
      <c r="N124" s="71">
        <f t="shared" si="103"/>
        <v>70660.319999999992</v>
      </c>
      <c r="O124" s="146">
        <f t="shared" si="104"/>
        <v>70660.319999999992</v>
      </c>
      <c r="P124" s="146"/>
      <c r="Q124" s="59" t="s">
        <v>104</v>
      </c>
      <c r="R124" s="59"/>
      <c r="S124" s="59"/>
      <c r="T124" s="59" t="s">
        <v>104</v>
      </c>
      <c r="U124" s="75">
        <f t="shared" si="105"/>
        <v>70660.319999999992</v>
      </c>
      <c r="V124" s="75">
        <f t="shared" si="106"/>
        <v>70660.319999999992</v>
      </c>
    </row>
    <row r="125" spans="1:25" ht="110.4">
      <c r="A125" s="310"/>
      <c r="B125" s="311"/>
      <c r="C125" s="61" t="s">
        <v>105</v>
      </c>
      <c r="D125" s="64" t="s">
        <v>101</v>
      </c>
      <c r="E125" s="60"/>
      <c r="F125" s="60">
        <v>0</v>
      </c>
      <c r="G125" s="59">
        <f t="shared" si="101"/>
        <v>0</v>
      </c>
      <c r="H125" s="122"/>
      <c r="I125" s="122"/>
      <c r="J125" s="71">
        <f>K125</f>
        <v>153057.28</v>
      </c>
      <c r="K125" s="149">
        <f>151407.63+1649.65</f>
        <v>153057.28</v>
      </c>
      <c r="L125" s="70">
        <v>4001.99</v>
      </c>
      <c r="M125" s="163">
        <v>11625.23</v>
      </c>
      <c r="N125" s="71">
        <f>SUM(O125:T125)</f>
        <v>0</v>
      </c>
      <c r="O125" s="146">
        <f>G125*K125</f>
        <v>0</v>
      </c>
      <c r="P125" s="146"/>
      <c r="Q125" s="73">
        <f>G125*L125</f>
        <v>0</v>
      </c>
      <c r="R125" s="73"/>
      <c r="S125" s="73"/>
      <c r="T125" s="156">
        <f>G125*M125</f>
        <v>0</v>
      </c>
      <c r="U125" s="75">
        <f>N125</f>
        <v>0</v>
      </c>
      <c r="V125" s="75">
        <f>U125</f>
        <v>0</v>
      </c>
    </row>
    <row r="126" spans="1:25">
      <c r="A126" s="310"/>
      <c r="B126" s="110"/>
      <c r="C126" s="66" t="s">
        <v>106</v>
      </c>
      <c r="D126" s="64"/>
      <c r="E126" s="60">
        <f>E120+E125</f>
        <v>226</v>
      </c>
      <c r="F126" s="60">
        <f>F120+F125</f>
        <v>226</v>
      </c>
      <c r="G126" s="60">
        <f>G120+G125</f>
        <v>226</v>
      </c>
      <c r="H126" s="122">
        <f t="shared" ref="H126:I126" si="107">H120+H125</f>
        <v>226</v>
      </c>
      <c r="I126" s="122">
        <f t="shared" si="107"/>
        <v>226</v>
      </c>
      <c r="J126" s="59" t="s">
        <v>104</v>
      </c>
      <c r="K126" s="59" t="s">
        <v>104</v>
      </c>
      <c r="L126" s="59" t="s">
        <v>104</v>
      </c>
      <c r="M126" s="59" t="s">
        <v>104</v>
      </c>
      <c r="N126" s="74">
        <f>SUM(N120:N125)</f>
        <v>12188482.890000002</v>
      </c>
      <c r="O126" s="74">
        <f t="shared" ref="O126:V126" si="108">SUM(O120:O125)</f>
        <v>8656731.1700000018</v>
      </c>
      <c r="P126" s="74"/>
      <c r="Q126" s="74">
        <f t="shared" si="108"/>
        <v>904449.74</v>
      </c>
      <c r="R126" s="74"/>
      <c r="S126" s="74"/>
      <c r="T126" s="74">
        <f t="shared" si="108"/>
        <v>2627301.98</v>
      </c>
      <c r="U126" s="74">
        <f t="shared" si="108"/>
        <v>12188482.890000001</v>
      </c>
      <c r="V126" s="74">
        <f t="shared" si="108"/>
        <v>12188482.890000001</v>
      </c>
    </row>
    <row r="127" spans="1:25" ht="82.8">
      <c r="A127" s="310"/>
      <c r="B127" s="311" t="s">
        <v>108</v>
      </c>
      <c r="C127" s="61" t="s">
        <v>100</v>
      </c>
      <c r="D127" s="62" t="s">
        <v>101</v>
      </c>
      <c r="E127" s="122">
        <v>50</v>
      </c>
      <c r="F127" s="60">
        <v>50</v>
      </c>
      <c r="G127" s="59">
        <f>((E127*8)+(F127*4))/12</f>
        <v>50</v>
      </c>
      <c r="H127" s="122">
        <v>50</v>
      </c>
      <c r="I127" s="122">
        <v>50</v>
      </c>
      <c r="J127" s="107">
        <f>SUM(K127:M127)</f>
        <v>58731.119999999995</v>
      </c>
      <c r="K127" s="147">
        <f>41105.12+1998.78</f>
        <v>43103.9</v>
      </c>
      <c r="L127" s="70">
        <v>4001.99</v>
      </c>
      <c r="M127" s="163">
        <v>11625.23</v>
      </c>
      <c r="N127" s="73">
        <f>SUM(O127:T127)</f>
        <v>2936556</v>
      </c>
      <c r="O127" s="149">
        <f>G127*K127</f>
        <v>2155195</v>
      </c>
      <c r="P127" s="149"/>
      <c r="Q127" s="73">
        <f>G127*L127</f>
        <v>200099.5</v>
      </c>
      <c r="R127" s="73"/>
      <c r="S127" s="73"/>
      <c r="T127" s="156">
        <f>G127*M127</f>
        <v>581261.5</v>
      </c>
      <c r="U127" s="75">
        <f t="shared" si="97"/>
        <v>2936556</v>
      </c>
      <c r="V127" s="75">
        <f t="shared" si="98"/>
        <v>2936556</v>
      </c>
    </row>
    <row r="128" spans="1:25" ht="82.8">
      <c r="A128" s="310"/>
      <c r="B128" s="311"/>
      <c r="C128" s="63" t="s">
        <v>102</v>
      </c>
      <c r="D128" s="64" t="s">
        <v>101</v>
      </c>
      <c r="E128" s="59" t="s">
        <v>104</v>
      </c>
      <c r="F128" s="59" t="s">
        <v>104</v>
      </c>
      <c r="G128" s="59" t="s">
        <v>104</v>
      </c>
      <c r="H128" s="59" t="s">
        <v>104</v>
      </c>
      <c r="I128" s="59" t="s">
        <v>104</v>
      </c>
      <c r="J128" s="59" t="s">
        <v>104</v>
      </c>
      <c r="K128" s="59" t="s">
        <v>104</v>
      </c>
      <c r="L128" s="59" t="s">
        <v>104</v>
      </c>
      <c r="M128" s="59" t="s">
        <v>104</v>
      </c>
      <c r="N128" s="71"/>
      <c r="O128" s="71"/>
      <c r="P128" s="71"/>
      <c r="Q128" s="59" t="s">
        <v>104</v>
      </c>
      <c r="R128" s="59"/>
      <c r="S128" s="59"/>
      <c r="T128" s="59" t="s">
        <v>104</v>
      </c>
      <c r="U128" s="75"/>
      <c r="V128" s="75"/>
    </row>
    <row r="129" spans="1:22">
      <c r="A129" s="310"/>
      <c r="B129" s="311"/>
      <c r="C129" s="63" t="s">
        <v>168</v>
      </c>
      <c r="D129" s="64" t="s">
        <v>101</v>
      </c>
      <c r="E129" s="123"/>
      <c r="F129" s="59"/>
      <c r="G129" s="59">
        <f>((E129*8)+(F129*4))/12</f>
        <v>0</v>
      </c>
      <c r="H129" s="123"/>
      <c r="I129" s="123"/>
      <c r="J129" s="71">
        <f t="shared" ref="J129" si="109">K129</f>
        <v>23553.439999999999</v>
      </c>
      <c r="K129" s="75">
        <v>23553.439999999999</v>
      </c>
      <c r="L129" s="59" t="s">
        <v>104</v>
      </c>
      <c r="M129" s="59" t="s">
        <v>104</v>
      </c>
      <c r="N129" s="71">
        <f t="shared" ref="N129" si="110">O129</f>
        <v>0</v>
      </c>
      <c r="O129" s="146">
        <f>G129*K129</f>
        <v>0</v>
      </c>
      <c r="P129" s="146"/>
      <c r="Q129" s="59" t="s">
        <v>104</v>
      </c>
      <c r="R129" s="59"/>
      <c r="S129" s="59"/>
      <c r="T129" s="59" t="s">
        <v>104</v>
      </c>
      <c r="U129" s="75">
        <f t="shared" ref="U129" si="111">H129*K129</f>
        <v>0</v>
      </c>
      <c r="V129" s="75">
        <f t="shared" ref="V129" si="112">I129*K129</f>
        <v>0</v>
      </c>
    </row>
    <row r="130" spans="1:22" ht="110.4">
      <c r="A130" s="310"/>
      <c r="B130" s="311"/>
      <c r="C130" s="61" t="s">
        <v>105</v>
      </c>
      <c r="D130" s="64" t="s">
        <v>101</v>
      </c>
      <c r="E130" s="60"/>
      <c r="F130" s="60"/>
      <c r="G130" s="60"/>
      <c r="H130" s="60"/>
      <c r="I130" s="60"/>
      <c r="J130" s="73"/>
      <c r="K130" s="73"/>
      <c r="L130" s="74"/>
      <c r="M130" s="73"/>
      <c r="N130" s="73"/>
      <c r="O130" s="73"/>
      <c r="P130" s="73"/>
      <c r="Q130" s="73"/>
      <c r="R130" s="73"/>
      <c r="S130" s="73"/>
      <c r="T130" s="73"/>
      <c r="U130" s="75">
        <f t="shared" si="97"/>
        <v>0</v>
      </c>
      <c r="V130" s="75">
        <f t="shared" si="98"/>
        <v>0</v>
      </c>
    </row>
    <row r="131" spans="1:22">
      <c r="A131" s="310"/>
      <c r="B131" s="110"/>
      <c r="C131" s="66" t="s">
        <v>106</v>
      </c>
      <c r="D131" s="64"/>
      <c r="E131" s="60">
        <f>E127</f>
        <v>50</v>
      </c>
      <c r="F131" s="60">
        <f>F127</f>
        <v>50</v>
      </c>
      <c r="G131" s="59">
        <f t="shared" ref="G131" si="113">((E131*8)+(F131*4))/12</f>
        <v>50</v>
      </c>
      <c r="H131" s="60">
        <f>H127</f>
        <v>50</v>
      </c>
      <c r="I131" s="60">
        <f>I127</f>
        <v>50</v>
      </c>
      <c r="J131" s="73" t="s">
        <v>104</v>
      </c>
      <c r="K131" s="73" t="s">
        <v>104</v>
      </c>
      <c r="L131" s="73" t="s">
        <v>104</v>
      </c>
      <c r="M131" s="73" t="s">
        <v>104</v>
      </c>
      <c r="N131" s="74">
        <f t="shared" ref="N131:V131" si="114">SUM(N127:N130)</f>
        <v>2936556</v>
      </c>
      <c r="O131" s="74">
        <f t="shared" si="114"/>
        <v>2155195</v>
      </c>
      <c r="P131" s="74"/>
      <c r="Q131" s="74">
        <f t="shared" si="114"/>
        <v>200099.5</v>
      </c>
      <c r="R131" s="74"/>
      <c r="S131" s="74"/>
      <c r="T131" s="74">
        <f t="shared" si="114"/>
        <v>581261.5</v>
      </c>
      <c r="U131" s="74">
        <f t="shared" si="114"/>
        <v>2936556</v>
      </c>
      <c r="V131" s="74">
        <f t="shared" si="114"/>
        <v>2936556</v>
      </c>
    </row>
    <row r="132" spans="1:22" ht="96.6">
      <c r="A132" s="310"/>
      <c r="B132" s="137" t="s">
        <v>109</v>
      </c>
      <c r="C132" s="61" t="s">
        <v>187</v>
      </c>
      <c r="D132" s="64" t="s">
        <v>101</v>
      </c>
      <c r="E132" s="122">
        <v>653</v>
      </c>
      <c r="F132" s="60">
        <v>653</v>
      </c>
      <c r="G132" s="59">
        <f>((E132*8)+(F132*4))/12</f>
        <v>653</v>
      </c>
      <c r="H132" s="122">
        <v>653</v>
      </c>
      <c r="I132" s="122">
        <v>653</v>
      </c>
      <c r="J132" s="75">
        <f>K132</f>
        <v>3978.76</v>
      </c>
      <c r="K132" s="75">
        <v>3978.76</v>
      </c>
      <c r="L132" s="73" t="s">
        <v>104</v>
      </c>
      <c r="M132" s="73" t="s">
        <v>104</v>
      </c>
      <c r="N132" s="73">
        <f>SUM(O132:T132)</f>
        <v>2598130.2800000003</v>
      </c>
      <c r="O132" s="73">
        <f>J132*G132</f>
        <v>2598130.2800000003</v>
      </c>
      <c r="P132" s="73"/>
      <c r="Q132" s="73" t="s">
        <v>104</v>
      </c>
      <c r="R132" s="73"/>
      <c r="S132" s="73"/>
      <c r="T132" s="73" t="s">
        <v>104</v>
      </c>
      <c r="U132" s="75">
        <f t="shared" si="97"/>
        <v>2598130.2800000003</v>
      </c>
      <c r="V132" s="75">
        <f t="shared" si="98"/>
        <v>2598130.2800000003</v>
      </c>
    </row>
    <row r="133" spans="1:22">
      <c r="A133" s="310"/>
      <c r="B133" s="69"/>
      <c r="C133" s="66" t="s">
        <v>106</v>
      </c>
      <c r="D133" s="69"/>
      <c r="E133" s="60">
        <f>SUM(E132:E132)</f>
        <v>653</v>
      </c>
      <c r="F133" s="60">
        <f>SUM(F132:F132)</f>
        <v>653</v>
      </c>
      <c r="G133" s="59">
        <f>G132</f>
        <v>653</v>
      </c>
      <c r="H133" s="60">
        <f>SUM(H132:H132)</f>
        <v>653</v>
      </c>
      <c r="I133" s="60">
        <f>SUM(I132:I132)</f>
        <v>653</v>
      </c>
      <c r="J133" s="73" t="s">
        <v>104</v>
      </c>
      <c r="K133" s="73" t="s">
        <v>104</v>
      </c>
      <c r="L133" s="73" t="s">
        <v>104</v>
      </c>
      <c r="M133" s="74">
        <f t="shared" ref="M133:V133" si="115">SUM(M132:M132)</f>
        <v>0</v>
      </c>
      <c r="N133" s="74">
        <f t="shared" si="115"/>
        <v>2598130.2800000003</v>
      </c>
      <c r="O133" s="74">
        <f t="shared" si="115"/>
        <v>2598130.2800000003</v>
      </c>
      <c r="P133" s="74"/>
      <c r="Q133" s="74">
        <f t="shared" si="115"/>
        <v>0</v>
      </c>
      <c r="R133" s="74"/>
      <c r="S133" s="74"/>
      <c r="T133" s="74">
        <f t="shared" si="115"/>
        <v>0</v>
      </c>
      <c r="U133" s="74">
        <f t="shared" si="115"/>
        <v>2598130.2800000003</v>
      </c>
      <c r="V133" s="74">
        <f t="shared" si="115"/>
        <v>2598130.2800000003</v>
      </c>
    </row>
    <row r="134" spans="1:22">
      <c r="A134" s="310"/>
      <c r="B134" s="101" t="s">
        <v>112</v>
      </c>
      <c r="C134" s="101"/>
      <c r="D134" s="69"/>
      <c r="E134" s="102"/>
      <c r="F134" s="102"/>
      <c r="G134" s="102"/>
      <c r="H134" s="102"/>
      <c r="I134" s="102"/>
      <c r="J134" s="104"/>
      <c r="K134" s="104"/>
      <c r="L134" s="103"/>
      <c r="M134" s="103"/>
      <c r="N134" s="103">
        <f>SUM(O134:T134)</f>
        <v>31483433.809999999</v>
      </c>
      <c r="O134" s="103">
        <f>O119+O126+O131+O133</f>
        <v>22919717.25</v>
      </c>
      <c r="P134" s="103"/>
      <c r="Q134" s="103">
        <f>Q119+Q126+Q131+Q133</f>
        <v>2193090.5199999996</v>
      </c>
      <c r="R134" s="103"/>
      <c r="S134" s="103"/>
      <c r="T134" s="103">
        <f>T119+T126+T131+T133</f>
        <v>6370626.0399999991</v>
      </c>
      <c r="U134" s="103">
        <f>U119+U126+U131+U133</f>
        <v>31483433.810000002</v>
      </c>
      <c r="V134" s="103">
        <f>V119+V126+V131+V133</f>
        <v>31483433.810000002</v>
      </c>
    </row>
    <row r="135" spans="1:22" ht="82.8">
      <c r="A135" s="310" t="s">
        <v>113</v>
      </c>
      <c r="B135" s="311" t="s">
        <v>99</v>
      </c>
      <c r="C135" s="61" t="s">
        <v>100</v>
      </c>
      <c r="D135" s="62" t="s">
        <v>101</v>
      </c>
      <c r="E135" s="59">
        <v>261</v>
      </c>
      <c r="F135" s="59">
        <v>261</v>
      </c>
      <c r="G135" s="59">
        <f>((E135*8)+(F135*4))/12</f>
        <v>261</v>
      </c>
      <c r="H135" s="123">
        <v>261</v>
      </c>
      <c r="I135" s="123">
        <v>261</v>
      </c>
      <c r="J135" s="107">
        <f>SUM(K135:M135)</f>
        <v>40097.97</v>
      </c>
      <c r="K135" s="147">
        <f>23119.12+1351.63</f>
        <v>24470.75</v>
      </c>
      <c r="L135" s="70">
        <v>4001.99</v>
      </c>
      <c r="M135" s="163">
        <v>11625.23</v>
      </c>
      <c r="N135" s="71">
        <f>SUM(O135:T135)</f>
        <v>10465570.17</v>
      </c>
      <c r="O135" s="146">
        <f>G135*K135</f>
        <v>6386865.75</v>
      </c>
      <c r="P135" s="146"/>
      <c r="Q135" s="71">
        <f>G135*L135</f>
        <v>1044519.3899999999</v>
      </c>
      <c r="R135" s="71"/>
      <c r="S135" s="71"/>
      <c r="T135" s="156">
        <f>G135*M135</f>
        <v>3034185.03</v>
      </c>
      <c r="U135" s="75">
        <f t="shared" si="97"/>
        <v>10465570.17</v>
      </c>
      <c r="V135" s="75">
        <f t="shared" si="98"/>
        <v>10465570.17</v>
      </c>
    </row>
    <row r="136" spans="1:22" ht="96.6">
      <c r="A136" s="310"/>
      <c r="B136" s="311"/>
      <c r="C136" s="63" t="s">
        <v>163</v>
      </c>
      <c r="D136" s="64" t="s">
        <v>101</v>
      </c>
      <c r="E136" s="59" t="s">
        <v>104</v>
      </c>
      <c r="F136" s="59" t="s">
        <v>104</v>
      </c>
      <c r="G136" s="59" t="s">
        <v>104</v>
      </c>
      <c r="H136" s="123" t="s">
        <v>104</v>
      </c>
      <c r="I136" s="123" t="s">
        <v>104</v>
      </c>
      <c r="J136" s="59" t="s">
        <v>104</v>
      </c>
      <c r="K136" s="59" t="s">
        <v>104</v>
      </c>
      <c r="L136" s="59" t="s">
        <v>104</v>
      </c>
      <c r="M136" s="59" t="s">
        <v>104</v>
      </c>
      <c r="N136" s="71"/>
      <c r="O136" s="71"/>
      <c r="P136" s="71"/>
      <c r="Q136" s="59" t="s">
        <v>104</v>
      </c>
      <c r="R136" s="59"/>
      <c r="S136" s="59"/>
      <c r="T136" s="59" t="s">
        <v>104</v>
      </c>
      <c r="U136" s="75"/>
      <c r="V136" s="75"/>
    </row>
    <row r="137" spans="1:22">
      <c r="A137" s="310"/>
      <c r="B137" s="311"/>
      <c r="C137" s="63" t="s">
        <v>169</v>
      </c>
      <c r="D137" s="64" t="s">
        <v>101</v>
      </c>
      <c r="E137" s="59">
        <v>6</v>
      </c>
      <c r="F137" s="59">
        <v>6</v>
      </c>
      <c r="G137" s="59">
        <f>((E137*8)+(F137*4))/12</f>
        <v>6</v>
      </c>
      <c r="H137" s="59">
        <v>6</v>
      </c>
      <c r="I137" s="59">
        <v>6</v>
      </c>
      <c r="J137" s="75">
        <f t="shared" ref="J137:J141" si="116">K137</f>
        <v>69362.66</v>
      </c>
      <c r="K137" s="71">
        <v>69362.66</v>
      </c>
      <c r="L137" s="59"/>
      <c r="M137" s="59"/>
      <c r="N137" s="71">
        <f t="shared" ref="N137:N141" si="117">O137</f>
        <v>416175.96</v>
      </c>
      <c r="O137" s="146">
        <f t="shared" ref="O137:O142" si="118">G137*K137</f>
        <v>416175.96</v>
      </c>
      <c r="P137" s="146"/>
      <c r="Q137" s="59" t="s">
        <v>104</v>
      </c>
      <c r="R137" s="59"/>
      <c r="S137" s="59"/>
      <c r="T137" s="59" t="s">
        <v>104</v>
      </c>
      <c r="U137" s="75">
        <f t="shared" ref="U137:U141" si="119">H137*K137</f>
        <v>416175.96</v>
      </c>
      <c r="V137" s="75">
        <f t="shared" ref="V137:V141" si="120">I137*K137</f>
        <v>416175.96</v>
      </c>
    </row>
    <row r="138" spans="1:22">
      <c r="A138" s="310"/>
      <c r="B138" s="311"/>
      <c r="C138" s="63" t="s">
        <v>166</v>
      </c>
      <c r="D138" s="64" t="s">
        <v>101</v>
      </c>
      <c r="E138" s="59">
        <v>8</v>
      </c>
      <c r="F138" s="59">
        <v>8</v>
      </c>
      <c r="G138" s="59">
        <f t="shared" ref="G138:G141" si="121">((E138*8)+(F138*4))/12</f>
        <v>8</v>
      </c>
      <c r="H138" s="59">
        <v>8</v>
      </c>
      <c r="I138" s="59">
        <v>8</v>
      </c>
      <c r="J138" s="75">
        <f t="shared" si="116"/>
        <v>66361.320000000007</v>
      </c>
      <c r="K138" s="75">
        <v>66361.320000000007</v>
      </c>
      <c r="L138" s="59" t="s">
        <v>104</v>
      </c>
      <c r="M138" s="59" t="s">
        <v>104</v>
      </c>
      <c r="N138" s="71">
        <f>O138</f>
        <v>530890.56000000006</v>
      </c>
      <c r="O138" s="146">
        <f t="shared" si="118"/>
        <v>530890.56000000006</v>
      </c>
      <c r="P138" s="146"/>
      <c r="Q138" s="59" t="s">
        <v>104</v>
      </c>
      <c r="R138" s="59"/>
      <c r="S138" s="59"/>
      <c r="T138" s="59" t="s">
        <v>104</v>
      </c>
      <c r="U138" s="75">
        <f t="shared" si="119"/>
        <v>530890.56000000006</v>
      </c>
      <c r="V138" s="75">
        <f t="shared" si="120"/>
        <v>530890.56000000006</v>
      </c>
    </row>
    <row r="139" spans="1:22">
      <c r="A139" s="310"/>
      <c r="B139" s="311"/>
      <c r="C139" s="63" t="s">
        <v>167</v>
      </c>
      <c r="D139" s="64" t="s">
        <v>101</v>
      </c>
      <c r="E139" s="59">
        <v>4</v>
      </c>
      <c r="F139" s="59">
        <v>4</v>
      </c>
      <c r="G139" s="59">
        <f t="shared" si="121"/>
        <v>4</v>
      </c>
      <c r="H139" s="59">
        <v>4</v>
      </c>
      <c r="I139" s="59">
        <v>4</v>
      </c>
      <c r="J139" s="75">
        <f t="shared" si="116"/>
        <v>174890.83</v>
      </c>
      <c r="K139" s="75">
        <v>174890.83</v>
      </c>
      <c r="L139" s="59" t="s">
        <v>104</v>
      </c>
      <c r="M139" s="59" t="s">
        <v>104</v>
      </c>
      <c r="N139" s="71">
        <f t="shared" si="117"/>
        <v>699563.32</v>
      </c>
      <c r="O139" s="146">
        <f t="shared" si="118"/>
        <v>699563.32</v>
      </c>
      <c r="P139" s="146"/>
      <c r="Q139" s="59" t="s">
        <v>104</v>
      </c>
      <c r="R139" s="59"/>
      <c r="S139" s="59"/>
      <c r="T139" s="59" t="s">
        <v>104</v>
      </c>
      <c r="U139" s="75">
        <f t="shared" si="119"/>
        <v>699563.32</v>
      </c>
      <c r="V139" s="75">
        <f t="shared" si="120"/>
        <v>699563.32</v>
      </c>
    </row>
    <row r="140" spans="1:22">
      <c r="A140" s="310"/>
      <c r="B140" s="311"/>
      <c r="C140" s="63" t="s">
        <v>170</v>
      </c>
      <c r="D140" s="64" t="s">
        <v>101</v>
      </c>
      <c r="E140" s="59">
        <v>1</v>
      </c>
      <c r="F140" s="59">
        <v>1</v>
      </c>
      <c r="G140" s="59">
        <f t="shared" si="121"/>
        <v>1</v>
      </c>
      <c r="H140" s="59">
        <v>1</v>
      </c>
      <c r="I140" s="59">
        <v>1</v>
      </c>
      <c r="J140" s="75">
        <f t="shared" si="116"/>
        <v>99648.29</v>
      </c>
      <c r="K140" s="75">
        <v>99648.29</v>
      </c>
      <c r="L140" s="59"/>
      <c r="M140" s="59"/>
      <c r="N140" s="71">
        <f t="shared" si="117"/>
        <v>99648.29</v>
      </c>
      <c r="O140" s="146">
        <f t="shared" si="118"/>
        <v>99648.29</v>
      </c>
      <c r="P140" s="146"/>
      <c r="Q140" s="59" t="s">
        <v>104</v>
      </c>
      <c r="R140" s="59"/>
      <c r="S140" s="59"/>
      <c r="T140" s="59" t="s">
        <v>104</v>
      </c>
      <c r="U140" s="75">
        <f t="shared" si="119"/>
        <v>99648.29</v>
      </c>
      <c r="V140" s="75">
        <f t="shared" si="120"/>
        <v>99648.29</v>
      </c>
    </row>
    <row r="141" spans="1:22">
      <c r="A141" s="310"/>
      <c r="B141" s="311"/>
      <c r="C141" s="63" t="s">
        <v>168</v>
      </c>
      <c r="D141" s="64" t="s">
        <v>101</v>
      </c>
      <c r="E141" s="59">
        <v>1</v>
      </c>
      <c r="F141" s="59">
        <v>1</v>
      </c>
      <c r="G141" s="59">
        <f t="shared" si="121"/>
        <v>1</v>
      </c>
      <c r="H141" s="59">
        <v>1</v>
      </c>
      <c r="I141" s="59">
        <v>1</v>
      </c>
      <c r="J141" s="75">
        <f t="shared" si="116"/>
        <v>23553.439999999999</v>
      </c>
      <c r="K141" s="75">
        <v>23553.439999999999</v>
      </c>
      <c r="L141" s="59" t="s">
        <v>104</v>
      </c>
      <c r="M141" s="59" t="s">
        <v>104</v>
      </c>
      <c r="N141" s="71">
        <f t="shared" si="117"/>
        <v>23553.439999999999</v>
      </c>
      <c r="O141" s="146">
        <f t="shared" si="118"/>
        <v>23553.439999999999</v>
      </c>
      <c r="P141" s="146"/>
      <c r="Q141" s="59" t="s">
        <v>104</v>
      </c>
      <c r="R141" s="59"/>
      <c r="S141" s="59"/>
      <c r="T141" s="59" t="s">
        <v>104</v>
      </c>
      <c r="U141" s="75">
        <f t="shared" si="119"/>
        <v>23553.439999999999</v>
      </c>
      <c r="V141" s="75">
        <f t="shared" si="120"/>
        <v>23553.439999999999</v>
      </c>
    </row>
    <row r="142" spans="1:22" ht="110.4">
      <c r="A142" s="310"/>
      <c r="B142" s="311"/>
      <c r="C142" s="61" t="s">
        <v>105</v>
      </c>
      <c r="D142" s="64" t="s">
        <v>101</v>
      </c>
      <c r="E142" s="59"/>
      <c r="F142" s="59"/>
      <c r="G142" s="59"/>
      <c r="H142" s="123"/>
      <c r="I142" s="123"/>
      <c r="J142" s="75">
        <f>SUM(K142:M142)</f>
        <v>138391.77000000002</v>
      </c>
      <c r="K142" s="148">
        <f>121412.92+1351.63</f>
        <v>122764.55</v>
      </c>
      <c r="L142" s="72">
        <v>4001.99</v>
      </c>
      <c r="M142" s="164">
        <v>11625.23</v>
      </c>
      <c r="N142" s="71">
        <f>SUM(O142:T142)</f>
        <v>0</v>
      </c>
      <c r="O142" s="71">
        <f t="shared" si="118"/>
        <v>0</v>
      </c>
      <c r="P142" s="71"/>
      <c r="Q142" s="71">
        <f>G142*L142</f>
        <v>0</v>
      </c>
      <c r="R142" s="71"/>
      <c r="S142" s="71"/>
      <c r="T142" s="75">
        <f>G142*M142</f>
        <v>0</v>
      </c>
      <c r="U142" s="75">
        <f t="shared" si="97"/>
        <v>0</v>
      </c>
      <c r="V142" s="75">
        <f t="shared" si="98"/>
        <v>0</v>
      </c>
    </row>
    <row r="143" spans="1:22">
      <c r="A143" s="310"/>
      <c r="B143" s="311"/>
      <c r="C143" s="66" t="s">
        <v>106</v>
      </c>
      <c r="D143" s="67"/>
      <c r="E143" s="59">
        <f>E135+E142</f>
        <v>261</v>
      </c>
      <c r="F143" s="59">
        <f>F135+F142</f>
        <v>261</v>
      </c>
      <c r="G143" s="59">
        <f>G135+G142</f>
        <v>261</v>
      </c>
      <c r="H143" s="123">
        <f>H135+H142</f>
        <v>261</v>
      </c>
      <c r="I143" s="123">
        <f>I135+I142</f>
        <v>261</v>
      </c>
      <c r="J143" s="71" t="s">
        <v>104</v>
      </c>
      <c r="K143" s="71" t="s">
        <v>104</v>
      </c>
      <c r="L143" s="71" t="s">
        <v>104</v>
      </c>
      <c r="M143" s="71" t="s">
        <v>104</v>
      </c>
      <c r="N143" s="71">
        <f t="shared" ref="N143:T143" si="122">SUM(N135:N142)</f>
        <v>12235401.74</v>
      </c>
      <c r="O143" s="71">
        <f t="shared" si="122"/>
        <v>8156697.3200000003</v>
      </c>
      <c r="P143" s="71"/>
      <c r="Q143" s="71">
        <f>SUM(Q135:Q142)</f>
        <v>1044519.3899999999</v>
      </c>
      <c r="R143" s="71"/>
      <c r="S143" s="71"/>
      <c r="T143" s="71">
        <f t="shared" si="122"/>
        <v>3034185.03</v>
      </c>
      <c r="U143" s="75">
        <f>SUM(U135:U142)</f>
        <v>12235401.74</v>
      </c>
      <c r="V143" s="75">
        <f>SUM(V135:V142)</f>
        <v>12235401.74</v>
      </c>
    </row>
    <row r="144" spans="1:22" ht="82.8">
      <c r="A144" s="310"/>
      <c r="B144" s="311" t="s">
        <v>107</v>
      </c>
      <c r="C144" s="61" t="s">
        <v>100</v>
      </c>
      <c r="D144" s="62" t="s">
        <v>101</v>
      </c>
      <c r="E144" s="59">
        <v>224</v>
      </c>
      <c r="F144" s="59">
        <v>224</v>
      </c>
      <c r="G144" s="59">
        <f t="shared" ref="G144" si="123">((E144*8)+(F144*4))/12</f>
        <v>224</v>
      </c>
      <c r="H144" s="123">
        <v>224</v>
      </c>
      <c r="I144" s="123">
        <v>224</v>
      </c>
      <c r="J144" s="107">
        <f>SUM(K144:M144)</f>
        <v>51622.92</v>
      </c>
      <c r="K144" s="147">
        <f>34346.05+1649.65</f>
        <v>35995.700000000004</v>
      </c>
      <c r="L144" s="70">
        <v>4001.99</v>
      </c>
      <c r="M144" s="164">
        <v>11625.23</v>
      </c>
      <c r="N144" s="71">
        <f>SUM(O144:T144)</f>
        <v>11563534.08</v>
      </c>
      <c r="O144" s="146">
        <f>G144*K144</f>
        <v>8063036.8000000007</v>
      </c>
      <c r="P144" s="146"/>
      <c r="Q144" s="71">
        <f>G144*L144</f>
        <v>896445.76</v>
      </c>
      <c r="R144" s="71"/>
      <c r="S144" s="71"/>
      <c r="T144" s="156">
        <f>G144*M144</f>
        <v>2604051.52</v>
      </c>
      <c r="U144" s="75">
        <f t="shared" si="97"/>
        <v>11563534.08</v>
      </c>
      <c r="V144" s="75">
        <f t="shared" si="98"/>
        <v>11563534.08</v>
      </c>
    </row>
    <row r="145" spans="1:24" ht="82.8">
      <c r="A145" s="310"/>
      <c r="B145" s="311"/>
      <c r="C145" s="63" t="s">
        <v>102</v>
      </c>
      <c r="D145" s="64" t="s">
        <v>101</v>
      </c>
      <c r="E145" s="59" t="s">
        <v>104</v>
      </c>
      <c r="F145" s="59" t="s">
        <v>104</v>
      </c>
      <c r="G145" s="59" t="s">
        <v>104</v>
      </c>
      <c r="H145" s="123" t="s">
        <v>104</v>
      </c>
      <c r="I145" s="123" t="s">
        <v>104</v>
      </c>
      <c r="J145" s="59" t="s">
        <v>104</v>
      </c>
      <c r="K145" s="59" t="s">
        <v>191</v>
      </c>
      <c r="L145" s="59" t="s">
        <v>104</v>
      </c>
      <c r="M145" s="59" t="s">
        <v>104</v>
      </c>
      <c r="N145" s="71"/>
      <c r="O145" s="71"/>
      <c r="P145" s="71"/>
      <c r="Q145" s="59" t="s">
        <v>104</v>
      </c>
      <c r="R145" s="59"/>
      <c r="S145" s="59"/>
      <c r="T145" s="59" t="s">
        <v>104</v>
      </c>
      <c r="U145" s="75"/>
      <c r="V145" s="75"/>
    </row>
    <row r="146" spans="1:24">
      <c r="A146" s="310"/>
      <c r="B146" s="311"/>
      <c r="C146" s="63" t="s">
        <v>167</v>
      </c>
      <c r="D146" s="64" t="s">
        <v>101</v>
      </c>
      <c r="E146" s="60">
        <v>1</v>
      </c>
      <c r="F146" s="60">
        <v>1</v>
      </c>
      <c r="G146" s="59">
        <f t="shared" ref="G146:G153" si="124">((E146*8)+(F146*4))/12</f>
        <v>1</v>
      </c>
      <c r="H146" s="60">
        <v>1</v>
      </c>
      <c r="I146" s="60">
        <v>1</v>
      </c>
      <c r="J146" s="75">
        <f t="shared" ref="J146:J148" si="125">K146</f>
        <v>266106.15000000002</v>
      </c>
      <c r="K146" s="75">
        <v>266106.15000000002</v>
      </c>
      <c r="L146" s="59" t="s">
        <v>104</v>
      </c>
      <c r="M146" s="59" t="s">
        <v>104</v>
      </c>
      <c r="N146" s="71">
        <f t="shared" ref="N146:N148" si="126">O146</f>
        <v>266106.15000000002</v>
      </c>
      <c r="O146" s="146">
        <f>G146*K146</f>
        <v>266106.15000000002</v>
      </c>
      <c r="P146" s="146"/>
      <c r="Q146" s="59" t="s">
        <v>104</v>
      </c>
      <c r="R146" s="59"/>
      <c r="S146" s="59"/>
      <c r="T146" s="59" t="s">
        <v>104</v>
      </c>
      <c r="U146" s="75">
        <f t="shared" ref="U146:U148" si="127">H146*K146</f>
        <v>266106.15000000002</v>
      </c>
      <c r="V146" s="75">
        <f t="shared" ref="V146:V148" si="128">I146*K146</f>
        <v>266106.15000000002</v>
      </c>
    </row>
    <row r="147" spans="1:24">
      <c r="A147" s="310"/>
      <c r="B147" s="311"/>
      <c r="C147" s="63" t="s">
        <v>170</v>
      </c>
      <c r="D147" s="64" t="s">
        <v>101</v>
      </c>
      <c r="E147" s="60">
        <v>2</v>
      </c>
      <c r="F147" s="60">
        <v>2</v>
      </c>
      <c r="G147" s="59">
        <f t="shared" si="124"/>
        <v>2</v>
      </c>
      <c r="H147" s="60">
        <v>2</v>
      </c>
      <c r="I147" s="60">
        <v>2</v>
      </c>
      <c r="J147" s="75">
        <f t="shared" si="125"/>
        <v>32769.75</v>
      </c>
      <c r="K147" s="75">
        <v>32769.75</v>
      </c>
      <c r="L147" s="59" t="s">
        <v>104</v>
      </c>
      <c r="M147" s="59" t="s">
        <v>104</v>
      </c>
      <c r="N147" s="71">
        <f t="shared" si="126"/>
        <v>65539.5</v>
      </c>
      <c r="O147" s="146">
        <f t="shared" ref="O147:O148" si="129">G147*K147</f>
        <v>65539.5</v>
      </c>
      <c r="P147" s="146"/>
      <c r="Q147" s="59" t="s">
        <v>104</v>
      </c>
      <c r="R147" s="59"/>
      <c r="S147" s="59"/>
      <c r="T147" s="59" t="s">
        <v>104</v>
      </c>
      <c r="U147" s="75">
        <f t="shared" si="127"/>
        <v>65539.5</v>
      </c>
      <c r="V147" s="75">
        <f t="shared" si="128"/>
        <v>65539.5</v>
      </c>
    </row>
    <row r="148" spans="1:24">
      <c r="A148" s="310"/>
      <c r="B148" s="311"/>
      <c r="C148" s="63" t="s">
        <v>168</v>
      </c>
      <c r="D148" s="64" t="s">
        <v>101</v>
      </c>
      <c r="E148" s="60">
        <v>5</v>
      </c>
      <c r="F148" s="60">
        <v>5</v>
      </c>
      <c r="G148" s="59">
        <f t="shared" si="124"/>
        <v>5</v>
      </c>
      <c r="H148" s="60">
        <v>5</v>
      </c>
      <c r="I148" s="60">
        <v>5</v>
      </c>
      <c r="J148" s="75">
        <f t="shared" si="125"/>
        <v>23553.439999999999</v>
      </c>
      <c r="K148" s="75">
        <v>23553.439999999999</v>
      </c>
      <c r="L148" s="59" t="s">
        <v>104</v>
      </c>
      <c r="M148" s="59" t="s">
        <v>104</v>
      </c>
      <c r="N148" s="71">
        <f t="shared" si="126"/>
        <v>117767.2</v>
      </c>
      <c r="O148" s="146">
        <f t="shared" si="129"/>
        <v>117767.2</v>
      </c>
      <c r="P148" s="146"/>
      <c r="Q148" s="59" t="s">
        <v>104</v>
      </c>
      <c r="R148" s="59"/>
      <c r="S148" s="59"/>
      <c r="T148" s="59" t="s">
        <v>104</v>
      </c>
      <c r="U148" s="75">
        <f t="shared" si="127"/>
        <v>117767.2</v>
      </c>
      <c r="V148" s="75">
        <f t="shared" si="128"/>
        <v>117767.2</v>
      </c>
    </row>
    <row r="149" spans="1:24" ht="110.4">
      <c r="A149" s="310"/>
      <c r="B149" s="311"/>
      <c r="C149" s="61" t="s">
        <v>105</v>
      </c>
      <c r="D149" s="64" t="s">
        <v>101</v>
      </c>
      <c r="E149" s="60">
        <v>2</v>
      </c>
      <c r="F149" s="60">
        <v>2</v>
      </c>
      <c r="G149" s="59">
        <f t="shared" si="124"/>
        <v>2</v>
      </c>
      <c r="H149" s="122">
        <v>2</v>
      </c>
      <c r="I149" s="122">
        <v>2</v>
      </c>
      <c r="J149" s="75">
        <f>SUM(K149:M149)</f>
        <v>168684.5</v>
      </c>
      <c r="K149" s="148">
        <f>151407.63+1649.65</f>
        <v>153057.28</v>
      </c>
      <c r="L149" s="72">
        <v>4001.99</v>
      </c>
      <c r="M149" s="163">
        <v>11625.23</v>
      </c>
      <c r="N149" s="71">
        <f>SUM(O149:T149)</f>
        <v>337369</v>
      </c>
      <c r="O149" s="146">
        <f>G149*K149</f>
        <v>306114.56</v>
      </c>
      <c r="P149" s="146"/>
      <c r="Q149" s="73">
        <f>G149*L149</f>
        <v>8003.98</v>
      </c>
      <c r="R149" s="73"/>
      <c r="S149" s="73"/>
      <c r="T149" s="156">
        <f>G149*M149</f>
        <v>23250.46</v>
      </c>
      <c r="U149" s="75">
        <f t="shared" si="97"/>
        <v>337369</v>
      </c>
      <c r="V149" s="75">
        <f t="shared" si="98"/>
        <v>337369</v>
      </c>
    </row>
    <row r="150" spans="1:24">
      <c r="A150" s="310"/>
      <c r="B150" s="110"/>
      <c r="C150" s="66" t="s">
        <v>106</v>
      </c>
      <c r="D150" s="64"/>
      <c r="E150" s="60">
        <f>E144+E149</f>
        <v>226</v>
      </c>
      <c r="F150" s="60">
        <f>F144+F149</f>
        <v>226</v>
      </c>
      <c r="G150" s="60">
        <f>G144+G149</f>
        <v>226</v>
      </c>
      <c r="H150" s="122">
        <f>H144+H149</f>
        <v>226</v>
      </c>
      <c r="I150" s="122">
        <f>I144+I149</f>
        <v>226</v>
      </c>
      <c r="J150" s="73" t="s">
        <v>104</v>
      </c>
      <c r="K150" s="73" t="s">
        <v>104</v>
      </c>
      <c r="L150" s="74" t="s">
        <v>104</v>
      </c>
      <c r="M150" s="74" t="s">
        <v>104</v>
      </c>
      <c r="N150" s="74">
        <f t="shared" ref="N150:V150" si="130">SUM(N144:N149)</f>
        <v>12350315.93</v>
      </c>
      <c r="O150" s="74">
        <f t="shared" si="130"/>
        <v>8818564.2100000009</v>
      </c>
      <c r="P150" s="74"/>
      <c r="Q150" s="74">
        <f t="shared" si="130"/>
        <v>904449.74</v>
      </c>
      <c r="R150" s="74"/>
      <c r="S150" s="74"/>
      <c r="T150" s="74">
        <f t="shared" si="130"/>
        <v>2627301.98</v>
      </c>
      <c r="U150" s="75">
        <f t="shared" si="130"/>
        <v>12350315.93</v>
      </c>
      <c r="V150" s="75">
        <f t="shared" si="130"/>
        <v>12350315.93</v>
      </c>
    </row>
    <row r="151" spans="1:24" ht="82.8">
      <c r="A151" s="310"/>
      <c r="B151" s="311" t="s">
        <v>108</v>
      </c>
      <c r="C151" s="61" t="s">
        <v>100</v>
      </c>
      <c r="D151" s="62" t="s">
        <v>101</v>
      </c>
      <c r="E151" s="60">
        <v>39</v>
      </c>
      <c r="F151" s="60">
        <v>39</v>
      </c>
      <c r="G151" s="59">
        <f t="shared" si="124"/>
        <v>39</v>
      </c>
      <c r="H151" s="122">
        <v>39</v>
      </c>
      <c r="I151" s="122">
        <v>39</v>
      </c>
      <c r="J151" s="107">
        <f>SUM(K151:M151)</f>
        <v>58731.119999999995</v>
      </c>
      <c r="K151" s="147">
        <f>41105.12+1998.78</f>
        <v>43103.9</v>
      </c>
      <c r="L151" s="70">
        <v>4001.99</v>
      </c>
      <c r="M151" s="163">
        <v>11625.23</v>
      </c>
      <c r="N151" s="73">
        <f>SUM(O151:T151)</f>
        <v>2290513.6799999997</v>
      </c>
      <c r="O151" s="149">
        <f>G151*K151</f>
        <v>1681052.1</v>
      </c>
      <c r="P151" s="149"/>
      <c r="Q151" s="73">
        <f>G151*L151</f>
        <v>156077.60999999999</v>
      </c>
      <c r="R151" s="73"/>
      <c r="S151" s="73"/>
      <c r="T151" s="156">
        <f>G151*M151</f>
        <v>453383.97</v>
      </c>
      <c r="U151" s="75">
        <f t="shared" si="97"/>
        <v>2290513.6799999997</v>
      </c>
      <c r="V151" s="75">
        <f t="shared" si="98"/>
        <v>2290513.6799999997</v>
      </c>
    </row>
    <row r="152" spans="1:24" ht="82.8">
      <c r="A152" s="310"/>
      <c r="B152" s="311"/>
      <c r="C152" s="63" t="s">
        <v>102</v>
      </c>
      <c r="D152" s="64" t="s">
        <v>101</v>
      </c>
      <c r="E152" s="59" t="s">
        <v>104</v>
      </c>
      <c r="F152" s="59" t="s">
        <v>104</v>
      </c>
      <c r="G152" s="59" t="s">
        <v>104</v>
      </c>
      <c r="H152" s="59" t="s">
        <v>104</v>
      </c>
      <c r="I152" s="59" t="s">
        <v>104</v>
      </c>
      <c r="J152" s="59" t="s">
        <v>104</v>
      </c>
      <c r="K152" s="59" t="s">
        <v>104</v>
      </c>
      <c r="L152" s="59" t="s">
        <v>104</v>
      </c>
      <c r="M152" s="59" t="s">
        <v>104</v>
      </c>
      <c r="N152" s="71"/>
      <c r="O152" s="71"/>
      <c r="P152" s="71"/>
      <c r="Q152" s="59" t="s">
        <v>104</v>
      </c>
      <c r="R152" s="59"/>
      <c r="S152" s="59"/>
      <c r="T152" s="59" t="s">
        <v>104</v>
      </c>
      <c r="U152" s="75"/>
      <c r="V152" s="75"/>
    </row>
    <row r="153" spans="1:24">
      <c r="A153" s="310"/>
      <c r="B153" s="311"/>
      <c r="C153" s="63" t="s">
        <v>168</v>
      </c>
      <c r="D153" s="64" t="s">
        <v>101</v>
      </c>
      <c r="E153" s="60">
        <v>1</v>
      </c>
      <c r="F153" s="60">
        <v>1</v>
      </c>
      <c r="G153" s="59">
        <f t="shared" si="124"/>
        <v>1</v>
      </c>
      <c r="H153" s="60">
        <v>1</v>
      </c>
      <c r="I153" s="60">
        <v>1</v>
      </c>
      <c r="J153" s="75">
        <f>K153</f>
        <v>23553.439999999999</v>
      </c>
      <c r="K153" s="75">
        <v>23553.439999999999</v>
      </c>
      <c r="L153" s="59" t="s">
        <v>104</v>
      </c>
      <c r="M153" s="59" t="s">
        <v>104</v>
      </c>
      <c r="N153" s="71">
        <f>O153</f>
        <v>23553.439999999999</v>
      </c>
      <c r="O153" s="146">
        <f>G153*K153</f>
        <v>23553.439999999999</v>
      </c>
      <c r="P153" s="146"/>
      <c r="Q153" s="59" t="s">
        <v>104</v>
      </c>
      <c r="R153" s="59"/>
      <c r="S153" s="59"/>
      <c r="T153" s="59" t="s">
        <v>104</v>
      </c>
      <c r="U153" s="75">
        <f>H153*K153</f>
        <v>23553.439999999999</v>
      </c>
      <c r="V153" s="75">
        <f>I153*K153</f>
        <v>23553.439999999999</v>
      </c>
    </row>
    <row r="154" spans="1:24" ht="110.4">
      <c r="A154" s="310"/>
      <c r="B154" s="311"/>
      <c r="C154" s="61" t="s">
        <v>105</v>
      </c>
      <c r="D154" s="64" t="s">
        <v>101</v>
      </c>
      <c r="E154" s="60">
        <v>0</v>
      </c>
      <c r="F154" s="60"/>
      <c r="G154" s="60"/>
      <c r="H154" s="122">
        <v>0</v>
      </c>
      <c r="I154" s="122">
        <v>0</v>
      </c>
      <c r="J154" s="73">
        <f>K154</f>
        <v>183401.13</v>
      </c>
      <c r="K154" s="149">
        <f>181402.35+1998.78</f>
        <v>183401.13</v>
      </c>
      <c r="L154" s="70">
        <v>4001.99</v>
      </c>
      <c r="M154" s="163">
        <v>11625.23</v>
      </c>
      <c r="N154" s="71">
        <f>SUM(O154:T154)</f>
        <v>0</v>
      </c>
      <c r="O154" s="149">
        <f>G154*K154</f>
        <v>0</v>
      </c>
      <c r="P154" s="149"/>
      <c r="Q154" s="73">
        <f>E154*L154</f>
        <v>0</v>
      </c>
      <c r="R154" s="73"/>
      <c r="S154" s="73"/>
      <c r="T154" s="75">
        <f>G154*M154</f>
        <v>0</v>
      </c>
      <c r="U154" s="75">
        <f>H154*K154</f>
        <v>0</v>
      </c>
      <c r="V154" s="75">
        <f>I154*K154</f>
        <v>0</v>
      </c>
    </row>
    <row r="155" spans="1:24">
      <c r="A155" s="310"/>
      <c r="B155" s="110"/>
      <c r="C155" s="66" t="s">
        <v>106</v>
      </c>
      <c r="D155" s="64"/>
      <c r="E155" s="60">
        <f>E151+E154</f>
        <v>39</v>
      </c>
      <c r="F155" s="60">
        <f>F151+F154</f>
        <v>39</v>
      </c>
      <c r="G155" s="60">
        <f>G151+G154</f>
        <v>39</v>
      </c>
      <c r="H155" s="60">
        <f>H151+H154</f>
        <v>39</v>
      </c>
      <c r="I155" s="60">
        <f>I151+I154</f>
        <v>39</v>
      </c>
      <c r="J155" s="73" t="s">
        <v>104</v>
      </c>
      <c r="K155" s="73" t="s">
        <v>104</v>
      </c>
      <c r="L155" s="74" t="s">
        <v>104</v>
      </c>
      <c r="M155" s="74" t="s">
        <v>104</v>
      </c>
      <c r="N155" s="74">
        <f t="shared" ref="N155:T155" si="131">SUM(N151:N154)</f>
        <v>2314067.1199999996</v>
      </c>
      <c r="O155" s="74">
        <f t="shared" si="131"/>
        <v>1704605.54</v>
      </c>
      <c r="P155" s="74"/>
      <c r="Q155" s="74">
        <f t="shared" si="131"/>
        <v>156077.60999999999</v>
      </c>
      <c r="R155" s="74"/>
      <c r="S155" s="74"/>
      <c r="T155" s="74">
        <f t="shared" si="131"/>
        <v>453383.97</v>
      </c>
      <c r="U155" s="75">
        <f>SUM(U151:U154)</f>
        <v>2314067.1199999996</v>
      </c>
      <c r="V155" s="75">
        <f>SUM(V151:V154)</f>
        <v>2314067.1199999996</v>
      </c>
    </row>
    <row r="156" spans="1:24" ht="96.6">
      <c r="A156" s="310"/>
      <c r="B156" s="137" t="s">
        <v>109</v>
      </c>
      <c r="C156" s="61" t="s">
        <v>187</v>
      </c>
      <c r="D156" s="64" t="s">
        <v>101</v>
      </c>
      <c r="E156" s="60">
        <v>776</v>
      </c>
      <c r="F156" s="60">
        <v>776</v>
      </c>
      <c r="G156" s="59">
        <f t="shared" ref="G156" si="132">((E156*8)+(F156*4))/12</f>
        <v>776</v>
      </c>
      <c r="H156" s="122">
        <v>776</v>
      </c>
      <c r="I156" s="122">
        <v>776</v>
      </c>
      <c r="J156" s="75">
        <f>K156</f>
        <v>3978.76</v>
      </c>
      <c r="K156" s="75">
        <v>3978.76</v>
      </c>
      <c r="L156" s="72" t="s">
        <v>104</v>
      </c>
      <c r="M156" s="72" t="s">
        <v>104</v>
      </c>
      <c r="N156" s="73">
        <f>SUM(O156:T156)</f>
        <v>3087517.7600000002</v>
      </c>
      <c r="O156" s="149">
        <f>K156*G156</f>
        <v>3087517.7600000002</v>
      </c>
      <c r="P156" s="149"/>
      <c r="Q156" s="73" t="s">
        <v>104</v>
      </c>
      <c r="R156" s="73"/>
      <c r="S156" s="73"/>
      <c r="T156" s="73" t="s">
        <v>104</v>
      </c>
      <c r="U156" s="75">
        <f t="shared" si="97"/>
        <v>3087517.7600000002</v>
      </c>
      <c r="V156" s="75">
        <f t="shared" si="98"/>
        <v>3087517.7600000002</v>
      </c>
    </row>
    <row r="157" spans="1:24">
      <c r="A157" s="310"/>
      <c r="B157" s="69"/>
      <c r="C157" s="66" t="s">
        <v>106</v>
      </c>
      <c r="D157" s="69"/>
      <c r="E157" s="60">
        <f>SUM(E156:E156)</f>
        <v>776</v>
      </c>
      <c r="F157" s="60">
        <f>SUM(F156:F156)</f>
        <v>776</v>
      </c>
      <c r="G157" s="60">
        <f>SUM(G156:G156)</f>
        <v>776</v>
      </c>
      <c r="H157" s="60">
        <f>SUM(H156:H156)</f>
        <v>776</v>
      </c>
      <c r="I157" s="60">
        <f>SUM(I156:I156)</f>
        <v>776</v>
      </c>
      <c r="J157" s="73" t="s">
        <v>104</v>
      </c>
      <c r="K157" s="73" t="s">
        <v>104</v>
      </c>
      <c r="L157" s="74" t="s">
        <v>104</v>
      </c>
      <c r="M157" s="74">
        <f t="shared" ref="M157:V157" si="133">SUM(M156:M156)</f>
        <v>0</v>
      </c>
      <c r="N157" s="74">
        <f t="shared" si="133"/>
        <v>3087517.7600000002</v>
      </c>
      <c r="O157" s="74">
        <f t="shared" si="133"/>
        <v>3087517.7600000002</v>
      </c>
      <c r="P157" s="74"/>
      <c r="Q157" s="74">
        <f t="shared" si="133"/>
        <v>0</v>
      </c>
      <c r="R157" s="74"/>
      <c r="S157" s="74"/>
      <c r="T157" s="74">
        <f t="shared" si="133"/>
        <v>0</v>
      </c>
      <c r="U157" s="75">
        <f t="shared" si="133"/>
        <v>3087517.7600000002</v>
      </c>
      <c r="V157" s="75">
        <f t="shared" si="133"/>
        <v>3087517.7600000002</v>
      </c>
    </row>
    <row r="158" spans="1:24">
      <c r="A158" s="310"/>
      <c r="B158" s="101" t="s">
        <v>112</v>
      </c>
      <c r="C158" s="101"/>
      <c r="D158" s="69"/>
      <c r="E158" s="102"/>
      <c r="F158" s="102"/>
      <c r="G158" s="102"/>
      <c r="H158" s="102"/>
      <c r="I158" s="102"/>
      <c r="J158" s="104"/>
      <c r="K158" s="104"/>
      <c r="L158" s="103"/>
      <c r="M158" s="103"/>
      <c r="N158" s="103">
        <f>SUM(O158:T158)</f>
        <v>29987302.550000001</v>
      </c>
      <c r="O158" s="138">
        <f>O143+O150+O155+O157</f>
        <v>21767384.830000002</v>
      </c>
      <c r="P158" s="138"/>
      <c r="Q158" s="103">
        <f>Q143+Q150+Q155+Q157</f>
        <v>2105046.7399999998</v>
      </c>
      <c r="R158" s="103"/>
      <c r="S158" s="103"/>
      <c r="T158" s="103">
        <f>T143+T150+T155+T157</f>
        <v>6114870.9799999995</v>
      </c>
      <c r="U158" s="103">
        <f>U143+U150+U155+U157</f>
        <v>29987302.550000004</v>
      </c>
      <c r="V158" s="103">
        <f>V143+V150+V155+V157</f>
        <v>29987302.550000004</v>
      </c>
      <c r="X158" s="85"/>
    </row>
    <row r="159" spans="1:24" ht="82.8">
      <c r="A159" s="310" t="s">
        <v>114</v>
      </c>
      <c r="B159" s="311" t="s">
        <v>99</v>
      </c>
      <c r="C159" s="61" t="s">
        <v>100</v>
      </c>
      <c r="D159" s="62" t="s">
        <v>101</v>
      </c>
      <c r="E159" s="59">
        <v>211</v>
      </c>
      <c r="F159" s="59">
        <v>211</v>
      </c>
      <c r="G159" s="59">
        <f t="shared" ref="G159:G181" si="134">((E159*8)+(F159*4))/12</f>
        <v>211</v>
      </c>
      <c r="H159" s="59">
        <v>211</v>
      </c>
      <c r="I159" s="59">
        <v>211</v>
      </c>
      <c r="J159" s="107">
        <f>SUM(K159:M159)</f>
        <v>40097.97</v>
      </c>
      <c r="K159" s="147">
        <f>23119.12+1351.63</f>
        <v>24470.75</v>
      </c>
      <c r="L159" s="70">
        <v>4001.99</v>
      </c>
      <c r="M159" s="163">
        <v>11625.23</v>
      </c>
      <c r="N159" s="71">
        <f>SUM(O159:T159)</f>
        <v>8460671.6699999999</v>
      </c>
      <c r="O159" s="146">
        <f>G159*K159</f>
        <v>5163328.25</v>
      </c>
      <c r="P159" s="146"/>
      <c r="Q159" s="71">
        <f>G159*L159</f>
        <v>844419.8899999999</v>
      </c>
      <c r="R159" s="71"/>
      <c r="S159" s="71"/>
      <c r="T159" s="156">
        <f>G159*M159</f>
        <v>2452923.5299999998</v>
      </c>
      <c r="U159" s="75">
        <f t="shared" si="97"/>
        <v>8460671.6699999999</v>
      </c>
      <c r="V159" s="75">
        <f t="shared" si="98"/>
        <v>8460671.6699999999</v>
      </c>
    </row>
    <row r="160" spans="1:24" ht="96.6">
      <c r="A160" s="310"/>
      <c r="B160" s="311"/>
      <c r="C160" s="63" t="s">
        <v>163</v>
      </c>
      <c r="D160" s="64" t="s">
        <v>101</v>
      </c>
      <c r="E160" s="59" t="s">
        <v>104</v>
      </c>
      <c r="F160" s="59" t="s">
        <v>104</v>
      </c>
      <c r="G160" s="59" t="s">
        <v>104</v>
      </c>
      <c r="H160" s="59" t="s">
        <v>104</v>
      </c>
      <c r="I160" s="59" t="s">
        <v>104</v>
      </c>
      <c r="J160" s="59" t="s">
        <v>104</v>
      </c>
      <c r="K160" s="59" t="s">
        <v>104</v>
      </c>
      <c r="L160" s="59" t="s">
        <v>104</v>
      </c>
      <c r="M160" s="59" t="s">
        <v>104</v>
      </c>
      <c r="N160" s="59"/>
      <c r="O160" s="59"/>
      <c r="P160" s="59"/>
      <c r="Q160" s="59" t="s">
        <v>104</v>
      </c>
      <c r="R160" s="59"/>
      <c r="S160" s="59"/>
      <c r="T160" s="59" t="s">
        <v>104</v>
      </c>
      <c r="U160" s="75"/>
      <c r="V160" s="75"/>
    </row>
    <row r="161" spans="1:22">
      <c r="A161" s="310"/>
      <c r="B161" s="311"/>
      <c r="C161" s="63" t="s">
        <v>171</v>
      </c>
      <c r="D161" s="64" t="s">
        <v>101</v>
      </c>
      <c r="E161" s="59">
        <v>1</v>
      </c>
      <c r="F161" s="59">
        <v>1</v>
      </c>
      <c r="G161" s="59">
        <f t="shared" si="134"/>
        <v>1</v>
      </c>
      <c r="H161" s="59">
        <v>1</v>
      </c>
      <c r="I161" s="59">
        <v>1</v>
      </c>
      <c r="J161" s="75">
        <f t="shared" ref="J161:J165" si="135">K161</f>
        <v>69362.66</v>
      </c>
      <c r="K161" s="75">
        <v>69362.66</v>
      </c>
      <c r="L161" s="59" t="s">
        <v>104</v>
      </c>
      <c r="M161" s="59" t="s">
        <v>104</v>
      </c>
      <c r="N161" s="71">
        <f>O161</f>
        <v>69362.66</v>
      </c>
      <c r="O161" s="146">
        <f>G161*K161</f>
        <v>69362.66</v>
      </c>
      <c r="P161" s="146"/>
      <c r="Q161" s="59" t="s">
        <v>104</v>
      </c>
      <c r="R161" s="59"/>
      <c r="S161" s="59"/>
      <c r="T161" s="59" t="s">
        <v>104</v>
      </c>
      <c r="U161" s="75">
        <f>H161*K161</f>
        <v>69362.66</v>
      </c>
      <c r="V161" s="75">
        <f>I161*K161</f>
        <v>69362.66</v>
      </c>
    </row>
    <row r="162" spans="1:22">
      <c r="A162" s="310"/>
      <c r="B162" s="311"/>
      <c r="C162" s="63" t="s">
        <v>164</v>
      </c>
      <c r="D162" s="64" t="s">
        <v>101</v>
      </c>
      <c r="E162" s="59">
        <v>4</v>
      </c>
      <c r="F162" s="59">
        <v>4</v>
      </c>
      <c r="G162" s="59">
        <f t="shared" si="134"/>
        <v>4</v>
      </c>
      <c r="H162" s="59">
        <v>4</v>
      </c>
      <c r="I162" s="59">
        <v>4</v>
      </c>
      <c r="J162" s="75">
        <f t="shared" si="135"/>
        <v>25589.72</v>
      </c>
      <c r="K162" s="75">
        <v>25589.72</v>
      </c>
      <c r="L162" s="59" t="s">
        <v>104</v>
      </c>
      <c r="M162" s="59" t="s">
        <v>104</v>
      </c>
      <c r="N162" s="71">
        <f>O162</f>
        <v>102358.88</v>
      </c>
      <c r="O162" s="146">
        <f t="shared" ref="O162:O166" si="136">G162*K162</f>
        <v>102358.88</v>
      </c>
      <c r="P162" s="146"/>
      <c r="Q162" s="59" t="s">
        <v>104</v>
      </c>
      <c r="R162" s="59"/>
      <c r="S162" s="59"/>
      <c r="T162" s="59" t="s">
        <v>104</v>
      </c>
      <c r="U162" s="75">
        <f>H162*K162</f>
        <v>102358.88</v>
      </c>
      <c r="V162" s="75">
        <f>I162*K162</f>
        <v>102358.88</v>
      </c>
    </row>
    <row r="163" spans="1:22">
      <c r="A163" s="310"/>
      <c r="B163" s="311"/>
      <c r="C163" s="63" t="s">
        <v>169</v>
      </c>
      <c r="D163" s="64" t="s">
        <v>101</v>
      </c>
      <c r="E163" s="59">
        <v>7</v>
      </c>
      <c r="F163" s="59">
        <v>7</v>
      </c>
      <c r="G163" s="59">
        <f t="shared" si="134"/>
        <v>7</v>
      </c>
      <c r="H163" s="59">
        <v>7</v>
      </c>
      <c r="I163" s="59">
        <v>7</v>
      </c>
      <c r="J163" s="75">
        <f t="shared" si="135"/>
        <v>69362.66</v>
      </c>
      <c r="K163" s="75">
        <v>69362.66</v>
      </c>
      <c r="L163" s="59" t="s">
        <v>104</v>
      </c>
      <c r="M163" s="59" t="s">
        <v>104</v>
      </c>
      <c r="N163" s="71">
        <f t="shared" ref="N163:N165" si="137">O163</f>
        <v>485538.62</v>
      </c>
      <c r="O163" s="146">
        <f t="shared" si="136"/>
        <v>485538.62</v>
      </c>
      <c r="P163" s="146"/>
      <c r="Q163" s="59" t="s">
        <v>104</v>
      </c>
      <c r="R163" s="59"/>
      <c r="S163" s="59"/>
      <c r="T163" s="59" t="s">
        <v>104</v>
      </c>
      <c r="U163" s="75">
        <f t="shared" ref="U163:U165" si="138">H163*K163</f>
        <v>485538.62</v>
      </c>
      <c r="V163" s="75">
        <f t="shared" ref="V163:V165" si="139">I163*K163</f>
        <v>485538.62</v>
      </c>
    </row>
    <row r="164" spans="1:22">
      <c r="A164" s="310"/>
      <c r="B164" s="311"/>
      <c r="C164" s="63" t="s">
        <v>166</v>
      </c>
      <c r="D164" s="64" t="s">
        <v>101</v>
      </c>
      <c r="E164" s="59">
        <v>4</v>
      </c>
      <c r="F164" s="59">
        <v>4</v>
      </c>
      <c r="G164" s="59">
        <f t="shared" si="134"/>
        <v>4</v>
      </c>
      <c r="H164" s="59">
        <v>4</v>
      </c>
      <c r="I164" s="59">
        <v>4</v>
      </c>
      <c r="J164" s="75">
        <f t="shared" si="135"/>
        <v>66361.320000000007</v>
      </c>
      <c r="K164" s="75">
        <v>66361.320000000007</v>
      </c>
      <c r="L164" s="59" t="s">
        <v>104</v>
      </c>
      <c r="M164" s="59" t="s">
        <v>104</v>
      </c>
      <c r="N164" s="71">
        <f t="shared" si="137"/>
        <v>265445.28000000003</v>
      </c>
      <c r="O164" s="146">
        <f t="shared" si="136"/>
        <v>265445.28000000003</v>
      </c>
      <c r="P164" s="146"/>
      <c r="Q164" s="59" t="s">
        <v>104</v>
      </c>
      <c r="R164" s="59"/>
      <c r="S164" s="59"/>
      <c r="T164" s="59" t="s">
        <v>104</v>
      </c>
      <c r="U164" s="75">
        <f t="shared" si="138"/>
        <v>265445.28000000003</v>
      </c>
      <c r="V164" s="75">
        <f t="shared" si="139"/>
        <v>265445.28000000003</v>
      </c>
    </row>
    <row r="165" spans="1:22">
      <c r="A165" s="310"/>
      <c r="B165" s="311"/>
      <c r="C165" s="63" t="s">
        <v>168</v>
      </c>
      <c r="D165" s="64" t="s">
        <v>101</v>
      </c>
      <c r="E165" s="59">
        <v>1</v>
      </c>
      <c r="F165" s="59">
        <v>1</v>
      </c>
      <c r="G165" s="59">
        <f t="shared" si="134"/>
        <v>1</v>
      </c>
      <c r="H165" s="59">
        <v>1</v>
      </c>
      <c r="I165" s="59">
        <v>1</v>
      </c>
      <c r="J165" s="75">
        <f t="shared" si="135"/>
        <v>23553.439999999999</v>
      </c>
      <c r="K165" s="75">
        <v>23553.439999999999</v>
      </c>
      <c r="L165" s="59" t="s">
        <v>104</v>
      </c>
      <c r="M165" s="59" t="s">
        <v>104</v>
      </c>
      <c r="N165" s="71">
        <f t="shared" si="137"/>
        <v>23553.439999999999</v>
      </c>
      <c r="O165" s="146">
        <f t="shared" si="136"/>
        <v>23553.439999999999</v>
      </c>
      <c r="P165" s="146"/>
      <c r="Q165" s="59" t="s">
        <v>104</v>
      </c>
      <c r="R165" s="59"/>
      <c r="S165" s="59"/>
      <c r="T165" s="59" t="s">
        <v>104</v>
      </c>
      <c r="U165" s="75">
        <f t="shared" si="138"/>
        <v>23553.439999999999</v>
      </c>
      <c r="V165" s="75">
        <f t="shared" si="139"/>
        <v>23553.439999999999</v>
      </c>
    </row>
    <row r="166" spans="1:22" ht="110.4">
      <c r="A166" s="310"/>
      <c r="B166" s="311"/>
      <c r="C166" s="61" t="s">
        <v>105</v>
      </c>
      <c r="D166" s="64" t="s">
        <v>101</v>
      </c>
      <c r="E166" s="59">
        <v>1</v>
      </c>
      <c r="F166" s="59">
        <v>1</v>
      </c>
      <c r="G166" s="59">
        <f t="shared" si="134"/>
        <v>1</v>
      </c>
      <c r="H166" s="59">
        <v>1</v>
      </c>
      <c r="I166" s="59">
        <v>1</v>
      </c>
      <c r="J166" s="75">
        <f>SUM(K166:M166)</f>
        <v>138391.77000000002</v>
      </c>
      <c r="K166" s="148">
        <f>121412.92+1351.63</f>
        <v>122764.55</v>
      </c>
      <c r="L166" s="72">
        <v>4001.99</v>
      </c>
      <c r="M166" s="163">
        <v>11625.23</v>
      </c>
      <c r="N166" s="71">
        <f>SUM(O166:T166)</f>
        <v>138391.77000000002</v>
      </c>
      <c r="O166" s="146">
        <f t="shared" si="136"/>
        <v>122764.55</v>
      </c>
      <c r="P166" s="146"/>
      <c r="Q166" s="71">
        <f>G166*L166</f>
        <v>4001.99</v>
      </c>
      <c r="R166" s="71"/>
      <c r="S166" s="71"/>
      <c r="T166" s="75">
        <f>G166*M166</f>
        <v>11625.23</v>
      </c>
      <c r="U166" s="75">
        <f t="shared" si="97"/>
        <v>138391.77000000002</v>
      </c>
      <c r="V166" s="75">
        <f t="shared" si="98"/>
        <v>138391.77000000002</v>
      </c>
    </row>
    <row r="167" spans="1:22">
      <c r="A167" s="310"/>
      <c r="B167" s="311"/>
      <c r="C167" s="66" t="s">
        <v>106</v>
      </c>
      <c r="D167" s="67"/>
      <c r="E167" s="59">
        <f>E159+E166</f>
        <v>212</v>
      </c>
      <c r="F167" s="59">
        <f t="shared" ref="F167:I167" si="140">F159+F166</f>
        <v>212</v>
      </c>
      <c r="G167" s="59">
        <f>G159+G166</f>
        <v>212</v>
      </c>
      <c r="H167" s="59">
        <f t="shared" si="140"/>
        <v>212</v>
      </c>
      <c r="I167" s="59">
        <f t="shared" si="140"/>
        <v>212</v>
      </c>
      <c r="J167" s="71" t="s">
        <v>104</v>
      </c>
      <c r="K167" s="71" t="s">
        <v>104</v>
      </c>
      <c r="L167" s="71" t="s">
        <v>104</v>
      </c>
      <c r="M167" s="71" t="s">
        <v>104</v>
      </c>
      <c r="N167" s="71">
        <f t="shared" ref="N167:V167" si="141">SUM(N159:N166)</f>
        <v>9545322.3199999984</v>
      </c>
      <c r="O167" s="71">
        <f t="shared" si="141"/>
        <v>6232351.6800000006</v>
      </c>
      <c r="P167" s="71"/>
      <c r="Q167" s="71">
        <f t="shared" si="141"/>
        <v>848421.87999999989</v>
      </c>
      <c r="R167" s="71"/>
      <c r="S167" s="71"/>
      <c r="T167" s="71">
        <f t="shared" si="141"/>
        <v>2464548.7599999998</v>
      </c>
      <c r="U167" s="71">
        <f t="shared" si="141"/>
        <v>9545322.3199999984</v>
      </c>
      <c r="V167" s="71">
        <f t="shared" si="141"/>
        <v>9545322.3199999984</v>
      </c>
    </row>
    <row r="168" spans="1:22" ht="82.8">
      <c r="A168" s="310"/>
      <c r="B168" s="311" t="s">
        <v>107</v>
      </c>
      <c r="C168" s="61" t="s">
        <v>100</v>
      </c>
      <c r="D168" s="62" t="s">
        <v>101</v>
      </c>
      <c r="E168" s="59">
        <v>223</v>
      </c>
      <c r="F168" s="59">
        <v>223</v>
      </c>
      <c r="G168" s="59">
        <f t="shared" si="134"/>
        <v>223</v>
      </c>
      <c r="H168" s="59">
        <v>223</v>
      </c>
      <c r="I168" s="59">
        <v>223</v>
      </c>
      <c r="J168" s="107">
        <f>SUM(K168:M168)</f>
        <v>51622.92</v>
      </c>
      <c r="K168" s="147">
        <f>34346.05+1649.65</f>
        <v>35995.700000000004</v>
      </c>
      <c r="L168" s="70">
        <v>4001.99</v>
      </c>
      <c r="M168" s="163">
        <v>11625.23</v>
      </c>
      <c r="N168" s="71">
        <f>SUM(O168:T168)</f>
        <v>11511911.16</v>
      </c>
      <c r="O168" s="146">
        <f>G168*K168</f>
        <v>8027041.1000000006</v>
      </c>
      <c r="P168" s="146"/>
      <c r="Q168" s="71">
        <f>G168*L168</f>
        <v>892443.7699999999</v>
      </c>
      <c r="R168" s="71"/>
      <c r="S168" s="71"/>
      <c r="T168" s="156">
        <f>G168*M168</f>
        <v>2592426.29</v>
      </c>
      <c r="U168" s="75">
        <f t="shared" si="97"/>
        <v>11511911.16</v>
      </c>
      <c r="V168" s="75">
        <f t="shared" si="98"/>
        <v>11511911.16</v>
      </c>
    </row>
    <row r="169" spans="1:22" ht="96.6">
      <c r="A169" s="310"/>
      <c r="B169" s="311"/>
      <c r="C169" s="63" t="s">
        <v>163</v>
      </c>
      <c r="D169" s="64" t="s">
        <v>101</v>
      </c>
      <c r="E169" s="59" t="s">
        <v>104</v>
      </c>
      <c r="F169" s="59" t="s">
        <v>104</v>
      </c>
      <c r="G169" s="59" t="s">
        <v>104</v>
      </c>
      <c r="H169" s="59" t="s">
        <v>104</v>
      </c>
      <c r="I169" s="59" t="s">
        <v>104</v>
      </c>
      <c r="J169" s="59" t="s">
        <v>104</v>
      </c>
      <c r="K169" s="59" t="s">
        <v>104</v>
      </c>
      <c r="L169" s="59" t="s">
        <v>104</v>
      </c>
      <c r="M169" s="59" t="s">
        <v>104</v>
      </c>
      <c r="N169" s="71"/>
      <c r="O169" s="71"/>
      <c r="P169" s="71"/>
      <c r="Q169" s="59" t="s">
        <v>104</v>
      </c>
      <c r="R169" s="59"/>
      <c r="S169" s="59"/>
      <c r="T169" s="59" t="s">
        <v>104</v>
      </c>
      <c r="U169" s="75"/>
      <c r="V169" s="75"/>
    </row>
    <row r="170" spans="1:22">
      <c r="A170" s="310"/>
      <c r="B170" s="311"/>
      <c r="C170" s="63" t="s">
        <v>171</v>
      </c>
      <c r="D170" s="64" t="s">
        <v>101</v>
      </c>
      <c r="E170" s="60">
        <v>1</v>
      </c>
      <c r="F170" s="60">
        <v>1</v>
      </c>
      <c r="G170" s="59">
        <f t="shared" si="134"/>
        <v>1</v>
      </c>
      <c r="H170" s="60">
        <v>1</v>
      </c>
      <c r="I170" s="60">
        <v>1</v>
      </c>
      <c r="J170" s="75">
        <f t="shared" ref="J170:J171" si="142">K170</f>
        <v>69362.66</v>
      </c>
      <c r="K170" s="75">
        <v>69362.66</v>
      </c>
      <c r="L170" s="59" t="s">
        <v>104</v>
      </c>
      <c r="M170" s="59" t="s">
        <v>104</v>
      </c>
      <c r="N170" s="71">
        <f t="shared" ref="N170:N171" si="143">O170</f>
        <v>69362.66</v>
      </c>
      <c r="O170" s="146">
        <f>G170*K170</f>
        <v>69362.66</v>
      </c>
      <c r="P170" s="146"/>
      <c r="Q170" s="59" t="s">
        <v>104</v>
      </c>
      <c r="R170" s="59"/>
      <c r="S170" s="59"/>
      <c r="T170" s="59" t="s">
        <v>104</v>
      </c>
      <c r="U170" s="75">
        <f>H170*K170</f>
        <v>69362.66</v>
      </c>
      <c r="V170" s="75">
        <f>I170*K170</f>
        <v>69362.66</v>
      </c>
    </row>
    <row r="171" spans="1:22">
      <c r="A171" s="310"/>
      <c r="B171" s="311"/>
      <c r="C171" s="63" t="s">
        <v>165</v>
      </c>
      <c r="D171" s="64" t="s">
        <v>101</v>
      </c>
      <c r="E171" s="60">
        <v>1</v>
      </c>
      <c r="F171" s="60">
        <v>1</v>
      </c>
      <c r="G171" s="59">
        <f t="shared" si="134"/>
        <v>1</v>
      </c>
      <c r="H171" s="60">
        <v>1</v>
      </c>
      <c r="I171" s="60">
        <v>1</v>
      </c>
      <c r="J171" s="75">
        <f t="shared" si="142"/>
        <v>92468.25</v>
      </c>
      <c r="K171" s="75">
        <v>92468.25</v>
      </c>
      <c r="L171" s="59" t="s">
        <v>104</v>
      </c>
      <c r="M171" s="59" t="s">
        <v>104</v>
      </c>
      <c r="N171" s="71">
        <f t="shared" si="143"/>
        <v>92468.25</v>
      </c>
      <c r="O171" s="146">
        <f t="shared" ref="O171:O173" si="144">G171*K171</f>
        <v>92468.25</v>
      </c>
      <c r="P171" s="146"/>
      <c r="Q171" s="59" t="s">
        <v>104</v>
      </c>
      <c r="R171" s="59"/>
      <c r="S171" s="59"/>
      <c r="T171" s="59" t="s">
        <v>104</v>
      </c>
      <c r="U171" s="75">
        <f t="shared" ref="U171:U172" si="145">H171*K171</f>
        <v>92468.25</v>
      </c>
      <c r="V171" s="75">
        <f t="shared" ref="V171:V172" si="146">I171*K171</f>
        <v>92468.25</v>
      </c>
    </row>
    <row r="172" spans="1:22">
      <c r="A172" s="310"/>
      <c r="B172" s="311"/>
      <c r="C172" s="63" t="s">
        <v>168</v>
      </c>
      <c r="D172" s="64" t="s">
        <v>101</v>
      </c>
      <c r="E172" s="60">
        <v>6</v>
      </c>
      <c r="F172" s="60">
        <v>6</v>
      </c>
      <c r="G172" s="59">
        <f t="shared" si="134"/>
        <v>6</v>
      </c>
      <c r="H172" s="60">
        <v>6</v>
      </c>
      <c r="I172" s="60">
        <v>6</v>
      </c>
      <c r="J172" s="75">
        <f>K172</f>
        <v>23553.439999999999</v>
      </c>
      <c r="K172" s="75">
        <v>23553.439999999999</v>
      </c>
      <c r="L172" s="59" t="s">
        <v>104</v>
      </c>
      <c r="M172" s="59" t="s">
        <v>104</v>
      </c>
      <c r="N172" s="71">
        <f>O172</f>
        <v>141320.63999999998</v>
      </c>
      <c r="O172" s="146">
        <f t="shared" si="144"/>
        <v>141320.63999999998</v>
      </c>
      <c r="P172" s="146"/>
      <c r="Q172" s="59" t="s">
        <v>104</v>
      </c>
      <c r="R172" s="59"/>
      <c r="S172" s="59"/>
      <c r="T172" s="59" t="s">
        <v>104</v>
      </c>
      <c r="U172" s="75">
        <f t="shared" si="145"/>
        <v>141320.63999999998</v>
      </c>
      <c r="V172" s="75">
        <f t="shared" si="146"/>
        <v>141320.63999999998</v>
      </c>
    </row>
    <row r="173" spans="1:22" ht="110.4">
      <c r="A173" s="310"/>
      <c r="B173" s="311"/>
      <c r="C173" s="61" t="s">
        <v>105</v>
      </c>
      <c r="D173" s="64" t="s">
        <v>101</v>
      </c>
      <c r="E173" s="60">
        <v>3</v>
      </c>
      <c r="F173" s="60">
        <v>3</v>
      </c>
      <c r="G173" s="59">
        <f t="shared" si="134"/>
        <v>3</v>
      </c>
      <c r="H173" s="60">
        <v>3</v>
      </c>
      <c r="I173" s="60">
        <v>3</v>
      </c>
      <c r="J173" s="75">
        <f>SUM(K173:M173)</f>
        <v>168684.5</v>
      </c>
      <c r="K173" s="148">
        <f>151407.63+1649.65</f>
        <v>153057.28</v>
      </c>
      <c r="L173" s="72">
        <v>4001.99</v>
      </c>
      <c r="M173" s="163">
        <v>11625.23</v>
      </c>
      <c r="N173" s="73">
        <f>SUM(O173:T173)</f>
        <v>506053.49999999994</v>
      </c>
      <c r="O173" s="146">
        <f t="shared" si="144"/>
        <v>459171.83999999997</v>
      </c>
      <c r="P173" s="146"/>
      <c r="Q173" s="73">
        <f>G173*L173</f>
        <v>12005.97</v>
      </c>
      <c r="R173" s="73"/>
      <c r="S173" s="73"/>
      <c r="T173" s="156">
        <f>G173*M173</f>
        <v>34875.69</v>
      </c>
      <c r="U173" s="75">
        <f t="shared" si="97"/>
        <v>506053.5</v>
      </c>
      <c r="V173" s="75">
        <f t="shared" si="98"/>
        <v>506053.5</v>
      </c>
    </row>
    <row r="174" spans="1:22">
      <c r="A174" s="310"/>
      <c r="B174" s="110"/>
      <c r="C174" s="66" t="s">
        <v>106</v>
      </c>
      <c r="D174" s="64"/>
      <c r="E174" s="60">
        <f>E168+E173</f>
        <v>226</v>
      </c>
      <c r="F174" s="60">
        <f t="shared" ref="F174:I174" si="147">F168+F173</f>
        <v>226</v>
      </c>
      <c r="G174" s="60">
        <f t="shared" si="147"/>
        <v>226</v>
      </c>
      <c r="H174" s="60">
        <f t="shared" si="147"/>
        <v>226</v>
      </c>
      <c r="I174" s="60">
        <f t="shared" si="147"/>
        <v>226</v>
      </c>
      <c r="J174" s="73" t="s">
        <v>104</v>
      </c>
      <c r="K174" s="73" t="s">
        <v>104</v>
      </c>
      <c r="L174" s="74" t="s">
        <v>104</v>
      </c>
      <c r="M174" s="74" t="s">
        <v>104</v>
      </c>
      <c r="N174" s="74">
        <f t="shared" ref="N174:V174" si="148">SUM(N168:N173)</f>
        <v>12321116.210000001</v>
      </c>
      <c r="O174" s="74">
        <f t="shared" si="148"/>
        <v>8789364.4900000002</v>
      </c>
      <c r="P174" s="74"/>
      <c r="Q174" s="74">
        <f t="shared" si="148"/>
        <v>904449.73999999987</v>
      </c>
      <c r="R174" s="74"/>
      <c r="S174" s="74"/>
      <c r="T174" s="74">
        <f t="shared" si="148"/>
        <v>2627301.98</v>
      </c>
      <c r="U174" s="74">
        <f t="shared" si="148"/>
        <v>12321116.210000001</v>
      </c>
      <c r="V174" s="74">
        <f t="shared" si="148"/>
        <v>12321116.210000001</v>
      </c>
    </row>
    <row r="175" spans="1:22" ht="82.8">
      <c r="A175" s="310"/>
      <c r="B175" s="311" t="s">
        <v>108</v>
      </c>
      <c r="C175" s="61" t="s">
        <v>100</v>
      </c>
      <c r="D175" s="62" t="s">
        <v>101</v>
      </c>
      <c r="E175" s="60">
        <v>68</v>
      </c>
      <c r="F175" s="60">
        <v>68</v>
      </c>
      <c r="G175" s="59">
        <f t="shared" si="134"/>
        <v>68</v>
      </c>
      <c r="H175" s="60">
        <v>68</v>
      </c>
      <c r="I175" s="60">
        <v>68</v>
      </c>
      <c r="J175" s="107">
        <f>SUM(K175:M175)</f>
        <v>58731.119999999995</v>
      </c>
      <c r="K175" s="147">
        <f>41105.12+1998.78</f>
        <v>43103.9</v>
      </c>
      <c r="L175" s="70">
        <v>4001.99</v>
      </c>
      <c r="M175" s="163">
        <v>11625.23</v>
      </c>
      <c r="N175" s="73">
        <f>SUM(O175:T175)</f>
        <v>3993716.16</v>
      </c>
      <c r="O175" s="149">
        <f>G175*K175</f>
        <v>2931065.2</v>
      </c>
      <c r="P175" s="149"/>
      <c r="Q175" s="73">
        <f>G175*L175</f>
        <v>272135.32</v>
      </c>
      <c r="R175" s="73"/>
      <c r="S175" s="73"/>
      <c r="T175" s="156">
        <f>G175*M175</f>
        <v>790515.64</v>
      </c>
      <c r="U175" s="75">
        <f t="shared" si="97"/>
        <v>3993716.1599999997</v>
      </c>
      <c r="V175" s="75">
        <f t="shared" si="98"/>
        <v>3993716.1599999997</v>
      </c>
    </row>
    <row r="176" spans="1:22" ht="96.6">
      <c r="A176" s="310"/>
      <c r="B176" s="311"/>
      <c r="C176" s="63" t="s">
        <v>163</v>
      </c>
      <c r="D176" s="64" t="s">
        <v>101</v>
      </c>
      <c r="E176" s="59" t="s">
        <v>104</v>
      </c>
      <c r="F176" s="59" t="s">
        <v>104</v>
      </c>
      <c r="G176" s="59" t="s">
        <v>104</v>
      </c>
      <c r="H176" s="59" t="s">
        <v>104</v>
      </c>
      <c r="I176" s="59" t="s">
        <v>104</v>
      </c>
      <c r="J176" s="59" t="s">
        <v>104</v>
      </c>
      <c r="K176" s="59" t="s">
        <v>104</v>
      </c>
      <c r="L176" s="59" t="s">
        <v>104</v>
      </c>
      <c r="M176" s="59" t="s">
        <v>104</v>
      </c>
      <c r="N176" s="71"/>
      <c r="O176" s="71"/>
      <c r="P176" s="71"/>
      <c r="Q176" s="59" t="s">
        <v>104</v>
      </c>
      <c r="R176" s="59"/>
      <c r="S176" s="59"/>
      <c r="T176" s="59" t="s">
        <v>104</v>
      </c>
      <c r="U176" s="75"/>
      <c r="V176" s="75"/>
    </row>
    <row r="177" spans="1:22">
      <c r="A177" s="310"/>
      <c r="B177" s="311"/>
      <c r="C177" s="63" t="s">
        <v>165</v>
      </c>
      <c r="D177" s="64" t="s">
        <v>101</v>
      </c>
      <c r="E177" s="60"/>
      <c r="F177" s="60"/>
      <c r="G177" s="59">
        <f t="shared" si="134"/>
        <v>0</v>
      </c>
      <c r="H177" s="60"/>
      <c r="I177" s="60"/>
      <c r="J177" s="75">
        <f>K177</f>
        <v>92468.25</v>
      </c>
      <c r="K177" s="75">
        <v>92468.25</v>
      </c>
      <c r="L177" s="59" t="s">
        <v>104</v>
      </c>
      <c r="M177" s="59" t="s">
        <v>104</v>
      </c>
      <c r="N177" s="71">
        <f>O177</f>
        <v>0</v>
      </c>
      <c r="O177" s="146">
        <f>G177*K177</f>
        <v>0</v>
      </c>
      <c r="P177" s="146"/>
      <c r="Q177" s="59" t="s">
        <v>104</v>
      </c>
      <c r="R177" s="59"/>
      <c r="S177" s="59"/>
      <c r="T177" s="59" t="s">
        <v>104</v>
      </c>
      <c r="U177" s="75">
        <f>H177*K177</f>
        <v>0</v>
      </c>
      <c r="V177" s="75">
        <f>I177*K177</f>
        <v>0</v>
      </c>
    </row>
    <row r="178" spans="1:22">
      <c r="A178" s="310"/>
      <c r="B178" s="311"/>
      <c r="C178" s="63" t="s">
        <v>168</v>
      </c>
      <c r="D178" s="64" t="s">
        <v>101</v>
      </c>
      <c r="E178" s="60"/>
      <c r="F178" s="60"/>
      <c r="G178" s="59">
        <f t="shared" si="134"/>
        <v>0</v>
      </c>
      <c r="H178" s="60"/>
      <c r="I178" s="60"/>
      <c r="J178" s="75">
        <f>K178</f>
        <v>23553.439999999999</v>
      </c>
      <c r="K178" s="75">
        <v>23553.439999999999</v>
      </c>
      <c r="L178" s="59" t="s">
        <v>104</v>
      </c>
      <c r="M178" s="59" t="s">
        <v>104</v>
      </c>
      <c r="N178" s="71">
        <f>O178</f>
        <v>0</v>
      </c>
      <c r="O178" s="146">
        <f>G178*K178</f>
        <v>0</v>
      </c>
      <c r="P178" s="146"/>
      <c r="Q178" s="59" t="s">
        <v>104</v>
      </c>
      <c r="R178" s="59"/>
      <c r="S178" s="59"/>
      <c r="T178" s="59" t="s">
        <v>104</v>
      </c>
      <c r="U178" s="75">
        <f>H178*K178</f>
        <v>0</v>
      </c>
      <c r="V178" s="75">
        <f>I178*K178</f>
        <v>0</v>
      </c>
    </row>
    <row r="179" spans="1:22" ht="110.4">
      <c r="A179" s="310"/>
      <c r="B179" s="311"/>
      <c r="C179" s="61" t="s">
        <v>105</v>
      </c>
      <c r="D179" s="64" t="s">
        <v>101</v>
      </c>
      <c r="E179" s="60"/>
      <c r="F179" s="60"/>
      <c r="G179" s="59">
        <f t="shared" si="134"/>
        <v>0</v>
      </c>
      <c r="H179" s="60"/>
      <c r="I179" s="60"/>
      <c r="J179" s="75">
        <f>SUM(K179:M179)</f>
        <v>199028.35</v>
      </c>
      <c r="K179" s="148">
        <f>181402.35+1998.78</f>
        <v>183401.13</v>
      </c>
      <c r="L179" s="72">
        <v>4001.99</v>
      </c>
      <c r="M179" s="163">
        <v>11625.23</v>
      </c>
      <c r="N179" s="73"/>
      <c r="O179" s="146">
        <f>G179*K179</f>
        <v>0</v>
      </c>
      <c r="P179" s="146"/>
      <c r="Q179" s="73"/>
      <c r="R179" s="73"/>
      <c r="S179" s="73"/>
      <c r="T179" s="73"/>
      <c r="U179" s="75">
        <f t="shared" si="97"/>
        <v>0</v>
      </c>
      <c r="V179" s="75">
        <f t="shared" si="98"/>
        <v>0</v>
      </c>
    </row>
    <row r="180" spans="1:22">
      <c r="A180" s="310"/>
      <c r="B180" s="110"/>
      <c r="C180" s="66" t="s">
        <v>106</v>
      </c>
      <c r="D180" s="64"/>
      <c r="E180" s="60">
        <f>E175+E179</f>
        <v>68</v>
      </c>
      <c r="F180" s="60">
        <f t="shared" ref="F180:I180" si="149">F175+F179</f>
        <v>68</v>
      </c>
      <c r="G180" s="60">
        <f t="shared" si="149"/>
        <v>68</v>
      </c>
      <c r="H180" s="60">
        <f t="shared" si="149"/>
        <v>68</v>
      </c>
      <c r="I180" s="60">
        <f t="shared" si="149"/>
        <v>68</v>
      </c>
      <c r="J180" s="73" t="s">
        <v>104</v>
      </c>
      <c r="K180" s="73" t="s">
        <v>104</v>
      </c>
      <c r="L180" s="74" t="s">
        <v>104</v>
      </c>
      <c r="M180" s="74" t="s">
        <v>104</v>
      </c>
      <c r="N180" s="74">
        <f t="shared" ref="N180:V180" si="150">SUM(N175:N179)</f>
        <v>3993716.16</v>
      </c>
      <c r="O180" s="74">
        <f t="shared" si="150"/>
        <v>2931065.2</v>
      </c>
      <c r="P180" s="74"/>
      <c r="Q180" s="74">
        <f t="shared" si="150"/>
        <v>272135.32</v>
      </c>
      <c r="R180" s="74"/>
      <c r="S180" s="74"/>
      <c r="T180" s="74">
        <f t="shared" si="150"/>
        <v>790515.64</v>
      </c>
      <c r="U180" s="74">
        <f t="shared" si="150"/>
        <v>3993716.1599999997</v>
      </c>
      <c r="V180" s="74">
        <f t="shared" si="150"/>
        <v>3993716.1599999997</v>
      </c>
    </row>
    <row r="181" spans="1:22" ht="96.6">
      <c r="A181" s="310"/>
      <c r="B181" s="165" t="s">
        <v>109</v>
      </c>
      <c r="C181" s="166" t="s">
        <v>187</v>
      </c>
      <c r="D181" s="167" t="s">
        <v>101</v>
      </c>
      <c r="E181" s="168">
        <v>426</v>
      </c>
      <c r="F181" s="168">
        <v>426</v>
      </c>
      <c r="G181" s="169">
        <f t="shared" si="134"/>
        <v>426</v>
      </c>
      <c r="H181" s="168">
        <v>426</v>
      </c>
      <c r="I181" s="168">
        <v>426</v>
      </c>
      <c r="J181" s="75">
        <f>K181</f>
        <v>3978.76</v>
      </c>
      <c r="K181" s="75">
        <v>3978.76</v>
      </c>
      <c r="L181" s="72" t="s">
        <v>104</v>
      </c>
      <c r="M181" s="72" t="s">
        <v>104</v>
      </c>
      <c r="N181" s="73">
        <f>SUM(O181:T181)</f>
        <v>1694951.76</v>
      </c>
      <c r="O181" s="149">
        <f>K181*G181</f>
        <v>1694951.76</v>
      </c>
      <c r="P181" s="149"/>
      <c r="Q181" s="73" t="s">
        <v>104</v>
      </c>
      <c r="R181" s="73"/>
      <c r="S181" s="73"/>
      <c r="T181" s="73" t="s">
        <v>104</v>
      </c>
      <c r="U181" s="75">
        <f t="shared" si="97"/>
        <v>1694951.76</v>
      </c>
      <c r="V181" s="75">
        <f t="shared" si="98"/>
        <v>1694951.76</v>
      </c>
    </row>
    <row r="182" spans="1:22">
      <c r="A182" s="310"/>
      <c r="B182" s="69"/>
      <c r="C182" s="66" t="s">
        <v>106</v>
      </c>
      <c r="D182" s="69"/>
      <c r="E182" s="60">
        <f>SUM(E181:E181)</f>
        <v>426</v>
      </c>
      <c r="F182" s="60">
        <f>SUM(F181:F181)</f>
        <v>426</v>
      </c>
      <c r="G182" s="60">
        <f>SUM(G181:G181)</f>
        <v>426</v>
      </c>
      <c r="H182" s="60">
        <f>SUM(H181:H181)</f>
        <v>426</v>
      </c>
      <c r="I182" s="60">
        <f>SUM(I181:I181)</f>
        <v>426</v>
      </c>
      <c r="J182" s="73" t="s">
        <v>104</v>
      </c>
      <c r="K182" s="73" t="s">
        <v>104</v>
      </c>
      <c r="L182" s="74" t="s">
        <v>104</v>
      </c>
      <c r="M182" s="74">
        <f t="shared" ref="M182:V182" si="151">SUM(M181:M181)</f>
        <v>0</v>
      </c>
      <c r="N182" s="74">
        <f t="shared" si="151"/>
        <v>1694951.76</v>
      </c>
      <c r="O182" s="74">
        <f t="shared" si="151"/>
        <v>1694951.76</v>
      </c>
      <c r="P182" s="74"/>
      <c r="Q182" s="74">
        <f t="shared" si="151"/>
        <v>0</v>
      </c>
      <c r="R182" s="74"/>
      <c r="S182" s="74"/>
      <c r="T182" s="74">
        <f t="shared" si="151"/>
        <v>0</v>
      </c>
      <c r="U182" s="75">
        <f t="shared" si="151"/>
        <v>1694951.76</v>
      </c>
      <c r="V182" s="75">
        <f t="shared" si="151"/>
        <v>1694951.76</v>
      </c>
    </row>
    <row r="183" spans="1:22">
      <c r="A183" s="310"/>
      <c r="B183" s="101" t="s">
        <v>112</v>
      </c>
      <c r="C183" s="101"/>
      <c r="D183" s="69"/>
      <c r="E183" s="102"/>
      <c r="F183" s="102"/>
      <c r="G183" s="102"/>
      <c r="H183" s="102"/>
      <c r="I183" s="102"/>
      <c r="J183" s="104"/>
      <c r="K183" s="104"/>
      <c r="L183" s="103"/>
      <c r="M183" s="103"/>
      <c r="N183" s="103">
        <f>SUM(O183:T183)</f>
        <v>27555106.450000003</v>
      </c>
      <c r="O183" s="103">
        <f>O167+O174+O180+O182</f>
        <v>19647733.130000003</v>
      </c>
      <c r="P183" s="103"/>
      <c r="Q183" s="103">
        <f>Q167+Q174+Q180+Q182</f>
        <v>2025006.9399999997</v>
      </c>
      <c r="R183" s="103"/>
      <c r="S183" s="103"/>
      <c r="T183" s="103">
        <f>T167+T174+T180+T182</f>
        <v>5882366.3799999999</v>
      </c>
      <c r="U183" s="103">
        <f>U167+U174+U180+U182</f>
        <v>27555106.450000003</v>
      </c>
      <c r="V183" s="103">
        <f>V167+V174+V180+V182</f>
        <v>27555106.450000003</v>
      </c>
    </row>
    <row r="184" spans="1:22" ht="82.8">
      <c r="A184" s="310" t="s">
        <v>115</v>
      </c>
      <c r="B184" s="311" t="s">
        <v>99</v>
      </c>
      <c r="C184" s="61" t="s">
        <v>100</v>
      </c>
      <c r="D184" s="62" t="s">
        <v>101</v>
      </c>
      <c r="E184" s="59">
        <v>207</v>
      </c>
      <c r="F184" s="59">
        <v>207</v>
      </c>
      <c r="G184" s="59">
        <f t="shared" ref="G184:G206" si="152">((E184*8)+(F184*4))/12</f>
        <v>207</v>
      </c>
      <c r="H184" s="59">
        <v>207</v>
      </c>
      <c r="I184" s="59">
        <v>207</v>
      </c>
      <c r="J184" s="107">
        <f>SUM(K184:M184)</f>
        <v>40097.97</v>
      </c>
      <c r="K184" s="147">
        <f>23119.12+1351.63</f>
        <v>24470.75</v>
      </c>
      <c r="L184" s="70">
        <v>4001.99</v>
      </c>
      <c r="M184" s="163">
        <v>11625.23</v>
      </c>
      <c r="N184" s="71">
        <f>SUM(O184:T184)</f>
        <v>8300279.7899999991</v>
      </c>
      <c r="O184" s="146">
        <f>G184*K184</f>
        <v>5065445.25</v>
      </c>
      <c r="P184" s="146"/>
      <c r="Q184" s="71">
        <f>G184*L184</f>
        <v>828411.92999999993</v>
      </c>
      <c r="R184" s="71"/>
      <c r="S184" s="71"/>
      <c r="T184" s="156">
        <f>G184*M184</f>
        <v>2406422.61</v>
      </c>
      <c r="U184" s="75">
        <f t="shared" si="97"/>
        <v>8300279.79</v>
      </c>
      <c r="V184" s="75">
        <f t="shared" si="98"/>
        <v>8300279.79</v>
      </c>
    </row>
    <row r="185" spans="1:22" ht="96.6">
      <c r="A185" s="310"/>
      <c r="B185" s="311"/>
      <c r="C185" s="63" t="s">
        <v>163</v>
      </c>
      <c r="D185" s="64" t="s">
        <v>101</v>
      </c>
      <c r="E185" s="59" t="s">
        <v>104</v>
      </c>
      <c r="F185" s="59" t="s">
        <v>104</v>
      </c>
      <c r="G185" s="59" t="s">
        <v>104</v>
      </c>
      <c r="H185" s="59" t="s">
        <v>104</v>
      </c>
      <c r="I185" s="59" t="s">
        <v>104</v>
      </c>
      <c r="J185" s="59" t="s">
        <v>104</v>
      </c>
      <c r="K185" s="59" t="s">
        <v>104</v>
      </c>
      <c r="L185" s="59" t="s">
        <v>104</v>
      </c>
      <c r="M185" s="59" t="s">
        <v>104</v>
      </c>
      <c r="N185" s="71"/>
      <c r="O185" s="71"/>
      <c r="P185" s="71"/>
      <c r="Q185" s="59" t="s">
        <v>104</v>
      </c>
      <c r="R185" s="59"/>
      <c r="S185" s="59"/>
      <c r="T185" s="59" t="s">
        <v>104</v>
      </c>
      <c r="U185" s="75"/>
      <c r="V185" s="75"/>
    </row>
    <row r="186" spans="1:22">
      <c r="A186" s="310"/>
      <c r="B186" s="311"/>
      <c r="C186" s="63" t="s">
        <v>164</v>
      </c>
      <c r="D186" s="64" t="s">
        <v>101</v>
      </c>
      <c r="E186" s="59">
        <v>1</v>
      </c>
      <c r="F186" s="59">
        <v>1</v>
      </c>
      <c r="G186" s="59">
        <f t="shared" si="152"/>
        <v>1</v>
      </c>
      <c r="H186" s="59">
        <v>1</v>
      </c>
      <c r="I186" s="59">
        <v>1</v>
      </c>
      <c r="J186" s="75">
        <f>K186</f>
        <v>25589.72</v>
      </c>
      <c r="K186" s="71">
        <v>25589.72</v>
      </c>
      <c r="L186" s="59" t="s">
        <v>104</v>
      </c>
      <c r="M186" s="59" t="s">
        <v>104</v>
      </c>
      <c r="N186" s="71">
        <f t="shared" ref="N186:N188" si="153">O186</f>
        <v>25589.72</v>
      </c>
      <c r="O186" s="146">
        <f>G186*K186</f>
        <v>25589.72</v>
      </c>
      <c r="P186" s="146"/>
      <c r="Q186" s="59" t="s">
        <v>104</v>
      </c>
      <c r="R186" s="59"/>
      <c r="S186" s="59"/>
      <c r="T186" s="59" t="s">
        <v>104</v>
      </c>
      <c r="U186" s="75">
        <f t="shared" ref="U186:U188" si="154">H186*K186</f>
        <v>25589.72</v>
      </c>
      <c r="V186" s="75">
        <f t="shared" ref="V186:V188" si="155">I186*K186</f>
        <v>25589.72</v>
      </c>
    </row>
    <row r="187" spans="1:22">
      <c r="A187" s="310"/>
      <c r="B187" s="311"/>
      <c r="C187" s="63" t="s">
        <v>169</v>
      </c>
      <c r="D187" s="64" t="s">
        <v>101</v>
      </c>
      <c r="E187" s="59">
        <v>10</v>
      </c>
      <c r="F187" s="59">
        <v>10</v>
      </c>
      <c r="G187" s="59">
        <f t="shared" si="152"/>
        <v>10</v>
      </c>
      <c r="H187" s="59">
        <v>10</v>
      </c>
      <c r="I187" s="59">
        <v>10</v>
      </c>
      <c r="J187" s="75">
        <f>K187</f>
        <v>69362.66</v>
      </c>
      <c r="K187" s="71">
        <v>69362.66</v>
      </c>
      <c r="L187" s="59" t="s">
        <v>104</v>
      </c>
      <c r="M187" s="59" t="s">
        <v>104</v>
      </c>
      <c r="N187" s="71">
        <f t="shared" si="153"/>
        <v>693626.60000000009</v>
      </c>
      <c r="O187" s="146">
        <f t="shared" ref="O187:O192" si="156">G187*K187</f>
        <v>693626.60000000009</v>
      </c>
      <c r="P187" s="146"/>
      <c r="Q187" s="59" t="s">
        <v>104</v>
      </c>
      <c r="R187" s="59"/>
      <c r="S187" s="59"/>
      <c r="T187" s="59" t="s">
        <v>104</v>
      </c>
      <c r="U187" s="75">
        <f t="shared" si="154"/>
        <v>693626.60000000009</v>
      </c>
      <c r="V187" s="75">
        <f t="shared" si="155"/>
        <v>693626.60000000009</v>
      </c>
    </row>
    <row r="188" spans="1:22">
      <c r="A188" s="310"/>
      <c r="B188" s="311"/>
      <c r="C188" s="63" t="s">
        <v>165</v>
      </c>
      <c r="D188" s="64" t="s">
        <v>101</v>
      </c>
      <c r="E188" s="59">
        <v>1</v>
      </c>
      <c r="F188" s="59">
        <v>1</v>
      </c>
      <c r="G188" s="59">
        <f t="shared" si="152"/>
        <v>1</v>
      </c>
      <c r="H188" s="59">
        <v>1</v>
      </c>
      <c r="I188" s="59">
        <v>1</v>
      </c>
      <c r="J188" s="75">
        <f>K188</f>
        <v>92468.25</v>
      </c>
      <c r="K188" s="71">
        <v>92468.25</v>
      </c>
      <c r="L188" s="59" t="s">
        <v>104</v>
      </c>
      <c r="M188" s="59" t="s">
        <v>104</v>
      </c>
      <c r="N188" s="71">
        <f t="shared" si="153"/>
        <v>92468.25</v>
      </c>
      <c r="O188" s="146">
        <f t="shared" si="156"/>
        <v>92468.25</v>
      </c>
      <c r="P188" s="146"/>
      <c r="Q188" s="59" t="s">
        <v>104</v>
      </c>
      <c r="R188" s="59"/>
      <c r="S188" s="59"/>
      <c r="T188" s="59" t="s">
        <v>104</v>
      </c>
      <c r="U188" s="75">
        <f t="shared" si="154"/>
        <v>92468.25</v>
      </c>
      <c r="V188" s="75">
        <f t="shared" si="155"/>
        <v>92468.25</v>
      </c>
    </row>
    <row r="189" spans="1:22">
      <c r="A189" s="310"/>
      <c r="B189" s="311"/>
      <c r="C189" s="63" t="s">
        <v>166</v>
      </c>
      <c r="D189" s="64" t="s">
        <v>101</v>
      </c>
      <c r="E189" s="59">
        <v>14</v>
      </c>
      <c r="F189" s="59">
        <v>14</v>
      </c>
      <c r="G189" s="59">
        <f t="shared" si="152"/>
        <v>14</v>
      </c>
      <c r="H189" s="59">
        <v>14</v>
      </c>
      <c r="I189" s="59">
        <v>14</v>
      </c>
      <c r="J189" s="75">
        <f>K189</f>
        <v>66361.320000000007</v>
      </c>
      <c r="K189" s="75">
        <v>66361.320000000007</v>
      </c>
      <c r="L189" s="59" t="s">
        <v>104</v>
      </c>
      <c r="M189" s="59" t="s">
        <v>104</v>
      </c>
      <c r="N189" s="71">
        <f>O189</f>
        <v>929058.4800000001</v>
      </c>
      <c r="O189" s="146">
        <f t="shared" si="156"/>
        <v>929058.4800000001</v>
      </c>
      <c r="P189" s="146"/>
      <c r="Q189" s="59" t="s">
        <v>104</v>
      </c>
      <c r="R189" s="59"/>
      <c r="S189" s="59"/>
      <c r="T189" s="59" t="s">
        <v>104</v>
      </c>
      <c r="U189" s="75">
        <f>H189*K189</f>
        <v>929058.4800000001</v>
      </c>
      <c r="V189" s="75">
        <f>I189*K189</f>
        <v>929058.4800000001</v>
      </c>
    </row>
    <row r="190" spans="1:22">
      <c r="A190" s="310"/>
      <c r="B190" s="311"/>
      <c r="C190" s="63" t="s">
        <v>167</v>
      </c>
      <c r="D190" s="64" t="s">
        <v>101</v>
      </c>
      <c r="E190" s="59">
        <v>3</v>
      </c>
      <c r="F190" s="59">
        <v>3</v>
      </c>
      <c r="G190" s="59">
        <f t="shared" si="152"/>
        <v>3</v>
      </c>
      <c r="H190" s="59">
        <v>3</v>
      </c>
      <c r="I190" s="59">
        <v>3</v>
      </c>
      <c r="J190" s="75">
        <f>K190</f>
        <v>174890.83</v>
      </c>
      <c r="K190" s="75">
        <v>174890.83</v>
      </c>
      <c r="L190" s="59" t="s">
        <v>104</v>
      </c>
      <c r="M190" s="59" t="s">
        <v>104</v>
      </c>
      <c r="N190" s="71">
        <f>O190</f>
        <v>524672.49</v>
      </c>
      <c r="O190" s="146">
        <f t="shared" si="156"/>
        <v>524672.49</v>
      </c>
      <c r="P190" s="146"/>
      <c r="Q190" s="59" t="s">
        <v>104</v>
      </c>
      <c r="R190" s="59"/>
      <c r="S190" s="59"/>
      <c r="T190" s="59" t="s">
        <v>104</v>
      </c>
      <c r="U190" s="75">
        <f>H190*K190</f>
        <v>524672.49</v>
      </c>
      <c r="V190" s="75">
        <f>I190*K190</f>
        <v>524672.49</v>
      </c>
    </row>
    <row r="191" spans="1:22">
      <c r="A191" s="310"/>
      <c r="B191" s="311"/>
      <c r="C191" s="63" t="s">
        <v>170</v>
      </c>
      <c r="D191" s="64" t="s">
        <v>101</v>
      </c>
      <c r="E191" s="59">
        <v>1</v>
      </c>
      <c r="F191" s="59">
        <v>1</v>
      </c>
      <c r="G191" s="59">
        <f t="shared" si="152"/>
        <v>1</v>
      </c>
      <c r="H191" s="59">
        <v>1</v>
      </c>
      <c r="I191" s="59">
        <v>1</v>
      </c>
      <c r="J191" s="75">
        <f t="shared" ref="J191:J192" si="157">K191</f>
        <v>99648.29</v>
      </c>
      <c r="K191" s="75">
        <v>99648.29</v>
      </c>
      <c r="L191" s="59" t="s">
        <v>104</v>
      </c>
      <c r="M191" s="59" t="s">
        <v>104</v>
      </c>
      <c r="N191" s="71">
        <f t="shared" ref="N191:N192" si="158">O191</f>
        <v>99648.29</v>
      </c>
      <c r="O191" s="146">
        <f t="shared" si="156"/>
        <v>99648.29</v>
      </c>
      <c r="P191" s="146"/>
      <c r="Q191" s="59" t="s">
        <v>104</v>
      </c>
      <c r="R191" s="59"/>
      <c r="S191" s="59"/>
      <c r="T191" s="59" t="s">
        <v>104</v>
      </c>
      <c r="U191" s="75">
        <f t="shared" ref="U191:U192" si="159">H191*K191</f>
        <v>99648.29</v>
      </c>
      <c r="V191" s="75">
        <f t="shared" ref="V191:V192" si="160">I191*K191</f>
        <v>99648.29</v>
      </c>
    </row>
    <row r="192" spans="1:22">
      <c r="A192" s="310"/>
      <c r="B192" s="311"/>
      <c r="C192" s="63" t="s">
        <v>168</v>
      </c>
      <c r="D192" s="64" t="s">
        <v>101</v>
      </c>
      <c r="E192" s="59">
        <v>2</v>
      </c>
      <c r="F192" s="59">
        <v>2</v>
      </c>
      <c r="G192" s="59">
        <f t="shared" si="152"/>
        <v>2</v>
      </c>
      <c r="H192" s="59">
        <v>2</v>
      </c>
      <c r="I192" s="59">
        <v>2</v>
      </c>
      <c r="J192" s="75">
        <f t="shared" si="157"/>
        <v>23553.439999999999</v>
      </c>
      <c r="K192" s="75">
        <v>23553.439999999999</v>
      </c>
      <c r="L192" s="59" t="s">
        <v>104</v>
      </c>
      <c r="M192" s="59" t="s">
        <v>104</v>
      </c>
      <c r="N192" s="71">
        <f t="shared" si="158"/>
        <v>47106.879999999997</v>
      </c>
      <c r="O192" s="146">
        <f t="shared" si="156"/>
        <v>47106.879999999997</v>
      </c>
      <c r="P192" s="146"/>
      <c r="Q192" s="59" t="s">
        <v>104</v>
      </c>
      <c r="R192" s="59"/>
      <c r="S192" s="59"/>
      <c r="T192" s="59" t="s">
        <v>104</v>
      </c>
      <c r="U192" s="75">
        <f t="shared" si="159"/>
        <v>47106.879999999997</v>
      </c>
      <c r="V192" s="75">
        <f t="shared" si="160"/>
        <v>47106.879999999997</v>
      </c>
    </row>
    <row r="193" spans="1:22" ht="110.4">
      <c r="A193" s="310"/>
      <c r="B193" s="311"/>
      <c r="C193" s="61" t="s">
        <v>105</v>
      </c>
      <c r="D193" s="64" t="s">
        <v>101</v>
      </c>
      <c r="E193" s="59">
        <v>2</v>
      </c>
      <c r="F193" s="59">
        <v>2</v>
      </c>
      <c r="G193" s="59">
        <f t="shared" si="152"/>
        <v>2</v>
      </c>
      <c r="H193" s="59">
        <v>2</v>
      </c>
      <c r="I193" s="59">
        <v>2</v>
      </c>
      <c r="J193" s="75">
        <f>SUM(K193:M193)</f>
        <v>138391.77000000002</v>
      </c>
      <c r="K193" s="148">
        <f>121412.92+1351.63</f>
        <v>122764.55</v>
      </c>
      <c r="L193" s="72">
        <v>4001.99</v>
      </c>
      <c r="M193" s="163">
        <v>11625.23</v>
      </c>
      <c r="N193" s="71">
        <f>SUM(O193:T193)</f>
        <v>276783.54000000004</v>
      </c>
      <c r="O193" s="146">
        <f>G193*K193</f>
        <v>245529.1</v>
      </c>
      <c r="P193" s="146"/>
      <c r="Q193" s="71">
        <f>G193*L193</f>
        <v>8003.98</v>
      </c>
      <c r="R193" s="71"/>
      <c r="S193" s="71"/>
      <c r="T193" s="156">
        <f>G193*M193</f>
        <v>23250.46</v>
      </c>
      <c r="U193" s="75">
        <f t="shared" si="97"/>
        <v>276783.54000000004</v>
      </c>
      <c r="V193" s="75">
        <f t="shared" si="98"/>
        <v>276783.54000000004</v>
      </c>
    </row>
    <row r="194" spans="1:22">
      <c r="A194" s="310"/>
      <c r="B194" s="311"/>
      <c r="C194" s="66" t="s">
        <v>106</v>
      </c>
      <c r="D194" s="67"/>
      <c r="E194" s="59">
        <f>E184+E193</f>
        <v>209</v>
      </c>
      <c r="F194" s="59">
        <f t="shared" ref="F194:I194" si="161">F184+F193</f>
        <v>209</v>
      </c>
      <c r="G194" s="59">
        <f t="shared" si="161"/>
        <v>209</v>
      </c>
      <c r="H194" s="59">
        <f t="shared" si="161"/>
        <v>209</v>
      </c>
      <c r="I194" s="59">
        <f t="shared" si="161"/>
        <v>209</v>
      </c>
      <c r="J194" s="71" t="s">
        <v>104</v>
      </c>
      <c r="K194" s="71" t="s">
        <v>104</v>
      </c>
      <c r="L194" s="71" t="s">
        <v>104</v>
      </c>
      <c r="M194" s="71" t="s">
        <v>104</v>
      </c>
      <c r="N194" s="71">
        <f>SUM(N184:N193)</f>
        <v>10989234.039999999</v>
      </c>
      <c r="O194" s="71">
        <f>SUM(O184:O193)</f>
        <v>7723145.0600000005</v>
      </c>
      <c r="P194" s="71"/>
      <c r="Q194" s="71">
        <f>SUM(Q184:Q193)</f>
        <v>836415.90999999992</v>
      </c>
      <c r="R194" s="71"/>
      <c r="S194" s="71"/>
      <c r="T194" s="71">
        <f t="shared" ref="T194:V194" si="162">SUM(T184:T193)</f>
        <v>2429673.0699999998</v>
      </c>
      <c r="U194" s="71">
        <f t="shared" si="162"/>
        <v>10989234.039999999</v>
      </c>
      <c r="V194" s="71">
        <f t="shared" si="162"/>
        <v>10989234.039999999</v>
      </c>
    </row>
    <row r="195" spans="1:22" ht="82.8">
      <c r="A195" s="310"/>
      <c r="B195" s="311" t="s">
        <v>107</v>
      </c>
      <c r="C195" s="61" t="s">
        <v>100</v>
      </c>
      <c r="D195" s="62" t="s">
        <v>101</v>
      </c>
      <c r="E195" s="59">
        <v>229</v>
      </c>
      <c r="F195" s="59">
        <v>229</v>
      </c>
      <c r="G195" s="59">
        <f t="shared" si="152"/>
        <v>229</v>
      </c>
      <c r="H195" s="59">
        <v>229</v>
      </c>
      <c r="I195" s="59">
        <v>229</v>
      </c>
      <c r="J195" s="107">
        <f>SUM(K195:M195)</f>
        <v>51622.92</v>
      </c>
      <c r="K195" s="147">
        <f>34346.05+1649.65</f>
        <v>35995.700000000004</v>
      </c>
      <c r="L195" s="70">
        <v>4001.99</v>
      </c>
      <c r="M195" s="163">
        <v>11625.23</v>
      </c>
      <c r="N195" s="71">
        <f>SUM(O195:T195)</f>
        <v>11821648.680000002</v>
      </c>
      <c r="O195" s="146">
        <f>G195*K195</f>
        <v>8243015.3000000007</v>
      </c>
      <c r="P195" s="146"/>
      <c r="Q195" s="71">
        <f>G195*L195</f>
        <v>916455.71</v>
      </c>
      <c r="R195" s="71"/>
      <c r="S195" s="71"/>
      <c r="T195" s="156">
        <f>G195*M195</f>
        <v>2662177.67</v>
      </c>
      <c r="U195" s="75">
        <f t="shared" si="97"/>
        <v>11821648.68</v>
      </c>
      <c r="V195" s="75">
        <f t="shared" si="98"/>
        <v>11821648.68</v>
      </c>
    </row>
    <row r="196" spans="1:22" ht="96.6">
      <c r="A196" s="310"/>
      <c r="B196" s="311"/>
      <c r="C196" s="63" t="s">
        <v>163</v>
      </c>
      <c r="D196" s="64" t="s">
        <v>101</v>
      </c>
      <c r="E196" s="59" t="s">
        <v>104</v>
      </c>
      <c r="F196" s="59" t="s">
        <v>104</v>
      </c>
      <c r="G196" s="59" t="s">
        <v>104</v>
      </c>
      <c r="H196" s="59" t="s">
        <v>104</v>
      </c>
      <c r="I196" s="59" t="s">
        <v>104</v>
      </c>
      <c r="J196" s="59" t="s">
        <v>104</v>
      </c>
      <c r="K196" s="59" t="s">
        <v>104</v>
      </c>
      <c r="L196" s="59" t="s">
        <v>104</v>
      </c>
      <c r="M196" s="59" t="s">
        <v>104</v>
      </c>
      <c r="N196" s="71"/>
      <c r="O196" s="71"/>
      <c r="P196" s="71"/>
      <c r="Q196" s="59" t="s">
        <v>104</v>
      </c>
      <c r="R196" s="59"/>
      <c r="S196" s="59"/>
      <c r="T196" s="59" t="s">
        <v>104</v>
      </c>
      <c r="U196" s="75"/>
      <c r="V196" s="75"/>
    </row>
    <row r="197" spans="1:22">
      <c r="A197" s="310"/>
      <c r="B197" s="311"/>
      <c r="C197" s="63" t="s">
        <v>164</v>
      </c>
      <c r="D197" s="64" t="s">
        <v>101</v>
      </c>
      <c r="E197" s="60">
        <v>2</v>
      </c>
      <c r="F197" s="60">
        <v>2</v>
      </c>
      <c r="G197" s="59">
        <f t="shared" si="152"/>
        <v>2</v>
      </c>
      <c r="H197" s="60">
        <v>2</v>
      </c>
      <c r="I197" s="60">
        <v>2</v>
      </c>
      <c r="J197" s="75">
        <f>K197</f>
        <v>25589.72</v>
      </c>
      <c r="K197" s="75">
        <v>25589.72</v>
      </c>
      <c r="L197" s="59" t="s">
        <v>104</v>
      </c>
      <c r="M197" s="59" t="s">
        <v>104</v>
      </c>
      <c r="N197" s="71">
        <f>O197</f>
        <v>51179.44</v>
      </c>
      <c r="O197" s="146">
        <f>G197*K197</f>
        <v>51179.44</v>
      </c>
      <c r="P197" s="146"/>
      <c r="Q197" s="59" t="s">
        <v>104</v>
      </c>
      <c r="R197" s="59"/>
      <c r="S197" s="59"/>
      <c r="T197" s="59" t="s">
        <v>104</v>
      </c>
      <c r="U197" s="75">
        <f>H197*K197</f>
        <v>51179.44</v>
      </c>
      <c r="V197" s="75">
        <f t="shared" ref="V197:V201" si="163">I197*K197</f>
        <v>51179.44</v>
      </c>
    </row>
    <row r="198" spans="1:22">
      <c r="A198" s="310"/>
      <c r="B198" s="311"/>
      <c r="C198" s="63" t="s">
        <v>165</v>
      </c>
      <c r="D198" s="64" t="s">
        <v>101</v>
      </c>
      <c r="E198" s="60">
        <v>2</v>
      </c>
      <c r="F198" s="60">
        <v>2</v>
      </c>
      <c r="G198" s="59">
        <f t="shared" si="152"/>
        <v>2</v>
      </c>
      <c r="H198" s="60">
        <v>2</v>
      </c>
      <c r="I198" s="60">
        <v>2</v>
      </c>
      <c r="J198" s="75">
        <f t="shared" ref="J198:J201" si="164">K198</f>
        <v>92468.25</v>
      </c>
      <c r="K198" s="75">
        <v>92468.25</v>
      </c>
      <c r="L198" s="59" t="s">
        <v>104</v>
      </c>
      <c r="M198" s="59" t="s">
        <v>104</v>
      </c>
      <c r="N198" s="71">
        <f t="shared" ref="N198:N201" si="165">O198</f>
        <v>184936.5</v>
      </c>
      <c r="O198" s="146">
        <f t="shared" ref="O198:O201" si="166">G198*K198</f>
        <v>184936.5</v>
      </c>
      <c r="P198" s="146"/>
      <c r="Q198" s="59" t="s">
        <v>104</v>
      </c>
      <c r="R198" s="59"/>
      <c r="S198" s="59"/>
      <c r="T198" s="59" t="s">
        <v>104</v>
      </c>
      <c r="U198" s="75">
        <f t="shared" ref="U198:U201" si="167">H198*K198</f>
        <v>184936.5</v>
      </c>
      <c r="V198" s="75">
        <f t="shared" si="163"/>
        <v>184936.5</v>
      </c>
    </row>
    <row r="199" spans="1:22">
      <c r="A199" s="310"/>
      <c r="B199" s="311"/>
      <c r="C199" s="63" t="s">
        <v>167</v>
      </c>
      <c r="D199" s="64" t="s">
        <v>101</v>
      </c>
      <c r="E199" s="60">
        <v>2</v>
      </c>
      <c r="F199" s="60">
        <v>2</v>
      </c>
      <c r="G199" s="59">
        <f t="shared" si="152"/>
        <v>2</v>
      </c>
      <c r="H199" s="60">
        <v>2</v>
      </c>
      <c r="I199" s="60">
        <v>2</v>
      </c>
      <c r="J199" s="75">
        <f t="shared" si="164"/>
        <v>266106.15000000002</v>
      </c>
      <c r="K199" s="75">
        <v>266106.15000000002</v>
      </c>
      <c r="L199" s="59"/>
      <c r="M199" s="59"/>
      <c r="N199" s="71">
        <f t="shared" si="165"/>
        <v>532212.30000000005</v>
      </c>
      <c r="O199" s="146">
        <f t="shared" si="166"/>
        <v>532212.30000000005</v>
      </c>
      <c r="P199" s="146"/>
      <c r="Q199" s="59" t="s">
        <v>104</v>
      </c>
      <c r="R199" s="59"/>
      <c r="S199" s="59"/>
      <c r="T199" s="59"/>
      <c r="U199" s="75">
        <f t="shared" si="167"/>
        <v>532212.30000000005</v>
      </c>
      <c r="V199" s="75">
        <f t="shared" si="163"/>
        <v>532212.30000000005</v>
      </c>
    </row>
    <row r="200" spans="1:22">
      <c r="A200" s="310"/>
      <c r="B200" s="311"/>
      <c r="C200" s="63" t="s">
        <v>170</v>
      </c>
      <c r="D200" s="64" t="s">
        <v>101</v>
      </c>
      <c r="E200" s="60">
        <v>1</v>
      </c>
      <c r="F200" s="60">
        <v>1</v>
      </c>
      <c r="G200" s="59">
        <f t="shared" si="152"/>
        <v>1</v>
      </c>
      <c r="H200" s="60">
        <v>1</v>
      </c>
      <c r="I200" s="60">
        <v>1</v>
      </c>
      <c r="J200" s="75">
        <f t="shared" si="164"/>
        <v>32769.75</v>
      </c>
      <c r="K200" s="75">
        <v>32769.75</v>
      </c>
      <c r="L200" s="59"/>
      <c r="M200" s="59"/>
      <c r="N200" s="71">
        <f t="shared" si="165"/>
        <v>32769.75</v>
      </c>
      <c r="O200" s="146">
        <f t="shared" si="166"/>
        <v>32769.75</v>
      </c>
      <c r="P200" s="146"/>
      <c r="Q200" s="59" t="s">
        <v>104</v>
      </c>
      <c r="R200" s="59"/>
      <c r="S200" s="59"/>
      <c r="T200" s="59"/>
      <c r="U200" s="75">
        <f t="shared" si="167"/>
        <v>32769.75</v>
      </c>
      <c r="V200" s="75">
        <f t="shared" si="163"/>
        <v>32769.75</v>
      </c>
    </row>
    <row r="201" spans="1:22">
      <c r="A201" s="310"/>
      <c r="B201" s="311"/>
      <c r="C201" s="63" t="s">
        <v>168</v>
      </c>
      <c r="D201" s="64" t="s">
        <v>101</v>
      </c>
      <c r="E201" s="60">
        <v>1</v>
      </c>
      <c r="F201" s="60">
        <v>1</v>
      </c>
      <c r="G201" s="59">
        <f t="shared" si="152"/>
        <v>1</v>
      </c>
      <c r="H201" s="60">
        <v>1</v>
      </c>
      <c r="I201" s="60">
        <v>1</v>
      </c>
      <c r="J201" s="75">
        <f t="shared" si="164"/>
        <v>23553.439999999999</v>
      </c>
      <c r="K201" s="75">
        <v>23553.439999999999</v>
      </c>
      <c r="L201" s="59" t="s">
        <v>104</v>
      </c>
      <c r="M201" s="59" t="s">
        <v>104</v>
      </c>
      <c r="N201" s="71">
        <f t="shared" si="165"/>
        <v>23553.439999999999</v>
      </c>
      <c r="O201" s="146">
        <f t="shared" si="166"/>
        <v>23553.439999999999</v>
      </c>
      <c r="P201" s="146"/>
      <c r="Q201" s="59" t="s">
        <v>104</v>
      </c>
      <c r="R201" s="59"/>
      <c r="S201" s="59"/>
      <c r="T201" s="59" t="s">
        <v>104</v>
      </c>
      <c r="U201" s="75">
        <f t="shared" si="167"/>
        <v>23553.439999999999</v>
      </c>
      <c r="V201" s="75">
        <f t="shared" si="163"/>
        <v>23553.439999999999</v>
      </c>
    </row>
    <row r="202" spans="1:22" ht="110.4">
      <c r="A202" s="310"/>
      <c r="B202" s="311"/>
      <c r="C202" s="61" t="s">
        <v>105</v>
      </c>
      <c r="D202" s="64" t="s">
        <v>101</v>
      </c>
      <c r="E202" s="60"/>
      <c r="F202" s="60"/>
      <c r="G202" s="59">
        <f t="shared" si="152"/>
        <v>0</v>
      </c>
      <c r="H202" s="60"/>
      <c r="I202" s="60"/>
      <c r="J202" s="75">
        <f>SUM(K202:M202)</f>
        <v>168684.5</v>
      </c>
      <c r="K202" s="148">
        <f>151407.63+1649.65</f>
        <v>153057.28</v>
      </c>
      <c r="L202" s="72">
        <v>4001.99</v>
      </c>
      <c r="M202" s="163">
        <v>11625.23</v>
      </c>
      <c r="N202" s="73">
        <f>SUM(O202:T202)</f>
        <v>0</v>
      </c>
      <c r="O202" s="149">
        <f>G202*K202</f>
        <v>0</v>
      </c>
      <c r="P202" s="149"/>
      <c r="Q202" s="73">
        <f>G202*L202</f>
        <v>0</v>
      </c>
      <c r="R202" s="73"/>
      <c r="S202" s="73"/>
      <c r="T202" s="75">
        <f>G202*M202</f>
        <v>0</v>
      </c>
      <c r="U202" s="75">
        <f t="shared" si="97"/>
        <v>0</v>
      </c>
      <c r="V202" s="75">
        <f t="shared" si="98"/>
        <v>0</v>
      </c>
    </row>
    <row r="203" spans="1:22">
      <c r="A203" s="310"/>
      <c r="B203" s="110"/>
      <c r="C203" s="66" t="s">
        <v>106</v>
      </c>
      <c r="D203" s="64"/>
      <c r="E203" s="60">
        <f>E195+E202</f>
        <v>229</v>
      </c>
      <c r="F203" s="60">
        <f t="shared" ref="F203:I203" si="168">F195+F202</f>
        <v>229</v>
      </c>
      <c r="G203" s="60">
        <f t="shared" si="168"/>
        <v>229</v>
      </c>
      <c r="H203" s="60">
        <f t="shared" si="168"/>
        <v>229</v>
      </c>
      <c r="I203" s="60">
        <f t="shared" si="168"/>
        <v>229</v>
      </c>
      <c r="J203" s="73" t="s">
        <v>104</v>
      </c>
      <c r="K203" s="73" t="s">
        <v>104</v>
      </c>
      <c r="L203" s="73" t="s">
        <v>104</v>
      </c>
      <c r="M203" s="73" t="s">
        <v>104</v>
      </c>
      <c r="N203" s="74">
        <f>SUM(N195:N202)</f>
        <v>12646300.110000001</v>
      </c>
      <c r="O203" s="74">
        <f>SUM(O195:O202)</f>
        <v>9067666.7300000023</v>
      </c>
      <c r="P203" s="74"/>
      <c r="Q203" s="74">
        <f>SUM(Q195:Q202)</f>
        <v>916455.71</v>
      </c>
      <c r="R203" s="74"/>
      <c r="S203" s="74"/>
      <c r="T203" s="74">
        <f t="shared" ref="T203:V203" si="169">SUM(T195:T202)</f>
        <v>2662177.67</v>
      </c>
      <c r="U203" s="74">
        <f t="shared" si="169"/>
        <v>12646300.109999999</v>
      </c>
      <c r="V203" s="74">
        <f t="shared" si="169"/>
        <v>12646300.109999999</v>
      </c>
    </row>
    <row r="204" spans="1:22" ht="82.8">
      <c r="A204" s="310"/>
      <c r="B204" s="311" t="s">
        <v>108</v>
      </c>
      <c r="C204" s="61" t="s">
        <v>100</v>
      </c>
      <c r="D204" s="62" t="s">
        <v>101</v>
      </c>
      <c r="E204" s="60">
        <v>35</v>
      </c>
      <c r="F204" s="60">
        <v>35</v>
      </c>
      <c r="G204" s="59">
        <f t="shared" si="152"/>
        <v>35</v>
      </c>
      <c r="H204" s="60">
        <v>35</v>
      </c>
      <c r="I204" s="60">
        <v>35</v>
      </c>
      <c r="J204" s="107">
        <f>SUM(K204:M204)</f>
        <v>58731.119999999995</v>
      </c>
      <c r="K204" s="147">
        <f>41105.12+1998.78</f>
        <v>43103.9</v>
      </c>
      <c r="L204" s="70">
        <v>4001.99</v>
      </c>
      <c r="M204" s="163">
        <v>11625.23</v>
      </c>
      <c r="N204" s="73">
        <f>SUM(O204:T204)</f>
        <v>2055589.2</v>
      </c>
      <c r="O204" s="149">
        <f>G204*K204</f>
        <v>1508636.5</v>
      </c>
      <c r="P204" s="149"/>
      <c r="Q204" s="73">
        <f>G204*L204</f>
        <v>140069.65</v>
      </c>
      <c r="R204" s="73"/>
      <c r="S204" s="73"/>
      <c r="T204" s="156">
        <f>G204*M204</f>
        <v>406883.05</v>
      </c>
      <c r="U204" s="75">
        <f t="shared" si="97"/>
        <v>2055589.1999999997</v>
      </c>
      <c r="V204" s="75">
        <f t="shared" si="98"/>
        <v>2055589.1999999997</v>
      </c>
    </row>
    <row r="205" spans="1:22" ht="96.6">
      <c r="A205" s="310"/>
      <c r="B205" s="311"/>
      <c r="C205" s="63" t="s">
        <v>163</v>
      </c>
      <c r="D205" s="64" t="s">
        <v>101</v>
      </c>
      <c r="E205" s="59" t="s">
        <v>104</v>
      </c>
      <c r="F205" s="59" t="s">
        <v>104</v>
      </c>
      <c r="G205" s="59" t="s">
        <v>104</v>
      </c>
      <c r="H205" s="59" t="s">
        <v>104</v>
      </c>
      <c r="I205" s="59" t="s">
        <v>104</v>
      </c>
      <c r="J205" s="59" t="s">
        <v>104</v>
      </c>
      <c r="K205" s="59" t="s">
        <v>104</v>
      </c>
      <c r="L205" s="59" t="s">
        <v>104</v>
      </c>
      <c r="M205" s="59" t="s">
        <v>104</v>
      </c>
      <c r="N205" s="71"/>
      <c r="O205" s="71"/>
      <c r="P205" s="71"/>
      <c r="Q205" s="59" t="s">
        <v>104</v>
      </c>
      <c r="R205" s="59"/>
      <c r="S205" s="59"/>
      <c r="T205" s="59" t="s">
        <v>104</v>
      </c>
      <c r="U205" s="75"/>
      <c r="V205" s="75"/>
    </row>
    <row r="206" spans="1:22">
      <c r="A206" s="310"/>
      <c r="B206" s="311"/>
      <c r="C206" s="63" t="s">
        <v>165</v>
      </c>
      <c r="D206" s="64" t="s">
        <v>101</v>
      </c>
      <c r="E206" s="60">
        <v>0</v>
      </c>
      <c r="F206" s="60"/>
      <c r="G206" s="59">
        <f t="shared" si="152"/>
        <v>0</v>
      </c>
      <c r="H206" s="60">
        <v>0</v>
      </c>
      <c r="I206" s="60">
        <v>0</v>
      </c>
      <c r="J206" s="75">
        <f>K206</f>
        <v>92468.25</v>
      </c>
      <c r="K206" s="75">
        <v>92468.25</v>
      </c>
      <c r="L206" s="59" t="s">
        <v>104</v>
      </c>
      <c r="M206" s="59" t="s">
        <v>104</v>
      </c>
      <c r="N206" s="71">
        <f>O206</f>
        <v>0</v>
      </c>
      <c r="O206" s="146">
        <f>G206*K206</f>
        <v>0</v>
      </c>
      <c r="P206" s="146"/>
      <c r="Q206" s="59" t="s">
        <v>104</v>
      </c>
      <c r="R206" s="59"/>
      <c r="S206" s="59"/>
      <c r="T206" s="59" t="s">
        <v>104</v>
      </c>
      <c r="U206" s="75">
        <f>H206*K206</f>
        <v>0</v>
      </c>
      <c r="V206" s="75">
        <f>I206*K206</f>
        <v>0</v>
      </c>
    </row>
    <row r="207" spans="1:22" ht="110.4">
      <c r="A207" s="310"/>
      <c r="B207" s="311"/>
      <c r="C207" s="61" t="s">
        <v>105</v>
      </c>
      <c r="D207" s="64" t="s">
        <v>101</v>
      </c>
      <c r="E207" s="60"/>
      <c r="F207" s="60">
        <v>0</v>
      </c>
      <c r="G207" s="157">
        <f t="shared" ref="G207:G209" si="170">((E207*8)+(F207*4))/12</f>
        <v>0</v>
      </c>
      <c r="H207" s="60">
        <v>0</v>
      </c>
      <c r="I207" s="60">
        <v>0</v>
      </c>
      <c r="J207" s="75">
        <f>SUM(K207:M207)</f>
        <v>199028.35</v>
      </c>
      <c r="K207" s="148">
        <f>181402.35+1998.78</f>
        <v>183401.13</v>
      </c>
      <c r="L207" s="72">
        <v>4001.99</v>
      </c>
      <c r="M207" s="163">
        <v>11625.23</v>
      </c>
      <c r="N207" s="73"/>
      <c r="O207" s="149">
        <f>K207*G207</f>
        <v>0</v>
      </c>
      <c r="P207" s="149"/>
      <c r="Q207" s="73">
        <f>L207*G207</f>
        <v>0</v>
      </c>
      <c r="R207" s="73"/>
      <c r="S207" s="73"/>
      <c r="T207" s="73"/>
      <c r="U207" s="75">
        <f t="shared" si="97"/>
        <v>0</v>
      </c>
      <c r="V207" s="75">
        <f t="shared" si="98"/>
        <v>0</v>
      </c>
    </row>
    <row r="208" spans="1:22">
      <c r="A208" s="310"/>
      <c r="B208" s="110"/>
      <c r="C208" s="66" t="s">
        <v>106</v>
      </c>
      <c r="D208" s="64"/>
      <c r="E208" s="60">
        <f>E204+E207</f>
        <v>35</v>
      </c>
      <c r="F208" s="60">
        <f t="shared" ref="F208:I208" si="171">F204+F207</f>
        <v>35</v>
      </c>
      <c r="G208" s="60">
        <f t="shared" si="171"/>
        <v>35</v>
      </c>
      <c r="H208" s="60">
        <f t="shared" si="171"/>
        <v>35</v>
      </c>
      <c r="I208" s="60">
        <f t="shared" si="171"/>
        <v>35</v>
      </c>
      <c r="J208" s="73" t="s">
        <v>104</v>
      </c>
      <c r="K208" s="73" t="s">
        <v>104</v>
      </c>
      <c r="L208" s="73" t="s">
        <v>104</v>
      </c>
      <c r="M208" s="73" t="s">
        <v>104</v>
      </c>
      <c r="N208" s="74">
        <f>SUM(N204:N207)</f>
        <v>2055589.2</v>
      </c>
      <c r="O208" s="74">
        <f>SUM(O204:O207)</f>
        <v>1508636.5</v>
      </c>
      <c r="P208" s="74"/>
      <c r="Q208" s="74">
        <f>SUM(Q204:Q207)</f>
        <v>140069.65</v>
      </c>
      <c r="R208" s="74"/>
      <c r="S208" s="74"/>
      <c r="T208" s="74">
        <f t="shared" ref="T208:V208" si="172">SUM(T204:T207)</f>
        <v>406883.05</v>
      </c>
      <c r="U208" s="74">
        <f t="shared" si="172"/>
        <v>2055589.1999999997</v>
      </c>
      <c r="V208" s="74">
        <f t="shared" si="172"/>
        <v>2055589.1999999997</v>
      </c>
    </row>
    <row r="209" spans="1:22" ht="96.6">
      <c r="A209" s="310"/>
      <c r="B209" s="137" t="s">
        <v>109</v>
      </c>
      <c r="C209" s="61" t="s">
        <v>187</v>
      </c>
      <c r="D209" s="64" t="s">
        <v>101</v>
      </c>
      <c r="E209" s="60">
        <v>416</v>
      </c>
      <c r="F209" s="60">
        <v>416</v>
      </c>
      <c r="G209" s="157">
        <f t="shared" si="170"/>
        <v>416</v>
      </c>
      <c r="H209" s="60">
        <v>416</v>
      </c>
      <c r="I209" s="60">
        <v>416</v>
      </c>
      <c r="J209" s="75">
        <f>K209</f>
        <v>3978.76</v>
      </c>
      <c r="K209" s="75">
        <v>3978.76</v>
      </c>
      <c r="L209" s="73" t="s">
        <v>104</v>
      </c>
      <c r="M209" s="73" t="s">
        <v>104</v>
      </c>
      <c r="N209" s="73">
        <f>SUM(O209:T209)</f>
        <v>1655164.1600000001</v>
      </c>
      <c r="O209" s="149">
        <f>G209*K209</f>
        <v>1655164.1600000001</v>
      </c>
      <c r="P209" s="149"/>
      <c r="Q209" s="73" t="s">
        <v>104</v>
      </c>
      <c r="R209" s="73"/>
      <c r="S209" s="73"/>
      <c r="T209" s="73" t="s">
        <v>104</v>
      </c>
      <c r="U209" s="75">
        <f t="shared" si="97"/>
        <v>1655164.1600000001</v>
      </c>
      <c r="V209" s="75">
        <f t="shared" si="98"/>
        <v>1655164.1600000001</v>
      </c>
    </row>
    <row r="210" spans="1:22">
      <c r="A210" s="310"/>
      <c r="B210" s="69"/>
      <c r="C210" s="66" t="s">
        <v>106</v>
      </c>
      <c r="D210" s="69"/>
      <c r="E210" s="60">
        <f>SUM(E209:E209)</f>
        <v>416</v>
      </c>
      <c r="F210" s="60">
        <f>SUM(F209:F209)</f>
        <v>416</v>
      </c>
      <c r="G210" s="60">
        <f>SUM(G209:G209)</f>
        <v>416</v>
      </c>
      <c r="H210" s="60">
        <f>SUM(H209:H209)</f>
        <v>416</v>
      </c>
      <c r="I210" s="60">
        <f>SUM(I209:I209)</f>
        <v>416</v>
      </c>
      <c r="J210" s="73" t="s">
        <v>104</v>
      </c>
      <c r="K210" s="73" t="s">
        <v>104</v>
      </c>
      <c r="L210" s="73" t="s">
        <v>104</v>
      </c>
      <c r="M210" s="74">
        <f t="shared" ref="M210:V210" si="173">SUM(M209:M209)</f>
        <v>0</v>
      </c>
      <c r="N210" s="74">
        <f t="shared" si="173"/>
        <v>1655164.1600000001</v>
      </c>
      <c r="O210" s="74">
        <f t="shared" si="173"/>
        <v>1655164.1600000001</v>
      </c>
      <c r="P210" s="74"/>
      <c r="Q210" s="74">
        <f t="shared" si="173"/>
        <v>0</v>
      </c>
      <c r="R210" s="74"/>
      <c r="S210" s="74"/>
      <c r="T210" s="74">
        <f t="shared" si="173"/>
        <v>0</v>
      </c>
      <c r="U210" s="75">
        <f t="shared" si="173"/>
        <v>1655164.1600000001</v>
      </c>
      <c r="V210" s="75">
        <f t="shared" si="173"/>
        <v>1655164.1600000001</v>
      </c>
    </row>
    <row r="211" spans="1:22">
      <c r="A211" s="310"/>
      <c r="B211" s="101" t="s">
        <v>112</v>
      </c>
      <c r="C211" s="101"/>
      <c r="D211" s="69"/>
      <c r="E211" s="102"/>
      <c r="F211" s="102"/>
      <c r="G211" s="102"/>
      <c r="H211" s="102"/>
      <c r="I211" s="102"/>
      <c r="J211" s="104"/>
      <c r="K211" s="104"/>
      <c r="L211" s="103"/>
      <c r="M211" s="103"/>
      <c r="N211" s="103">
        <f>SUM(O211:T211)</f>
        <v>27346287.510000002</v>
      </c>
      <c r="O211" s="136">
        <f>O194+O203+O208+O210</f>
        <v>19954612.450000003</v>
      </c>
      <c r="P211" s="136"/>
      <c r="Q211" s="103">
        <f>Q194+Q203+Q208+Q210</f>
        <v>1892941.2699999998</v>
      </c>
      <c r="R211" s="103"/>
      <c r="S211" s="103"/>
      <c r="T211" s="103">
        <f>T194+T203+T208+T210</f>
        <v>5498733.79</v>
      </c>
      <c r="U211" s="103">
        <f>U194+U203+U208+U210</f>
        <v>27346287.509999998</v>
      </c>
      <c r="V211" s="103">
        <f>V194+V203+V208+V210</f>
        <v>27346287.509999998</v>
      </c>
    </row>
    <row r="212" spans="1:22" ht="82.8">
      <c r="A212" s="310" t="s">
        <v>116</v>
      </c>
      <c r="B212" s="312" t="s">
        <v>99</v>
      </c>
      <c r="C212" s="61" t="s">
        <v>100</v>
      </c>
      <c r="D212" s="62" t="s">
        <v>101</v>
      </c>
      <c r="E212" s="59">
        <v>326</v>
      </c>
      <c r="F212" s="59">
        <v>326</v>
      </c>
      <c r="G212" s="157">
        <f t="shared" ref="G212:G238" si="174">((E212*8)+(F212*4))/12</f>
        <v>326</v>
      </c>
      <c r="H212" s="59">
        <v>326</v>
      </c>
      <c r="I212" s="59">
        <v>326</v>
      </c>
      <c r="J212" s="107">
        <f>SUM(K212:M212)</f>
        <v>40097.97</v>
      </c>
      <c r="K212" s="147">
        <f>23119.12+1351.63</f>
        <v>24470.75</v>
      </c>
      <c r="L212" s="70">
        <v>4001.99</v>
      </c>
      <c r="M212" s="163">
        <v>11625.23</v>
      </c>
      <c r="N212" s="71">
        <f>SUM(O212:T212)</f>
        <v>13071938.220000001</v>
      </c>
      <c r="O212" s="146">
        <f>G212*K212</f>
        <v>7977464.5</v>
      </c>
      <c r="P212" s="146"/>
      <c r="Q212" s="71">
        <f>G212*L212</f>
        <v>1304648.74</v>
      </c>
      <c r="R212" s="71"/>
      <c r="S212" s="71"/>
      <c r="T212" s="156">
        <f>G212*M212</f>
        <v>3789824.98</v>
      </c>
      <c r="U212" s="75">
        <f t="shared" si="97"/>
        <v>13071938.220000001</v>
      </c>
      <c r="V212" s="75">
        <f t="shared" si="98"/>
        <v>13071938.220000001</v>
      </c>
    </row>
    <row r="213" spans="1:22" ht="96.6">
      <c r="A213" s="310"/>
      <c r="B213" s="313"/>
      <c r="C213" s="63" t="s">
        <v>163</v>
      </c>
      <c r="D213" s="64" t="s">
        <v>101</v>
      </c>
      <c r="E213" s="59" t="s">
        <v>104</v>
      </c>
      <c r="F213" s="59" t="s">
        <v>104</v>
      </c>
      <c r="G213" s="59" t="s">
        <v>104</v>
      </c>
      <c r="H213" s="59" t="s">
        <v>104</v>
      </c>
      <c r="I213" s="59" t="s">
        <v>104</v>
      </c>
      <c r="J213" s="59" t="s">
        <v>104</v>
      </c>
      <c r="K213" s="59" t="s">
        <v>104</v>
      </c>
      <c r="L213" s="59" t="s">
        <v>104</v>
      </c>
      <c r="M213" s="59" t="s">
        <v>104</v>
      </c>
      <c r="N213" s="71"/>
      <c r="O213" s="71"/>
      <c r="P213" s="71"/>
      <c r="Q213" s="59" t="s">
        <v>104</v>
      </c>
      <c r="R213" s="59"/>
      <c r="S213" s="59"/>
      <c r="T213" s="59" t="s">
        <v>104</v>
      </c>
      <c r="U213" s="75"/>
      <c r="V213" s="75"/>
    </row>
    <row r="214" spans="1:22">
      <c r="A214" s="310"/>
      <c r="B214" s="313"/>
      <c r="C214" s="63" t="s">
        <v>164</v>
      </c>
      <c r="D214" s="64" t="s">
        <v>101</v>
      </c>
      <c r="E214" s="59">
        <v>1</v>
      </c>
      <c r="F214" s="59">
        <v>1</v>
      </c>
      <c r="G214" s="59">
        <f t="shared" si="174"/>
        <v>1</v>
      </c>
      <c r="H214" s="59">
        <v>1</v>
      </c>
      <c r="I214" s="59">
        <v>1</v>
      </c>
      <c r="J214" s="75">
        <f t="shared" ref="J214:J219" si="175">K214</f>
        <v>25589.72</v>
      </c>
      <c r="K214" s="71">
        <v>25589.72</v>
      </c>
      <c r="L214" s="59"/>
      <c r="M214" s="59"/>
      <c r="N214" s="71">
        <f t="shared" ref="N214:N215" si="176">O214</f>
        <v>25589.72</v>
      </c>
      <c r="O214" s="146">
        <f>G214*K214</f>
        <v>25589.72</v>
      </c>
      <c r="P214" s="146"/>
      <c r="Q214" s="59" t="s">
        <v>104</v>
      </c>
      <c r="R214" s="59"/>
      <c r="S214" s="59"/>
      <c r="T214" s="59"/>
      <c r="U214" s="75">
        <f t="shared" ref="U214:U219" si="177">H214*K214</f>
        <v>25589.72</v>
      </c>
      <c r="V214" s="75">
        <f t="shared" ref="V214:V215" si="178">I214*K214</f>
        <v>25589.72</v>
      </c>
    </row>
    <row r="215" spans="1:22">
      <c r="A215" s="310"/>
      <c r="B215" s="313"/>
      <c r="C215" s="63" t="s">
        <v>169</v>
      </c>
      <c r="D215" s="64" t="s">
        <v>101</v>
      </c>
      <c r="E215" s="59">
        <v>3</v>
      </c>
      <c r="F215" s="59">
        <v>3</v>
      </c>
      <c r="G215" s="59">
        <f t="shared" si="174"/>
        <v>3</v>
      </c>
      <c r="H215" s="59">
        <v>3</v>
      </c>
      <c r="I215" s="59">
        <v>3</v>
      </c>
      <c r="J215" s="75">
        <f t="shared" si="175"/>
        <v>69362.66</v>
      </c>
      <c r="K215" s="71">
        <v>69362.66</v>
      </c>
      <c r="L215" s="59" t="s">
        <v>104</v>
      </c>
      <c r="M215" s="59" t="s">
        <v>104</v>
      </c>
      <c r="N215" s="71">
        <f t="shared" si="176"/>
        <v>208087.98</v>
      </c>
      <c r="O215" s="146">
        <f t="shared" ref="O215:O219" si="179">G215*K215</f>
        <v>208087.98</v>
      </c>
      <c r="P215" s="146"/>
      <c r="Q215" s="59" t="s">
        <v>104</v>
      </c>
      <c r="R215" s="59"/>
      <c r="S215" s="59"/>
      <c r="T215" s="59" t="s">
        <v>104</v>
      </c>
      <c r="U215" s="75">
        <f t="shared" si="177"/>
        <v>208087.98</v>
      </c>
      <c r="V215" s="75">
        <f t="shared" si="178"/>
        <v>208087.98</v>
      </c>
    </row>
    <row r="216" spans="1:22">
      <c r="A216" s="310"/>
      <c r="B216" s="313"/>
      <c r="C216" s="63" t="s">
        <v>166</v>
      </c>
      <c r="D216" s="64" t="s">
        <v>101</v>
      </c>
      <c r="E216" s="59">
        <v>1</v>
      </c>
      <c r="F216" s="59">
        <v>1</v>
      </c>
      <c r="G216" s="59">
        <f t="shared" si="174"/>
        <v>1</v>
      </c>
      <c r="H216" s="59">
        <v>1</v>
      </c>
      <c r="I216" s="59">
        <v>1</v>
      </c>
      <c r="J216" s="75">
        <f t="shared" si="175"/>
        <v>66361.320000000007</v>
      </c>
      <c r="K216" s="75">
        <v>66361.320000000007</v>
      </c>
      <c r="L216" s="59" t="s">
        <v>104</v>
      </c>
      <c r="M216" s="59" t="s">
        <v>104</v>
      </c>
      <c r="N216" s="71">
        <f>O216</f>
        <v>66361.320000000007</v>
      </c>
      <c r="O216" s="146">
        <f t="shared" si="179"/>
        <v>66361.320000000007</v>
      </c>
      <c r="P216" s="146"/>
      <c r="Q216" s="59" t="s">
        <v>104</v>
      </c>
      <c r="R216" s="59"/>
      <c r="S216" s="59"/>
      <c r="T216" s="59" t="s">
        <v>104</v>
      </c>
      <c r="U216" s="75">
        <f t="shared" si="177"/>
        <v>66361.320000000007</v>
      </c>
      <c r="V216" s="75">
        <f>I216*K216</f>
        <v>66361.320000000007</v>
      </c>
    </row>
    <row r="217" spans="1:22">
      <c r="A217" s="310"/>
      <c r="B217" s="313"/>
      <c r="C217" s="63" t="s">
        <v>167</v>
      </c>
      <c r="D217" s="64" t="s">
        <v>101</v>
      </c>
      <c r="E217" s="59"/>
      <c r="F217" s="59"/>
      <c r="G217" s="59">
        <f t="shared" si="174"/>
        <v>0</v>
      </c>
      <c r="H217" s="59"/>
      <c r="I217" s="59"/>
      <c r="J217" s="75">
        <f t="shared" si="175"/>
        <v>174890.83</v>
      </c>
      <c r="K217" s="75">
        <v>174890.83</v>
      </c>
      <c r="L217" s="59" t="s">
        <v>104</v>
      </c>
      <c r="M217" s="59" t="s">
        <v>104</v>
      </c>
      <c r="N217" s="71">
        <f>O217</f>
        <v>0</v>
      </c>
      <c r="O217" s="146">
        <f t="shared" si="179"/>
        <v>0</v>
      </c>
      <c r="P217" s="146"/>
      <c r="Q217" s="59" t="s">
        <v>104</v>
      </c>
      <c r="R217" s="59"/>
      <c r="S217" s="59"/>
      <c r="T217" s="59" t="s">
        <v>104</v>
      </c>
      <c r="U217" s="75">
        <f t="shared" si="177"/>
        <v>0</v>
      </c>
      <c r="V217" s="75">
        <f>I217*K217</f>
        <v>0</v>
      </c>
    </row>
    <row r="218" spans="1:22">
      <c r="A218" s="310"/>
      <c r="B218" s="313"/>
      <c r="C218" s="63" t="s">
        <v>170</v>
      </c>
      <c r="D218" s="64" t="s">
        <v>101</v>
      </c>
      <c r="E218" s="59">
        <v>1</v>
      </c>
      <c r="F218" s="59">
        <v>1</v>
      </c>
      <c r="G218" s="59">
        <f t="shared" si="174"/>
        <v>1</v>
      </c>
      <c r="H218" s="59">
        <v>1</v>
      </c>
      <c r="I218" s="59">
        <v>1</v>
      </c>
      <c r="J218" s="75">
        <f t="shared" si="175"/>
        <v>99648.29</v>
      </c>
      <c r="K218" s="75">
        <v>99648.29</v>
      </c>
      <c r="L218" s="59" t="s">
        <v>104</v>
      </c>
      <c r="M218" s="59" t="s">
        <v>104</v>
      </c>
      <c r="N218" s="71">
        <f>O218</f>
        <v>99648.29</v>
      </c>
      <c r="O218" s="146">
        <f t="shared" si="179"/>
        <v>99648.29</v>
      </c>
      <c r="P218" s="146"/>
      <c r="Q218" s="59" t="s">
        <v>104</v>
      </c>
      <c r="R218" s="59"/>
      <c r="S218" s="59"/>
      <c r="T218" s="59" t="s">
        <v>104</v>
      </c>
      <c r="U218" s="75">
        <f t="shared" si="177"/>
        <v>99648.29</v>
      </c>
      <c r="V218" s="75">
        <f>I218*K218</f>
        <v>99648.29</v>
      </c>
    </row>
    <row r="219" spans="1:22">
      <c r="A219" s="310"/>
      <c r="B219" s="313"/>
      <c r="C219" s="63" t="s">
        <v>168</v>
      </c>
      <c r="D219" s="64" t="s">
        <v>101</v>
      </c>
      <c r="E219" s="59">
        <v>1</v>
      </c>
      <c r="F219" s="59">
        <v>1</v>
      </c>
      <c r="G219" s="59">
        <f t="shared" si="174"/>
        <v>1</v>
      </c>
      <c r="H219" s="59">
        <v>1</v>
      </c>
      <c r="I219" s="59">
        <v>1</v>
      </c>
      <c r="J219" s="75">
        <f t="shared" si="175"/>
        <v>23553.439999999999</v>
      </c>
      <c r="K219" s="75">
        <v>23553.439999999999</v>
      </c>
      <c r="L219" s="59" t="s">
        <v>104</v>
      </c>
      <c r="M219" s="59" t="s">
        <v>104</v>
      </c>
      <c r="N219" s="71">
        <f>O219</f>
        <v>23553.439999999999</v>
      </c>
      <c r="O219" s="146">
        <f t="shared" si="179"/>
        <v>23553.439999999999</v>
      </c>
      <c r="P219" s="146"/>
      <c r="Q219" s="59" t="s">
        <v>104</v>
      </c>
      <c r="R219" s="59"/>
      <c r="S219" s="59"/>
      <c r="T219" s="59" t="s">
        <v>104</v>
      </c>
      <c r="U219" s="75">
        <f t="shared" si="177"/>
        <v>23553.439999999999</v>
      </c>
      <c r="V219" s="75">
        <f>I219*K219</f>
        <v>23553.439999999999</v>
      </c>
    </row>
    <row r="220" spans="1:22" ht="110.4">
      <c r="A220" s="310"/>
      <c r="B220" s="313"/>
      <c r="C220" s="61" t="s">
        <v>105</v>
      </c>
      <c r="D220" s="64" t="s">
        <v>101</v>
      </c>
      <c r="E220" s="59">
        <v>2</v>
      </c>
      <c r="F220" s="59">
        <v>2</v>
      </c>
      <c r="G220" s="157">
        <f t="shared" si="174"/>
        <v>2</v>
      </c>
      <c r="H220" s="59">
        <v>2</v>
      </c>
      <c r="I220" s="59">
        <v>2</v>
      </c>
      <c r="J220" s="75">
        <f>SUM(K220:M220)</f>
        <v>138391.77000000002</v>
      </c>
      <c r="K220" s="148">
        <f>121412.92+1351.63</f>
        <v>122764.55</v>
      </c>
      <c r="L220" s="72">
        <v>4001.99</v>
      </c>
      <c r="M220" s="163">
        <v>11625.23</v>
      </c>
      <c r="N220" s="71">
        <f>SUM(O220:T220)</f>
        <v>276783.54000000004</v>
      </c>
      <c r="O220" s="146">
        <f>G220*K220</f>
        <v>245529.1</v>
      </c>
      <c r="P220" s="146"/>
      <c r="Q220" s="71">
        <f>G220*L220</f>
        <v>8003.98</v>
      </c>
      <c r="R220" s="71"/>
      <c r="S220" s="71"/>
      <c r="T220" s="156">
        <f>G220*M220</f>
        <v>23250.46</v>
      </c>
      <c r="U220" s="75">
        <f t="shared" ref="U220:U238" si="180">H220*J220</f>
        <v>276783.54000000004</v>
      </c>
      <c r="V220" s="75">
        <f t="shared" ref="V220:V238" si="181">I220*J220</f>
        <v>276783.54000000004</v>
      </c>
    </row>
    <row r="221" spans="1:22" ht="96.6">
      <c r="A221" s="310"/>
      <c r="B221" s="313"/>
      <c r="C221" s="61" t="s">
        <v>117</v>
      </c>
      <c r="D221" s="64" t="s">
        <v>101</v>
      </c>
      <c r="E221" s="59">
        <v>0</v>
      </c>
      <c r="F221" s="59">
        <v>0</v>
      </c>
      <c r="G221" s="157">
        <f t="shared" si="174"/>
        <v>0</v>
      </c>
      <c r="H221" s="59">
        <v>0</v>
      </c>
      <c r="I221" s="59">
        <v>0</v>
      </c>
      <c r="J221" s="75">
        <f>K221</f>
        <v>21480.1</v>
      </c>
      <c r="K221" s="75">
        <v>21480.1</v>
      </c>
      <c r="L221" s="72" t="s">
        <v>104</v>
      </c>
      <c r="M221" s="72" t="s">
        <v>104</v>
      </c>
      <c r="N221" s="71">
        <f>SUM(O221:T221)</f>
        <v>0</v>
      </c>
      <c r="O221" s="146">
        <f>G221*K221</f>
        <v>0</v>
      </c>
      <c r="P221" s="146"/>
      <c r="Q221" s="71"/>
      <c r="R221" s="71"/>
      <c r="S221" s="71"/>
      <c r="T221" s="71"/>
      <c r="U221" s="75">
        <f t="shared" si="180"/>
        <v>0</v>
      </c>
      <c r="V221" s="75">
        <f t="shared" si="181"/>
        <v>0</v>
      </c>
    </row>
    <row r="222" spans="1:22">
      <c r="A222" s="310"/>
      <c r="B222" s="314"/>
      <c r="C222" s="66" t="s">
        <v>106</v>
      </c>
      <c r="D222" s="67"/>
      <c r="E222" s="59">
        <f>E212+E220</f>
        <v>328</v>
      </c>
      <c r="F222" s="59">
        <f>F212+F220</f>
        <v>328</v>
      </c>
      <c r="G222" s="59">
        <f>G212+G220</f>
        <v>328</v>
      </c>
      <c r="H222" s="59">
        <f>H212+H220</f>
        <v>328</v>
      </c>
      <c r="I222" s="59">
        <f>I212+I220</f>
        <v>328</v>
      </c>
      <c r="J222" s="71" t="s">
        <v>104</v>
      </c>
      <c r="K222" s="71" t="s">
        <v>104</v>
      </c>
      <c r="L222" s="71" t="s">
        <v>104</v>
      </c>
      <c r="M222" s="71" t="s">
        <v>104</v>
      </c>
      <c r="N222" s="71">
        <f>SUM(N212:N221)</f>
        <v>13771962.510000002</v>
      </c>
      <c r="O222" s="71">
        <f t="shared" ref="O222:V222" si="182">SUM(O212:O221)</f>
        <v>8646234.3499999996</v>
      </c>
      <c r="P222" s="71"/>
      <c r="Q222" s="71">
        <f t="shared" si="182"/>
        <v>1312652.72</v>
      </c>
      <c r="R222" s="71"/>
      <c r="S222" s="71"/>
      <c r="T222" s="71">
        <f t="shared" si="182"/>
        <v>3813075.44</v>
      </c>
      <c r="U222" s="71">
        <f t="shared" si="182"/>
        <v>13771962.510000002</v>
      </c>
      <c r="V222" s="71">
        <f t="shared" si="182"/>
        <v>13771962.510000002</v>
      </c>
    </row>
    <row r="223" spans="1:22" ht="82.8">
      <c r="A223" s="310"/>
      <c r="B223" s="312" t="s">
        <v>107</v>
      </c>
      <c r="C223" s="61" t="s">
        <v>100</v>
      </c>
      <c r="D223" s="62" t="s">
        <v>101</v>
      </c>
      <c r="E223" s="59">
        <v>174</v>
      </c>
      <c r="F223" s="59">
        <v>174</v>
      </c>
      <c r="G223" s="59">
        <f t="shared" si="174"/>
        <v>174</v>
      </c>
      <c r="H223" s="59">
        <v>174</v>
      </c>
      <c r="I223" s="59">
        <v>174</v>
      </c>
      <c r="J223" s="107">
        <f>SUM(K223:M223)</f>
        <v>51622.92</v>
      </c>
      <c r="K223" s="147">
        <f>34346.05+1649.65</f>
        <v>35995.700000000004</v>
      </c>
      <c r="L223" s="70">
        <v>4001.99</v>
      </c>
      <c r="M223" s="163">
        <v>11625.23</v>
      </c>
      <c r="N223" s="71">
        <f>SUM(O223:T223)</f>
        <v>8982388.0800000001</v>
      </c>
      <c r="O223" s="146">
        <f>G223*K223</f>
        <v>6263251.8000000007</v>
      </c>
      <c r="P223" s="146"/>
      <c r="Q223" s="71">
        <f>G223*L223</f>
        <v>696346.26</v>
      </c>
      <c r="R223" s="71"/>
      <c r="S223" s="71"/>
      <c r="T223" s="156">
        <f>G223*M223</f>
        <v>2022790.02</v>
      </c>
      <c r="U223" s="75">
        <f t="shared" si="180"/>
        <v>8982388.0800000001</v>
      </c>
      <c r="V223" s="75">
        <f t="shared" si="181"/>
        <v>8982388.0800000001</v>
      </c>
    </row>
    <row r="224" spans="1:22" ht="96.6">
      <c r="A224" s="310"/>
      <c r="B224" s="313"/>
      <c r="C224" s="61" t="s">
        <v>118</v>
      </c>
      <c r="D224" s="62" t="s">
        <v>101</v>
      </c>
      <c r="E224" s="59">
        <v>218</v>
      </c>
      <c r="F224" s="59">
        <v>218</v>
      </c>
      <c r="G224" s="59">
        <f t="shared" si="174"/>
        <v>218</v>
      </c>
      <c r="H224" s="59">
        <v>218</v>
      </c>
      <c r="I224" s="59">
        <v>218</v>
      </c>
      <c r="J224" s="107">
        <f>SUM(K224:M224)</f>
        <v>55059.729999999996</v>
      </c>
      <c r="K224" s="147">
        <f>37782.86+1649.65</f>
        <v>39432.51</v>
      </c>
      <c r="L224" s="70">
        <v>4001.99</v>
      </c>
      <c r="M224" s="163">
        <v>11625.23</v>
      </c>
      <c r="N224" s="71">
        <f>SUM(O224:T224)</f>
        <v>12003021.140000001</v>
      </c>
      <c r="O224" s="146">
        <f>G224*K224</f>
        <v>8596287.1799999997</v>
      </c>
      <c r="P224" s="146"/>
      <c r="Q224" s="71">
        <f>G224*L224</f>
        <v>872433.82</v>
      </c>
      <c r="R224" s="71"/>
      <c r="S224" s="71"/>
      <c r="T224" s="156">
        <f>G224*M224</f>
        <v>2534300.14</v>
      </c>
      <c r="U224" s="75">
        <f t="shared" si="180"/>
        <v>12003021.139999999</v>
      </c>
      <c r="V224" s="75">
        <f t="shared" si="181"/>
        <v>12003021.139999999</v>
      </c>
    </row>
    <row r="225" spans="1:22" ht="82.8">
      <c r="A225" s="310"/>
      <c r="B225" s="313"/>
      <c r="C225" s="63" t="s">
        <v>102</v>
      </c>
      <c r="D225" s="64" t="s">
        <v>101</v>
      </c>
      <c r="E225" s="59" t="s">
        <v>104</v>
      </c>
      <c r="F225" s="59" t="s">
        <v>104</v>
      </c>
      <c r="G225" s="59" t="s">
        <v>104</v>
      </c>
      <c r="H225" s="59" t="s">
        <v>104</v>
      </c>
      <c r="I225" s="59" t="s">
        <v>104</v>
      </c>
      <c r="J225" s="59" t="s">
        <v>104</v>
      </c>
      <c r="K225" s="59" t="s">
        <v>104</v>
      </c>
      <c r="L225" s="59" t="s">
        <v>104</v>
      </c>
      <c r="M225" s="59" t="s">
        <v>104</v>
      </c>
      <c r="N225" s="71"/>
      <c r="O225" s="71"/>
      <c r="P225" s="71"/>
      <c r="Q225" s="59" t="s">
        <v>104</v>
      </c>
      <c r="R225" s="59"/>
      <c r="S225" s="59"/>
      <c r="T225" s="59" t="s">
        <v>104</v>
      </c>
      <c r="U225" s="75"/>
      <c r="V225" s="75"/>
    </row>
    <row r="226" spans="1:22">
      <c r="A226" s="310"/>
      <c r="B226" s="313"/>
      <c r="C226" s="63" t="s">
        <v>171</v>
      </c>
      <c r="D226" s="64" t="s">
        <v>101</v>
      </c>
      <c r="E226" s="60">
        <v>1</v>
      </c>
      <c r="F226" s="60">
        <v>1</v>
      </c>
      <c r="G226" s="59">
        <f t="shared" si="174"/>
        <v>1</v>
      </c>
      <c r="H226" s="60">
        <v>1</v>
      </c>
      <c r="I226" s="60">
        <v>1</v>
      </c>
      <c r="J226" s="75">
        <f>K226</f>
        <v>69362.66</v>
      </c>
      <c r="K226" s="75">
        <v>69362.66</v>
      </c>
      <c r="L226" s="59" t="s">
        <v>104</v>
      </c>
      <c r="M226" s="59" t="s">
        <v>104</v>
      </c>
      <c r="N226" s="71">
        <f>O226</f>
        <v>69362.66</v>
      </c>
      <c r="O226" s="146">
        <f>G226*K226</f>
        <v>69362.66</v>
      </c>
      <c r="P226" s="146"/>
      <c r="Q226" s="59" t="s">
        <v>104</v>
      </c>
      <c r="R226" s="59"/>
      <c r="S226" s="59"/>
      <c r="T226" s="59" t="s">
        <v>104</v>
      </c>
      <c r="U226" s="75">
        <f>H226*K226</f>
        <v>69362.66</v>
      </c>
      <c r="V226" s="75">
        <f>I226*K226</f>
        <v>69362.66</v>
      </c>
    </row>
    <row r="227" spans="1:22">
      <c r="A227" s="310"/>
      <c r="B227" s="313"/>
      <c r="C227" s="63" t="s">
        <v>164</v>
      </c>
      <c r="D227" s="64" t="s">
        <v>101</v>
      </c>
      <c r="E227" s="60">
        <v>1</v>
      </c>
      <c r="F227" s="60">
        <v>1</v>
      </c>
      <c r="G227" s="59">
        <f t="shared" si="174"/>
        <v>1</v>
      </c>
      <c r="H227" s="60">
        <v>1</v>
      </c>
      <c r="I227" s="60">
        <v>1</v>
      </c>
      <c r="J227" s="75">
        <f>K227</f>
        <v>25589.72</v>
      </c>
      <c r="K227" s="75">
        <v>25589.72</v>
      </c>
      <c r="L227" s="59" t="s">
        <v>104</v>
      </c>
      <c r="M227" s="59" t="s">
        <v>104</v>
      </c>
      <c r="N227" s="71">
        <f>O227</f>
        <v>25589.72</v>
      </c>
      <c r="O227" s="146">
        <f t="shared" ref="O227:O228" si="183">G227*K227</f>
        <v>25589.72</v>
      </c>
      <c r="P227" s="146"/>
      <c r="Q227" s="59" t="s">
        <v>104</v>
      </c>
      <c r="R227" s="59"/>
      <c r="S227" s="59"/>
      <c r="T227" s="59" t="s">
        <v>104</v>
      </c>
      <c r="U227" s="75">
        <f>H227*K227</f>
        <v>25589.72</v>
      </c>
      <c r="V227" s="75">
        <f>I227*K227</f>
        <v>25589.72</v>
      </c>
    </row>
    <row r="228" spans="1:22">
      <c r="A228" s="310"/>
      <c r="B228" s="313"/>
      <c r="C228" s="63" t="s">
        <v>168</v>
      </c>
      <c r="D228" s="64" t="s">
        <v>101</v>
      </c>
      <c r="E228" s="60">
        <v>3</v>
      </c>
      <c r="F228" s="60">
        <v>3</v>
      </c>
      <c r="G228" s="59">
        <f t="shared" si="174"/>
        <v>3</v>
      </c>
      <c r="H228" s="60">
        <v>3</v>
      </c>
      <c r="I228" s="60">
        <v>3</v>
      </c>
      <c r="J228" s="75">
        <f>K228</f>
        <v>23553.439999999999</v>
      </c>
      <c r="K228" s="75">
        <v>23553.439999999999</v>
      </c>
      <c r="L228" s="59" t="s">
        <v>104</v>
      </c>
      <c r="M228" s="59" t="s">
        <v>104</v>
      </c>
      <c r="N228" s="71">
        <f>O228</f>
        <v>70660.319999999992</v>
      </c>
      <c r="O228" s="146">
        <f t="shared" si="183"/>
        <v>70660.319999999992</v>
      </c>
      <c r="P228" s="146"/>
      <c r="Q228" s="59" t="s">
        <v>104</v>
      </c>
      <c r="R228" s="59"/>
      <c r="S228" s="59"/>
      <c r="T228" s="59" t="s">
        <v>104</v>
      </c>
      <c r="U228" s="75">
        <f>H228*K228</f>
        <v>70660.319999999992</v>
      </c>
      <c r="V228" s="75">
        <f>I228*K228</f>
        <v>70660.319999999992</v>
      </c>
    </row>
    <row r="229" spans="1:22" ht="110.4">
      <c r="A229" s="310"/>
      <c r="B229" s="313"/>
      <c r="C229" s="61" t="s">
        <v>105</v>
      </c>
      <c r="D229" s="64" t="s">
        <v>101</v>
      </c>
      <c r="E229" s="60">
        <v>1</v>
      </c>
      <c r="F229" s="60">
        <v>1</v>
      </c>
      <c r="G229" s="59">
        <f t="shared" si="174"/>
        <v>1</v>
      </c>
      <c r="H229" s="60">
        <v>1</v>
      </c>
      <c r="I229" s="60">
        <v>1</v>
      </c>
      <c r="J229" s="75">
        <f>SUM(K229:M229)</f>
        <v>168684.5</v>
      </c>
      <c r="K229" s="148">
        <f>151407.63+1649.65</f>
        <v>153057.28</v>
      </c>
      <c r="L229" s="72">
        <v>4001.99</v>
      </c>
      <c r="M229" s="163">
        <v>11625.23</v>
      </c>
      <c r="N229" s="73">
        <f>SUM(O229:T229)</f>
        <v>168684.5</v>
      </c>
      <c r="O229" s="149">
        <f>G229*K229</f>
        <v>153057.28</v>
      </c>
      <c r="P229" s="149"/>
      <c r="Q229" s="73">
        <f>G229*L229</f>
        <v>4001.99</v>
      </c>
      <c r="R229" s="73"/>
      <c r="S229" s="73"/>
      <c r="T229" s="171">
        <f>E229*M229</f>
        <v>11625.23</v>
      </c>
      <c r="U229" s="75">
        <f t="shared" si="180"/>
        <v>168684.5</v>
      </c>
      <c r="V229" s="75">
        <f t="shared" si="181"/>
        <v>168684.5</v>
      </c>
    </row>
    <row r="230" spans="1:22" ht="96.6">
      <c r="A230" s="310"/>
      <c r="B230" s="313"/>
      <c r="C230" s="61" t="s">
        <v>117</v>
      </c>
      <c r="D230" s="64" t="s">
        <v>101</v>
      </c>
      <c r="E230" s="60">
        <v>0</v>
      </c>
      <c r="F230" s="60">
        <v>0</v>
      </c>
      <c r="G230" s="59">
        <f t="shared" si="174"/>
        <v>0</v>
      </c>
      <c r="H230" s="60">
        <v>0</v>
      </c>
      <c r="I230" s="60">
        <v>0</v>
      </c>
      <c r="J230" s="75">
        <f>K230</f>
        <v>34010.129999999997</v>
      </c>
      <c r="K230" s="75">
        <v>34010.129999999997</v>
      </c>
      <c r="L230" s="72" t="s">
        <v>104</v>
      </c>
      <c r="M230" s="72" t="s">
        <v>104</v>
      </c>
      <c r="N230" s="73">
        <f>SUM(O230:T230)</f>
        <v>0</v>
      </c>
      <c r="O230" s="73">
        <f>G230*K230</f>
        <v>0</v>
      </c>
      <c r="P230" s="73"/>
      <c r="Q230" s="73"/>
      <c r="R230" s="73"/>
      <c r="S230" s="73"/>
      <c r="T230" s="73"/>
      <c r="U230" s="75">
        <f t="shared" si="180"/>
        <v>0</v>
      </c>
      <c r="V230" s="75">
        <f t="shared" si="181"/>
        <v>0</v>
      </c>
    </row>
    <row r="231" spans="1:22">
      <c r="A231" s="310"/>
      <c r="B231" s="314"/>
      <c r="C231" s="66" t="s">
        <v>106</v>
      </c>
      <c r="D231" s="64"/>
      <c r="E231" s="60">
        <f>E223++E224+E229</f>
        <v>393</v>
      </c>
      <c r="F231" s="60">
        <f>F223++F224+F229</f>
        <v>393</v>
      </c>
      <c r="G231" s="60">
        <f>G223++G224+G229</f>
        <v>393</v>
      </c>
      <c r="H231" s="60">
        <f>H223++H224+H229</f>
        <v>393</v>
      </c>
      <c r="I231" s="60">
        <f>I223++I224+I229</f>
        <v>393</v>
      </c>
      <c r="J231" s="73" t="s">
        <v>104</v>
      </c>
      <c r="K231" s="73" t="s">
        <v>104</v>
      </c>
      <c r="L231" s="74" t="s">
        <v>104</v>
      </c>
      <c r="M231" s="74" t="s">
        <v>104</v>
      </c>
      <c r="N231" s="74">
        <f>SUM(N223:N230)</f>
        <v>21319706.419999998</v>
      </c>
      <c r="O231" s="74">
        <f t="shared" ref="O231:V231" si="184">SUM(O223:O230)</f>
        <v>15178208.960000001</v>
      </c>
      <c r="P231" s="74"/>
      <c r="Q231" s="74">
        <f t="shared" si="184"/>
        <v>1572782.07</v>
      </c>
      <c r="R231" s="74"/>
      <c r="S231" s="74"/>
      <c r="T231" s="74">
        <f t="shared" si="184"/>
        <v>4568715.3900000006</v>
      </c>
      <c r="U231" s="74">
        <f t="shared" si="184"/>
        <v>21319706.419999998</v>
      </c>
      <c r="V231" s="74">
        <f t="shared" si="184"/>
        <v>21319706.419999998</v>
      </c>
    </row>
    <row r="232" spans="1:22" ht="82.8">
      <c r="A232" s="310"/>
      <c r="B232" s="312" t="s">
        <v>108</v>
      </c>
      <c r="C232" s="61" t="s">
        <v>100</v>
      </c>
      <c r="D232" s="62" t="s">
        <v>101</v>
      </c>
      <c r="E232" s="60">
        <v>53</v>
      </c>
      <c r="F232" s="60">
        <v>53</v>
      </c>
      <c r="G232" s="59">
        <f t="shared" si="174"/>
        <v>53</v>
      </c>
      <c r="H232" s="60">
        <v>53</v>
      </c>
      <c r="I232" s="60">
        <v>53</v>
      </c>
      <c r="J232" s="107">
        <f>SUM(K232:M232)</f>
        <v>58731.119999999995</v>
      </c>
      <c r="K232" s="147">
        <f>41105.12+1998.78</f>
        <v>43103.9</v>
      </c>
      <c r="L232" s="70">
        <v>4001.99</v>
      </c>
      <c r="M232" s="163">
        <v>11625.23</v>
      </c>
      <c r="N232" s="73">
        <f>SUM(O232:T232)</f>
        <v>3112749.3600000003</v>
      </c>
      <c r="O232" s="149">
        <f>G232*K232</f>
        <v>2284506.7000000002</v>
      </c>
      <c r="P232" s="149"/>
      <c r="Q232" s="73">
        <f>G232*L232</f>
        <v>212105.47</v>
      </c>
      <c r="R232" s="73"/>
      <c r="S232" s="73"/>
      <c r="T232" s="156">
        <f>G232*M232</f>
        <v>616137.18999999994</v>
      </c>
      <c r="U232" s="75">
        <f>H232*J232</f>
        <v>3112749.36</v>
      </c>
      <c r="V232" s="75">
        <f t="shared" si="181"/>
        <v>3112749.36</v>
      </c>
    </row>
    <row r="233" spans="1:22" ht="96.6">
      <c r="A233" s="310"/>
      <c r="B233" s="313"/>
      <c r="C233" s="61" t="s">
        <v>172</v>
      </c>
      <c r="D233" s="62" t="s">
        <v>101</v>
      </c>
      <c r="E233" s="60">
        <v>52</v>
      </c>
      <c r="F233" s="60">
        <v>52</v>
      </c>
      <c r="G233" s="59">
        <f t="shared" si="174"/>
        <v>52</v>
      </c>
      <c r="H233" s="60">
        <v>52</v>
      </c>
      <c r="I233" s="60">
        <v>52</v>
      </c>
      <c r="J233" s="107">
        <f>SUM(K233:M233)</f>
        <v>101026.57</v>
      </c>
      <c r="K233" s="147">
        <f>83400.57+1998.78</f>
        <v>85399.35</v>
      </c>
      <c r="L233" s="70">
        <v>4001.99</v>
      </c>
      <c r="M233" s="163">
        <v>11625.23</v>
      </c>
      <c r="N233" s="73">
        <f>SUM(O233:T233)</f>
        <v>5253381.6399999997</v>
      </c>
      <c r="O233" s="149">
        <f>G233*K233</f>
        <v>4440766.2</v>
      </c>
      <c r="P233" s="149"/>
      <c r="Q233" s="73">
        <f>G233*L233</f>
        <v>208103.47999999998</v>
      </c>
      <c r="R233" s="73"/>
      <c r="S233" s="73"/>
      <c r="T233" s="156">
        <f>G233*M233</f>
        <v>604511.96</v>
      </c>
      <c r="U233" s="75">
        <f t="shared" si="180"/>
        <v>5253381.6400000006</v>
      </c>
      <c r="V233" s="75">
        <f t="shared" si="181"/>
        <v>5253381.6400000006</v>
      </c>
    </row>
    <row r="234" spans="1:22" ht="82.8">
      <c r="A234" s="310"/>
      <c r="B234" s="313"/>
      <c r="C234" s="63" t="s">
        <v>102</v>
      </c>
      <c r="D234" s="64" t="s">
        <v>101</v>
      </c>
      <c r="E234" s="59" t="s">
        <v>104</v>
      </c>
      <c r="F234" s="59" t="s">
        <v>104</v>
      </c>
      <c r="G234" s="59" t="s">
        <v>104</v>
      </c>
      <c r="H234" s="59" t="s">
        <v>104</v>
      </c>
      <c r="I234" s="59" t="s">
        <v>104</v>
      </c>
      <c r="J234" s="59" t="s">
        <v>104</v>
      </c>
      <c r="K234" s="59" t="s">
        <v>104</v>
      </c>
      <c r="L234" s="59" t="s">
        <v>104</v>
      </c>
      <c r="M234" s="59" t="s">
        <v>104</v>
      </c>
      <c r="N234" s="71"/>
      <c r="O234" s="71"/>
      <c r="P234" s="71"/>
      <c r="Q234" s="59" t="s">
        <v>104</v>
      </c>
      <c r="R234" s="59"/>
      <c r="S234" s="59"/>
      <c r="T234" s="59" t="s">
        <v>104</v>
      </c>
      <c r="U234" s="75"/>
      <c r="V234" s="75"/>
    </row>
    <row r="235" spans="1:22">
      <c r="A235" s="310"/>
      <c r="B235" s="313"/>
      <c r="C235" s="63" t="s">
        <v>168</v>
      </c>
      <c r="D235" s="64" t="s">
        <v>101</v>
      </c>
      <c r="E235" s="60"/>
      <c r="F235" s="60"/>
      <c r="G235" s="59">
        <f t="shared" si="174"/>
        <v>0</v>
      </c>
      <c r="H235" s="60"/>
      <c r="I235" s="60"/>
      <c r="J235" s="75">
        <f>K235</f>
        <v>23553.439999999999</v>
      </c>
      <c r="K235" s="75">
        <v>23553.439999999999</v>
      </c>
      <c r="L235" s="59" t="s">
        <v>104</v>
      </c>
      <c r="M235" s="59" t="s">
        <v>104</v>
      </c>
      <c r="N235" s="71">
        <f>O235</f>
        <v>0</v>
      </c>
      <c r="O235" s="146">
        <f>G235*K235</f>
        <v>0</v>
      </c>
      <c r="P235" s="146"/>
      <c r="Q235" s="59" t="s">
        <v>104</v>
      </c>
      <c r="R235" s="59"/>
      <c r="S235" s="59"/>
      <c r="T235" s="59" t="s">
        <v>104</v>
      </c>
      <c r="U235" s="75">
        <f>H235*K235</f>
        <v>0</v>
      </c>
      <c r="V235" s="75">
        <f>I235*K235</f>
        <v>0</v>
      </c>
    </row>
    <row r="236" spans="1:22" ht="110.4">
      <c r="A236" s="310"/>
      <c r="B236" s="313"/>
      <c r="C236" s="61" t="s">
        <v>105</v>
      </c>
      <c r="D236" s="64" t="s">
        <v>101</v>
      </c>
      <c r="E236" s="60"/>
      <c r="F236" s="60"/>
      <c r="G236" s="59">
        <f t="shared" si="174"/>
        <v>0</v>
      </c>
      <c r="H236" s="60"/>
      <c r="I236" s="60"/>
      <c r="J236" s="75">
        <f>SUM(K236:M236)</f>
        <v>199028.35</v>
      </c>
      <c r="K236" s="148">
        <f>181402.35+1998.78</f>
        <v>183401.13</v>
      </c>
      <c r="L236" s="72">
        <v>4001.99</v>
      </c>
      <c r="M236" s="163">
        <v>11625.23</v>
      </c>
      <c r="N236" s="73"/>
      <c r="O236" s="149"/>
      <c r="P236" s="149"/>
      <c r="Q236" s="73"/>
      <c r="R236" s="73"/>
      <c r="S236" s="73"/>
      <c r="T236" s="73"/>
      <c r="U236" s="75">
        <f t="shared" si="180"/>
        <v>0</v>
      </c>
      <c r="V236" s="75">
        <f t="shared" si="181"/>
        <v>0</v>
      </c>
    </row>
    <row r="237" spans="1:22">
      <c r="A237" s="310"/>
      <c r="B237" s="314"/>
      <c r="C237" s="66" t="s">
        <v>106</v>
      </c>
      <c r="D237" s="64"/>
      <c r="E237" s="60">
        <f>E232+E236</f>
        <v>53</v>
      </c>
      <c r="F237" s="60">
        <f t="shared" ref="F237:I237" si="185">F232+F236</f>
        <v>53</v>
      </c>
      <c r="G237" s="60">
        <f t="shared" si="185"/>
        <v>53</v>
      </c>
      <c r="H237" s="60">
        <f t="shared" si="185"/>
        <v>53</v>
      </c>
      <c r="I237" s="60">
        <f t="shared" si="185"/>
        <v>53</v>
      </c>
      <c r="J237" s="73" t="s">
        <v>104</v>
      </c>
      <c r="K237" s="73" t="s">
        <v>104</v>
      </c>
      <c r="L237" s="74" t="s">
        <v>104</v>
      </c>
      <c r="M237" s="74" t="s">
        <v>104</v>
      </c>
      <c r="N237" s="74">
        <f>SUM(N232:N236)</f>
        <v>8366131</v>
      </c>
      <c r="O237" s="74">
        <f t="shared" ref="O237:V237" si="186">SUM(O232:O236)</f>
        <v>6725272.9000000004</v>
      </c>
      <c r="P237" s="74"/>
      <c r="Q237" s="74">
        <f t="shared" si="186"/>
        <v>420208.94999999995</v>
      </c>
      <c r="R237" s="74"/>
      <c r="S237" s="74"/>
      <c r="T237" s="74">
        <f t="shared" si="186"/>
        <v>1220649.1499999999</v>
      </c>
      <c r="U237" s="74">
        <f t="shared" si="186"/>
        <v>8366131</v>
      </c>
      <c r="V237" s="74">
        <f t="shared" si="186"/>
        <v>8366131</v>
      </c>
    </row>
    <row r="238" spans="1:22" ht="96.6">
      <c r="A238" s="310"/>
      <c r="B238" s="137" t="s">
        <v>109</v>
      </c>
      <c r="C238" s="61" t="s">
        <v>187</v>
      </c>
      <c r="D238" s="64" t="s">
        <v>101</v>
      </c>
      <c r="E238" s="60">
        <v>1235</v>
      </c>
      <c r="F238" s="60">
        <v>1235</v>
      </c>
      <c r="G238" s="59">
        <f t="shared" si="174"/>
        <v>1235</v>
      </c>
      <c r="H238" s="60">
        <v>1235</v>
      </c>
      <c r="I238" s="60">
        <v>1235</v>
      </c>
      <c r="J238" s="75">
        <f>K238</f>
        <v>3978.76</v>
      </c>
      <c r="K238" s="75">
        <v>3978.76</v>
      </c>
      <c r="L238" s="72" t="s">
        <v>104</v>
      </c>
      <c r="M238" s="72" t="s">
        <v>104</v>
      </c>
      <c r="N238" s="73">
        <f>SUM(O238:T238)</f>
        <v>4913768.6000000006</v>
      </c>
      <c r="O238" s="149">
        <f>G238*K238</f>
        <v>4913768.6000000006</v>
      </c>
      <c r="P238" s="149"/>
      <c r="Q238" s="73" t="s">
        <v>104</v>
      </c>
      <c r="R238" s="73"/>
      <c r="S238" s="73"/>
      <c r="T238" s="73" t="s">
        <v>104</v>
      </c>
      <c r="U238" s="75">
        <f t="shared" si="180"/>
        <v>4913768.6000000006</v>
      </c>
      <c r="V238" s="75">
        <f t="shared" si="181"/>
        <v>4913768.6000000006</v>
      </c>
    </row>
    <row r="239" spans="1:22">
      <c r="A239" s="310"/>
      <c r="B239" s="69"/>
      <c r="C239" s="66" t="s">
        <v>106</v>
      </c>
      <c r="D239" s="69"/>
      <c r="E239" s="60">
        <f>SUM(E238:E238)</f>
        <v>1235</v>
      </c>
      <c r="F239" s="60">
        <f>SUM(F238:F238)</f>
        <v>1235</v>
      </c>
      <c r="G239" s="60">
        <f>SUM(G238:G238)</f>
        <v>1235</v>
      </c>
      <c r="H239" s="60">
        <f>SUM(H238:H238)</f>
        <v>1235</v>
      </c>
      <c r="I239" s="60">
        <f>SUM(I238:I238)</f>
        <v>1235</v>
      </c>
      <c r="J239" s="73" t="s">
        <v>104</v>
      </c>
      <c r="K239" s="73" t="s">
        <v>104</v>
      </c>
      <c r="L239" s="74" t="s">
        <v>104</v>
      </c>
      <c r="M239" s="74">
        <f t="shared" ref="M239:V239" si="187">SUM(M238:M238)</f>
        <v>0</v>
      </c>
      <c r="N239" s="74">
        <f t="shared" si="187"/>
        <v>4913768.6000000006</v>
      </c>
      <c r="O239" s="74">
        <f t="shared" si="187"/>
        <v>4913768.6000000006</v>
      </c>
      <c r="P239" s="74"/>
      <c r="Q239" s="74">
        <f t="shared" si="187"/>
        <v>0</v>
      </c>
      <c r="R239" s="74"/>
      <c r="S239" s="74"/>
      <c r="T239" s="74">
        <f t="shared" si="187"/>
        <v>0</v>
      </c>
      <c r="U239" s="75">
        <f t="shared" si="187"/>
        <v>4913768.6000000006</v>
      </c>
      <c r="V239" s="75">
        <f t="shared" si="187"/>
        <v>4913768.6000000006</v>
      </c>
    </row>
    <row r="240" spans="1:22">
      <c r="A240" s="310"/>
      <c r="B240" s="101" t="s">
        <v>112</v>
      </c>
      <c r="C240" s="101"/>
      <c r="D240" s="69"/>
      <c r="E240" s="102"/>
      <c r="F240" s="102"/>
      <c r="G240" s="102"/>
      <c r="H240" s="102"/>
      <c r="I240" s="102"/>
      <c r="J240" s="104"/>
      <c r="K240" s="104"/>
      <c r="L240" s="103"/>
      <c r="M240" s="103"/>
      <c r="N240" s="103">
        <f t="shared" ref="N240:V240" si="188">N222+N231+N237+N239</f>
        <v>48371568.530000001</v>
      </c>
      <c r="O240" s="103">
        <f t="shared" si="188"/>
        <v>35463484.810000002</v>
      </c>
      <c r="P240" s="103"/>
      <c r="Q240" s="103">
        <f t="shared" si="188"/>
        <v>3305643.74</v>
      </c>
      <c r="R240" s="103"/>
      <c r="S240" s="103"/>
      <c r="T240" s="103">
        <f t="shared" si="188"/>
        <v>9602439.9800000004</v>
      </c>
      <c r="U240" s="103">
        <f t="shared" si="188"/>
        <v>48371568.530000001</v>
      </c>
      <c r="V240" s="103">
        <f t="shared" si="188"/>
        <v>48371568.530000001</v>
      </c>
    </row>
    <row r="241" spans="1:23" ht="187.2" customHeight="1">
      <c r="A241" s="310" t="s">
        <v>119</v>
      </c>
      <c r="B241" s="311" t="s">
        <v>99</v>
      </c>
      <c r="C241" s="61" t="s">
        <v>120</v>
      </c>
      <c r="D241" s="62" t="s">
        <v>121</v>
      </c>
      <c r="E241" s="121" t="s">
        <v>192</v>
      </c>
      <c r="F241" s="121" t="s">
        <v>192</v>
      </c>
      <c r="G241" s="121" t="s">
        <v>192</v>
      </c>
      <c r="H241" s="121" t="s">
        <v>192</v>
      </c>
      <c r="I241" s="121" t="s">
        <v>192</v>
      </c>
      <c r="J241" s="151" t="s">
        <v>214</v>
      </c>
      <c r="K241" s="147" t="s">
        <v>195</v>
      </c>
      <c r="L241" s="70" t="s">
        <v>185</v>
      </c>
      <c r="M241" s="163" t="s">
        <v>213</v>
      </c>
      <c r="N241" s="71">
        <f>SUM(O241:T241)</f>
        <v>3267447.26</v>
      </c>
      <c r="O241" s="146">
        <f>(668575.57*3)+((1351.63*67)/12*8+(1351.63*67)/12*4)</f>
        <v>2096285.92</v>
      </c>
      <c r="P241" s="146"/>
      <c r="Q241" s="71">
        <f>((4001.99*67)/12*8)+((4001.99*67)/12*4)</f>
        <v>268133.32999999996</v>
      </c>
      <c r="R241" s="71"/>
      <c r="S241" s="71"/>
      <c r="T241" s="156">
        <f>((13478.03*67)/12*8)+((13478.03*67)/12*4)</f>
        <v>903028.01</v>
      </c>
      <c r="U241" s="46">
        <f>668575.57*3+18831.65*67</f>
        <v>3267447.26</v>
      </c>
      <c r="V241" s="75">
        <f>U241</f>
        <v>3267447.26</v>
      </c>
    </row>
    <row r="242" spans="1:23" ht="202.2" customHeight="1">
      <c r="A242" s="310"/>
      <c r="B242" s="311"/>
      <c r="C242" s="61" t="s">
        <v>128</v>
      </c>
      <c r="D242" s="62" t="s">
        <v>121</v>
      </c>
      <c r="E242" s="121" t="s">
        <v>193</v>
      </c>
      <c r="F242" s="121" t="s">
        <v>193</v>
      </c>
      <c r="G242" s="121" t="s">
        <v>193</v>
      </c>
      <c r="H242" s="121" t="s">
        <v>193</v>
      </c>
      <c r="I242" s="121" t="s">
        <v>193</v>
      </c>
      <c r="J242" s="151" t="s">
        <v>215</v>
      </c>
      <c r="K242" s="147" t="s">
        <v>194</v>
      </c>
      <c r="L242" s="70" t="s">
        <v>185</v>
      </c>
      <c r="M242" s="163" t="s">
        <v>213</v>
      </c>
      <c r="N242" s="71">
        <f t="shared" ref="N242:N248" si="189">SUM(O242:T242)</f>
        <v>940427.04</v>
      </c>
      <c r="O242" s="146">
        <f>(((628912.16*1)/12*8+(628912.16*1)/12*4)+((1351.63*19)/12*8+(1351.63*19)/12*4))</f>
        <v>654593.13</v>
      </c>
      <c r="P242" s="146"/>
      <c r="Q242" s="71">
        <f>((4001.99*19)/12*8)+((4001.99*19)/12*4)</f>
        <v>76037.81</v>
      </c>
      <c r="R242" s="71"/>
      <c r="S242" s="71"/>
      <c r="T242" s="75">
        <f>((11041.9*19)/12*8)+((11041.9*19)/12*4)</f>
        <v>209796.10000000003</v>
      </c>
      <c r="U242" s="46">
        <f>628912.16*1+16395.52*19</f>
        <v>940427.04</v>
      </c>
      <c r="V242" s="75">
        <f>U242</f>
        <v>940427.04</v>
      </c>
    </row>
    <row r="243" spans="1:23" ht="82.8">
      <c r="A243" s="310"/>
      <c r="B243" s="311"/>
      <c r="C243" s="63" t="s">
        <v>102</v>
      </c>
      <c r="D243" s="64" t="s">
        <v>101</v>
      </c>
      <c r="E243" s="65"/>
      <c r="F243" s="65"/>
      <c r="G243" s="65"/>
      <c r="H243" s="65"/>
      <c r="I243" s="65"/>
      <c r="J243" s="150" t="s">
        <v>103</v>
      </c>
      <c r="K243" s="150" t="s">
        <v>103</v>
      </c>
      <c r="L243" s="150" t="s">
        <v>103</v>
      </c>
      <c r="M243" s="150" t="s">
        <v>103</v>
      </c>
      <c r="N243" s="150" t="s">
        <v>103</v>
      </c>
      <c r="O243" s="150" t="s">
        <v>103</v>
      </c>
      <c r="P243" s="150"/>
      <c r="Q243" s="150" t="s">
        <v>103</v>
      </c>
      <c r="R243" s="150"/>
      <c r="S243" s="150"/>
      <c r="T243" s="150" t="s">
        <v>103</v>
      </c>
      <c r="U243" s="150" t="s">
        <v>103</v>
      </c>
      <c r="V243" s="150" t="s">
        <v>103</v>
      </c>
    </row>
    <row r="244" spans="1:23">
      <c r="A244" s="310"/>
      <c r="B244" s="311"/>
      <c r="C244" s="63" t="s">
        <v>166</v>
      </c>
      <c r="D244" s="64" t="s">
        <v>101</v>
      </c>
      <c r="E244" s="59">
        <v>2</v>
      </c>
      <c r="F244" s="59">
        <v>2</v>
      </c>
      <c r="G244" s="59">
        <f t="shared" ref="G244:G245" si="190">((E244*8)+(F244*4))/12</f>
        <v>2</v>
      </c>
      <c r="H244" s="59">
        <v>2</v>
      </c>
      <c r="I244" s="59">
        <v>2</v>
      </c>
      <c r="J244" s="148">
        <f>K244</f>
        <v>80183.77</v>
      </c>
      <c r="K244" s="148">
        <v>80183.77</v>
      </c>
      <c r="L244" s="72"/>
      <c r="M244" s="72"/>
      <c r="N244" s="71"/>
      <c r="O244" s="146">
        <f>G244*K244</f>
        <v>160367.54</v>
      </c>
      <c r="P244" s="146"/>
      <c r="Q244" s="71"/>
      <c r="R244" s="71"/>
      <c r="S244" s="71"/>
      <c r="T244" s="118"/>
      <c r="U244" s="75">
        <f>K244*G244</f>
        <v>160367.54</v>
      </c>
      <c r="V244" s="75">
        <f>U244</f>
        <v>160367.54</v>
      </c>
    </row>
    <row r="245" spans="1:23" ht="96.6">
      <c r="A245" s="310"/>
      <c r="B245" s="311"/>
      <c r="C245" s="61" t="s">
        <v>174</v>
      </c>
      <c r="D245" s="64" t="s">
        <v>101</v>
      </c>
      <c r="E245" s="59"/>
      <c r="F245" s="59"/>
      <c r="G245" s="59">
        <f t="shared" si="190"/>
        <v>0</v>
      </c>
      <c r="H245" s="59"/>
      <c r="I245" s="59"/>
      <c r="J245" s="75">
        <f>K245</f>
        <v>25930.91</v>
      </c>
      <c r="K245" s="75">
        <v>25930.91</v>
      </c>
      <c r="L245" s="71" t="s">
        <v>104</v>
      </c>
      <c r="M245" s="71" t="s">
        <v>104</v>
      </c>
      <c r="N245" s="71">
        <f>O245</f>
        <v>0</v>
      </c>
      <c r="O245" s="146">
        <f>G245*K245</f>
        <v>0</v>
      </c>
      <c r="P245" s="146"/>
      <c r="Q245" s="71" t="s">
        <v>104</v>
      </c>
      <c r="R245" s="71"/>
      <c r="S245" s="71"/>
      <c r="T245" s="118" t="s">
        <v>104</v>
      </c>
      <c r="U245" s="75">
        <f>H245*K245</f>
        <v>0</v>
      </c>
      <c r="V245" s="75">
        <f>I245*K245</f>
        <v>0</v>
      </c>
    </row>
    <row r="246" spans="1:23">
      <c r="A246" s="310"/>
      <c r="B246" s="311"/>
      <c r="C246" s="66" t="s">
        <v>106</v>
      </c>
      <c r="D246" s="67"/>
      <c r="E246" s="121" t="s">
        <v>198</v>
      </c>
      <c r="F246" s="121" t="s">
        <v>198</v>
      </c>
      <c r="G246" s="121" t="s">
        <v>198</v>
      </c>
      <c r="H246" s="121" t="s">
        <v>198</v>
      </c>
      <c r="I246" s="121" t="s">
        <v>198</v>
      </c>
      <c r="J246" s="71" t="s">
        <v>104</v>
      </c>
      <c r="K246" s="71" t="s">
        <v>104</v>
      </c>
      <c r="L246" s="71" t="s">
        <v>104</v>
      </c>
      <c r="M246" s="71" t="s">
        <v>104</v>
      </c>
      <c r="N246" s="71">
        <f>SUM(O246:T246)</f>
        <v>4368241.84</v>
      </c>
      <c r="O246" s="71">
        <f>SUM(O241:O245)</f>
        <v>2911246.59</v>
      </c>
      <c r="P246" s="71"/>
      <c r="Q246" s="71">
        <f>SUM(Q241:Q245)</f>
        <v>344171.13999999996</v>
      </c>
      <c r="R246" s="71"/>
      <c r="S246" s="71"/>
      <c r="T246" s="71">
        <f t="shared" ref="T246:V246" si="191">SUM(T241:T245)</f>
        <v>1112824.1100000001</v>
      </c>
      <c r="U246" s="71">
        <f t="shared" si="191"/>
        <v>4368241.84</v>
      </c>
      <c r="V246" s="71">
        <f t="shared" si="191"/>
        <v>4368241.84</v>
      </c>
    </row>
    <row r="247" spans="1:23" ht="193.2">
      <c r="A247" s="310"/>
      <c r="B247" s="311" t="s">
        <v>107</v>
      </c>
      <c r="C247" s="61" t="s">
        <v>120</v>
      </c>
      <c r="D247" s="62" t="s">
        <v>121</v>
      </c>
      <c r="E247" s="121" t="s">
        <v>198</v>
      </c>
      <c r="F247" s="121" t="s">
        <v>198</v>
      </c>
      <c r="G247" s="121" t="s">
        <v>198</v>
      </c>
      <c r="H247" s="121" t="s">
        <v>198</v>
      </c>
      <c r="I247" s="121" t="s">
        <v>198</v>
      </c>
      <c r="J247" s="151" t="s">
        <v>216</v>
      </c>
      <c r="K247" s="147" t="s">
        <v>197</v>
      </c>
      <c r="L247" s="70" t="s">
        <v>185</v>
      </c>
      <c r="M247" s="163" t="s">
        <v>213</v>
      </c>
      <c r="N247" s="71">
        <f t="shared" si="189"/>
        <v>5408628.8399999999</v>
      </c>
      <c r="O247" s="146">
        <f>(((993246.1*4)/12*8+(993246.1*4)/12*4)+((1649.65*86)/12*8+(1649.65*86)/12*4))</f>
        <v>4114854.3</v>
      </c>
      <c r="P247" s="146"/>
      <c r="Q247" s="71">
        <f>((4001.99*86)/12*8)+((4001.99*86)/12*4)</f>
        <v>344171.13999999996</v>
      </c>
      <c r="R247" s="71"/>
      <c r="S247" s="71"/>
      <c r="T247" s="71">
        <f>((11041.9*86)/12*8)+((11041.9*86)/12*4)</f>
        <v>949603.4</v>
      </c>
      <c r="U247" s="46">
        <f>4*993246.1+86*16693.54</f>
        <v>5408628.8399999999</v>
      </c>
      <c r="V247" s="75">
        <f>U247</f>
        <v>5408628.8399999999</v>
      </c>
      <c r="W247" s="124"/>
    </row>
    <row r="248" spans="1:23" ht="193.2">
      <c r="A248" s="310"/>
      <c r="B248" s="311"/>
      <c r="C248" s="61" t="s">
        <v>128</v>
      </c>
      <c r="D248" s="62" t="s">
        <v>121</v>
      </c>
      <c r="E248" s="79" t="s">
        <v>199</v>
      </c>
      <c r="F248" s="79" t="s">
        <v>199</v>
      </c>
      <c r="G248" s="79" t="s">
        <v>199</v>
      </c>
      <c r="H248" s="79" t="s">
        <v>199</v>
      </c>
      <c r="I248" s="79" t="s">
        <v>199</v>
      </c>
      <c r="J248" s="151" t="s">
        <v>217</v>
      </c>
      <c r="K248" s="147" t="s">
        <v>196</v>
      </c>
      <c r="L248" s="70" t="s">
        <v>185</v>
      </c>
      <c r="M248" s="163" t="s">
        <v>213</v>
      </c>
      <c r="N248" s="71">
        <f t="shared" si="189"/>
        <v>2058739.2200000002</v>
      </c>
      <c r="O248" s="146">
        <f>(((787313.28*2)/12*8+(787313.28*2)/12*4)+((1649.65*29)/12*8+(1649.65*29)/12*4))</f>
        <v>1622466.4100000001</v>
      </c>
      <c r="P248" s="146"/>
      <c r="Q248" s="71">
        <f>((4001.99*29)/12*8)+((4001.99*29)/12*4)</f>
        <v>116057.70999999999</v>
      </c>
      <c r="R248" s="71"/>
      <c r="S248" s="71"/>
      <c r="T248" s="71">
        <f>((11041.9*29)/12*8)+((11041.9*29)/12*4)</f>
        <v>320215.09999999998</v>
      </c>
      <c r="U248" s="46">
        <f>2*787313.28+16693.54*29</f>
        <v>2058739.2200000002</v>
      </c>
      <c r="V248" s="75">
        <f>U248</f>
        <v>2058739.2200000002</v>
      </c>
    </row>
    <row r="249" spans="1:23" ht="96.6">
      <c r="A249" s="310"/>
      <c r="B249" s="311"/>
      <c r="C249" s="63" t="s">
        <v>163</v>
      </c>
      <c r="D249" s="64" t="s">
        <v>101</v>
      </c>
      <c r="E249" s="59" t="s">
        <v>104</v>
      </c>
      <c r="F249" s="59" t="s">
        <v>104</v>
      </c>
      <c r="G249" s="59" t="s">
        <v>104</v>
      </c>
      <c r="H249" s="59" t="s">
        <v>104</v>
      </c>
      <c r="I249" s="59" t="s">
        <v>104</v>
      </c>
      <c r="J249" s="59" t="s">
        <v>104</v>
      </c>
      <c r="K249" s="59" t="s">
        <v>104</v>
      </c>
      <c r="L249" s="59" t="s">
        <v>104</v>
      </c>
      <c r="M249" s="59" t="s">
        <v>104</v>
      </c>
      <c r="N249" s="71"/>
      <c r="O249" s="71"/>
      <c r="P249" s="71"/>
      <c r="Q249" s="59" t="s">
        <v>104</v>
      </c>
      <c r="R249" s="59"/>
      <c r="S249" s="59"/>
      <c r="T249" s="59" t="s">
        <v>104</v>
      </c>
      <c r="U249" s="75"/>
      <c r="V249" s="75"/>
    </row>
    <row r="250" spans="1:23">
      <c r="A250" s="310"/>
      <c r="B250" s="110"/>
      <c r="C250" s="63" t="s">
        <v>165</v>
      </c>
      <c r="D250" s="64"/>
      <c r="E250" s="60">
        <v>1</v>
      </c>
      <c r="F250" s="60">
        <v>1</v>
      </c>
      <c r="G250" s="59">
        <f t="shared" ref="G250:G253" si="192">((E250*8)+(F250*4))/12</f>
        <v>1</v>
      </c>
      <c r="H250" s="60">
        <v>1</v>
      </c>
      <c r="I250" s="60">
        <v>1</v>
      </c>
      <c r="J250" s="75">
        <f>K250</f>
        <v>112063.65</v>
      </c>
      <c r="K250" s="75">
        <v>112063.65</v>
      </c>
      <c r="L250" s="59" t="s">
        <v>104</v>
      </c>
      <c r="M250" s="59" t="s">
        <v>104</v>
      </c>
      <c r="N250" s="71">
        <f>O250</f>
        <v>112063.65</v>
      </c>
      <c r="O250" s="149">
        <f>G250*K250</f>
        <v>112063.65</v>
      </c>
      <c r="P250" s="149"/>
      <c r="Q250" s="59" t="s">
        <v>104</v>
      </c>
      <c r="R250" s="59"/>
      <c r="S250" s="59"/>
      <c r="T250" s="59" t="s">
        <v>104</v>
      </c>
      <c r="U250" s="75">
        <f>H250*K250</f>
        <v>112063.65</v>
      </c>
      <c r="V250" s="75">
        <f>I250*K250</f>
        <v>112063.65</v>
      </c>
    </row>
    <row r="251" spans="1:23">
      <c r="A251" s="310"/>
      <c r="B251" s="110"/>
      <c r="C251" s="63" t="s">
        <v>168</v>
      </c>
      <c r="D251" s="64"/>
      <c r="E251" s="60">
        <v>1</v>
      </c>
      <c r="F251" s="60">
        <v>1</v>
      </c>
      <c r="G251" s="59">
        <f t="shared" si="192"/>
        <v>1</v>
      </c>
      <c r="H251" s="60">
        <v>1</v>
      </c>
      <c r="I251" s="60">
        <v>1</v>
      </c>
      <c r="J251" s="75">
        <f>K251</f>
        <v>28342.92</v>
      </c>
      <c r="K251" s="75">
        <v>28342.92</v>
      </c>
      <c r="L251" s="105" t="s">
        <v>104</v>
      </c>
      <c r="M251" s="59" t="s">
        <v>104</v>
      </c>
      <c r="N251" s="71">
        <f>O251</f>
        <v>28342.92</v>
      </c>
      <c r="O251" s="149">
        <f>G251*K251</f>
        <v>28342.92</v>
      </c>
      <c r="P251" s="149"/>
      <c r="Q251" s="59" t="s">
        <v>104</v>
      </c>
      <c r="R251" s="59"/>
      <c r="S251" s="59"/>
      <c r="T251" s="59" t="s">
        <v>104</v>
      </c>
      <c r="U251" s="75">
        <f>H251*K251</f>
        <v>28342.92</v>
      </c>
      <c r="V251" s="75">
        <f>I251*K251</f>
        <v>28342.92</v>
      </c>
    </row>
    <row r="252" spans="1:23" ht="110.4">
      <c r="A252" s="310"/>
      <c r="B252" s="110"/>
      <c r="C252" s="76" t="s">
        <v>173</v>
      </c>
      <c r="D252" s="64" t="s">
        <v>101</v>
      </c>
      <c r="E252" s="79">
        <v>1</v>
      </c>
      <c r="F252" s="79">
        <v>1</v>
      </c>
      <c r="G252" s="59">
        <f t="shared" si="192"/>
        <v>1</v>
      </c>
      <c r="H252" s="79">
        <v>1</v>
      </c>
      <c r="I252" s="79">
        <v>1</v>
      </c>
      <c r="J252" s="75">
        <f>SUM(K252:M252)</f>
        <v>227560.27</v>
      </c>
      <c r="K252" s="75">
        <f>225910.62+1649.65</f>
        <v>227560.27</v>
      </c>
      <c r="L252" s="70" t="s">
        <v>185</v>
      </c>
      <c r="M252" s="163" t="s">
        <v>213</v>
      </c>
      <c r="N252" s="73">
        <f>SUM(O252:T252)</f>
        <v>242604.15999999997</v>
      </c>
      <c r="O252" s="149">
        <f>G252*K252</f>
        <v>227560.27</v>
      </c>
      <c r="P252" s="149"/>
      <c r="Q252" s="73">
        <f>G252*4001.99</f>
        <v>4001.99</v>
      </c>
      <c r="R252" s="73"/>
      <c r="S252" s="73"/>
      <c r="T252" s="73">
        <f>G252*11041.9</f>
        <v>11041.9</v>
      </c>
      <c r="U252" s="75">
        <f>N252</f>
        <v>242604.15999999997</v>
      </c>
      <c r="V252" s="75">
        <f>U252</f>
        <v>242604.15999999997</v>
      </c>
    </row>
    <row r="253" spans="1:23" ht="96.6">
      <c r="A253" s="310"/>
      <c r="B253" s="110"/>
      <c r="C253" s="61" t="s">
        <v>174</v>
      </c>
      <c r="D253" s="64" t="s">
        <v>101</v>
      </c>
      <c r="E253" s="79">
        <v>1</v>
      </c>
      <c r="F253" s="79">
        <v>1</v>
      </c>
      <c r="G253" s="59">
        <f t="shared" si="192"/>
        <v>1</v>
      </c>
      <c r="H253" s="79">
        <v>1</v>
      </c>
      <c r="I253" s="79">
        <v>1</v>
      </c>
      <c r="J253" s="75">
        <f>K253</f>
        <v>41057.29</v>
      </c>
      <c r="K253" s="75">
        <v>41057.29</v>
      </c>
      <c r="L253" s="74"/>
      <c r="M253" s="74"/>
      <c r="N253" s="73">
        <f>O253</f>
        <v>41057.29</v>
      </c>
      <c r="O253" s="149">
        <f>G253*K253</f>
        <v>41057.29</v>
      </c>
      <c r="P253" s="149"/>
      <c r="Q253" s="73"/>
      <c r="R253" s="73"/>
      <c r="S253" s="73"/>
      <c r="T253" s="73"/>
      <c r="U253" s="75">
        <f>H253*K253</f>
        <v>41057.29</v>
      </c>
      <c r="V253" s="75">
        <f>I253*K253</f>
        <v>41057.29</v>
      </c>
    </row>
    <row r="254" spans="1:23">
      <c r="A254" s="310"/>
      <c r="B254" s="110"/>
      <c r="C254" s="66" t="s">
        <v>106</v>
      </c>
      <c r="D254" s="64"/>
      <c r="E254" s="77" t="s">
        <v>202</v>
      </c>
      <c r="F254" s="77" t="s">
        <v>202</v>
      </c>
      <c r="G254" s="77" t="s">
        <v>202</v>
      </c>
      <c r="H254" s="77" t="s">
        <v>202</v>
      </c>
      <c r="I254" s="77" t="s">
        <v>202</v>
      </c>
      <c r="J254" s="73" t="s">
        <v>104</v>
      </c>
      <c r="K254" s="73" t="s">
        <v>104</v>
      </c>
      <c r="L254" s="74" t="s">
        <v>104</v>
      </c>
      <c r="M254" s="74" t="s">
        <v>104</v>
      </c>
      <c r="N254" s="74">
        <f>SUM(O254:T254)</f>
        <v>7891436.0800000001</v>
      </c>
      <c r="O254" s="74">
        <f>SUM(O247:O253)</f>
        <v>6146344.8399999999</v>
      </c>
      <c r="P254" s="74"/>
      <c r="Q254" s="74">
        <f>SUM(Q247:Q253)</f>
        <v>464230.83999999997</v>
      </c>
      <c r="R254" s="74"/>
      <c r="S254" s="74"/>
      <c r="T254" s="74">
        <f t="shared" ref="T254:V254" si="193">SUM(T247:T253)</f>
        <v>1280860.3999999999</v>
      </c>
      <c r="U254" s="74">
        <f t="shared" si="193"/>
        <v>7891436.080000001</v>
      </c>
      <c r="V254" s="74">
        <f t="shared" si="193"/>
        <v>7891436.080000001</v>
      </c>
    </row>
    <row r="255" spans="1:23" ht="205.95" customHeight="1">
      <c r="A255" s="310"/>
      <c r="B255" s="110" t="s">
        <v>108</v>
      </c>
      <c r="C255" s="61" t="s">
        <v>128</v>
      </c>
      <c r="D255" s="62" t="s">
        <v>121</v>
      </c>
      <c r="E255" s="121" t="s">
        <v>201</v>
      </c>
      <c r="F255" s="121" t="s">
        <v>201</v>
      </c>
      <c r="G255" s="121" t="s">
        <v>201</v>
      </c>
      <c r="H255" s="121" t="s">
        <v>201</v>
      </c>
      <c r="I255" s="121" t="s">
        <v>201</v>
      </c>
      <c r="J255" s="151" t="s">
        <v>218</v>
      </c>
      <c r="K255" s="147" t="s">
        <v>200</v>
      </c>
      <c r="L255" s="70" t="s">
        <v>185</v>
      </c>
      <c r="M255" s="163" t="s">
        <v>213</v>
      </c>
      <c r="N255" s="73">
        <f>SUM(O255:T255)</f>
        <v>1937937.97</v>
      </c>
      <c r="O255" s="146">
        <f>(841148.96*2)+((1998.78*15)/12*8+(1998.78*15)/12*4)</f>
        <v>1712279.6199999999</v>
      </c>
      <c r="P255" s="146"/>
      <c r="Q255" s="73">
        <f>((15*4001.99)/12*8)+((15*4001.99)/12*4)</f>
        <v>60029.850000000006</v>
      </c>
      <c r="R255" s="73"/>
      <c r="S255" s="73"/>
      <c r="T255" s="46">
        <f>((15*11041.9)/12*8)+((15*11041.9)/12*4)</f>
        <v>165628.5</v>
      </c>
      <c r="U255" s="46">
        <f>841148.96*2+15*17042.67</f>
        <v>1937937.97</v>
      </c>
      <c r="V255" s="75">
        <f>U255</f>
        <v>1937937.97</v>
      </c>
    </row>
    <row r="256" spans="1:23" ht="90" customHeight="1">
      <c r="A256" s="310"/>
      <c r="B256" s="144"/>
      <c r="C256" s="63" t="s">
        <v>163</v>
      </c>
      <c r="D256" s="64" t="s">
        <v>101</v>
      </c>
      <c r="E256" s="121"/>
      <c r="F256" s="121"/>
      <c r="G256" s="121"/>
      <c r="H256" s="121"/>
      <c r="I256" s="121"/>
      <c r="J256" s="107"/>
      <c r="K256" s="147"/>
      <c r="L256" s="70"/>
      <c r="M256" s="70"/>
      <c r="N256" s="73"/>
      <c r="O256" s="71"/>
      <c r="P256" s="71"/>
      <c r="Q256" s="73"/>
      <c r="R256" s="73"/>
      <c r="S256" s="73"/>
      <c r="T256" s="46"/>
      <c r="U256" s="46"/>
      <c r="V256" s="75"/>
    </row>
    <row r="257" spans="1:24" ht="14.4" customHeight="1">
      <c r="A257" s="310"/>
      <c r="B257" s="144"/>
      <c r="C257" s="63" t="s">
        <v>165</v>
      </c>
      <c r="D257" s="64" t="s">
        <v>101</v>
      </c>
      <c r="E257" s="121">
        <v>1</v>
      </c>
      <c r="F257" s="121">
        <v>1</v>
      </c>
      <c r="G257" s="59">
        <f>((E257*8)+(F257*4))/12</f>
        <v>1</v>
      </c>
      <c r="H257" s="121">
        <v>1</v>
      </c>
      <c r="I257" s="121">
        <v>1</v>
      </c>
      <c r="J257" s="107">
        <f>K257</f>
        <v>112063.65</v>
      </c>
      <c r="K257" s="147">
        <v>112063.65</v>
      </c>
      <c r="L257" s="70"/>
      <c r="M257" s="70"/>
      <c r="N257" s="73">
        <f>O257</f>
        <v>112063.65</v>
      </c>
      <c r="O257" s="146">
        <f>K257*G257</f>
        <v>112063.65</v>
      </c>
      <c r="P257" s="146"/>
      <c r="Q257" s="73"/>
      <c r="R257" s="73"/>
      <c r="S257" s="73"/>
      <c r="T257" s="46"/>
      <c r="U257" s="46">
        <f>G257*K257</f>
        <v>112063.65</v>
      </c>
      <c r="V257" s="75">
        <f>U257</f>
        <v>112063.65</v>
      </c>
    </row>
    <row r="258" spans="1:24" ht="16.2" customHeight="1">
      <c r="A258" s="310"/>
      <c r="B258" s="144"/>
      <c r="C258" s="63" t="s">
        <v>168</v>
      </c>
      <c r="D258" s="64" t="s">
        <v>101</v>
      </c>
      <c r="E258" s="121">
        <v>1</v>
      </c>
      <c r="F258" s="121">
        <v>1</v>
      </c>
      <c r="G258" s="59">
        <f t="shared" ref="G258:G260" si="194">((E258*8)+(F258*4))/12</f>
        <v>1</v>
      </c>
      <c r="H258" s="121">
        <v>1</v>
      </c>
      <c r="I258" s="121">
        <v>1</v>
      </c>
      <c r="J258" s="107">
        <f>K258</f>
        <v>28342.92</v>
      </c>
      <c r="K258" s="147">
        <v>28342.92</v>
      </c>
      <c r="L258" s="70"/>
      <c r="M258" s="70"/>
      <c r="N258" s="73">
        <f>O258</f>
        <v>28342.92</v>
      </c>
      <c r="O258" s="146">
        <f>K258*G258</f>
        <v>28342.92</v>
      </c>
      <c r="P258" s="146"/>
      <c r="Q258" s="73"/>
      <c r="R258" s="73"/>
      <c r="S258" s="73"/>
      <c r="T258" s="46"/>
      <c r="U258" s="46">
        <f>G258*K258</f>
        <v>28342.92</v>
      </c>
      <c r="V258" s="75">
        <f>U258</f>
        <v>28342.92</v>
      </c>
    </row>
    <row r="259" spans="1:24">
      <c r="A259" s="310"/>
      <c r="B259" s="110"/>
      <c r="C259" s="66" t="s">
        <v>106</v>
      </c>
      <c r="D259" s="64"/>
      <c r="E259" s="121" t="str">
        <f>E255</f>
        <v>2\15</v>
      </c>
      <c r="F259" s="121" t="str">
        <f>F255</f>
        <v>2\15</v>
      </c>
      <c r="G259" s="121" t="str">
        <f>G255</f>
        <v>2\15</v>
      </c>
      <c r="H259" s="121" t="str">
        <f>H255</f>
        <v>2\15</v>
      </c>
      <c r="I259" s="121" t="str">
        <f>I255</f>
        <v>2\15</v>
      </c>
      <c r="J259" s="73" t="s">
        <v>104</v>
      </c>
      <c r="K259" s="73" t="s">
        <v>104</v>
      </c>
      <c r="L259" s="74" t="s">
        <v>104</v>
      </c>
      <c r="M259" s="74" t="s">
        <v>104</v>
      </c>
      <c r="N259" s="74">
        <f>SUM(N255:N258)</f>
        <v>2078344.5399999998</v>
      </c>
      <c r="O259" s="74">
        <f>SUM(O255:O258)</f>
        <v>1852686.1899999997</v>
      </c>
      <c r="P259" s="74"/>
      <c r="Q259" s="74">
        <f t="shared" ref="Q259:V259" si="195">SUM(Q255:Q258)</f>
        <v>60029.850000000006</v>
      </c>
      <c r="R259" s="74"/>
      <c r="S259" s="74"/>
      <c r="T259" s="74">
        <f t="shared" si="195"/>
        <v>165628.5</v>
      </c>
      <c r="U259" s="74">
        <f t="shared" si="195"/>
        <v>2078344.5399999998</v>
      </c>
      <c r="V259" s="74">
        <f t="shared" si="195"/>
        <v>2078344.5399999998</v>
      </c>
    </row>
    <row r="260" spans="1:24" ht="96.6">
      <c r="A260" s="310"/>
      <c r="B260" s="137" t="s">
        <v>109</v>
      </c>
      <c r="C260" s="61" t="s">
        <v>186</v>
      </c>
      <c r="D260" s="64" t="s">
        <v>101</v>
      </c>
      <c r="E260" s="60">
        <v>307</v>
      </c>
      <c r="F260" s="60">
        <v>307</v>
      </c>
      <c r="G260" s="59">
        <f t="shared" si="194"/>
        <v>307</v>
      </c>
      <c r="H260" s="60">
        <v>307</v>
      </c>
      <c r="I260" s="60">
        <v>307</v>
      </c>
      <c r="J260" s="75">
        <f>K260</f>
        <v>4982.75</v>
      </c>
      <c r="K260" s="75">
        <v>4982.75</v>
      </c>
      <c r="L260" s="72" t="s">
        <v>104</v>
      </c>
      <c r="M260" s="72" t="s">
        <v>104</v>
      </c>
      <c r="N260" s="73">
        <f>SUM(O260:T260)</f>
        <v>1529704.25</v>
      </c>
      <c r="O260" s="149">
        <f>K260*G260</f>
        <v>1529704.25</v>
      </c>
      <c r="P260" s="149"/>
      <c r="Q260" s="73" t="s">
        <v>104</v>
      </c>
      <c r="R260" s="73"/>
      <c r="S260" s="73"/>
      <c r="T260" s="73" t="s">
        <v>104</v>
      </c>
      <c r="U260" s="75">
        <f t="shared" ref="U260" si="196">H260*J260</f>
        <v>1529704.25</v>
      </c>
      <c r="V260" s="75">
        <f t="shared" ref="V260" si="197">I260*J260</f>
        <v>1529704.25</v>
      </c>
    </row>
    <row r="261" spans="1:24">
      <c r="A261" s="310"/>
      <c r="B261" s="69"/>
      <c r="C261" s="66" t="s">
        <v>106</v>
      </c>
      <c r="D261" s="69"/>
      <c r="E261" s="60">
        <f>SUM(E260:E260)</f>
        <v>307</v>
      </c>
      <c r="F261" s="60">
        <f>SUM(F260:F260)</f>
        <v>307</v>
      </c>
      <c r="G261" s="60">
        <f>SUM(G260:G260)</f>
        <v>307</v>
      </c>
      <c r="H261" s="60">
        <f>SUM(H260:H260)</f>
        <v>307</v>
      </c>
      <c r="I261" s="60">
        <f>SUM(I260:I260)</f>
        <v>307</v>
      </c>
      <c r="J261" s="74" t="s">
        <v>104</v>
      </c>
      <c r="K261" s="74" t="s">
        <v>104</v>
      </c>
      <c r="L261" s="74" t="s">
        <v>104</v>
      </c>
      <c r="M261" s="74">
        <f t="shared" ref="M261:V261" si="198">SUM(M260:M260)</f>
        <v>0</v>
      </c>
      <c r="N261" s="74">
        <f t="shared" si="198"/>
        <v>1529704.25</v>
      </c>
      <c r="O261" s="74">
        <f t="shared" si="198"/>
        <v>1529704.25</v>
      </c>
      <c r="P261" s="74"/>
      <c r="Q261" s="74">
        <f t="shared" si="198"/>
        <v>0</v>
      </c>
      <c r="R261" s="74"/>
      <c r="S261" s="74"/>
      <c r="T261" s="74">
        <f t="shared" si="198"/>
        <v>0</v>
      </c>
      <c r="U261" s="74">
        <f t="shared" si="198"/>
        <v>1529704.25</v>
      </c>
      <c r="V261" s="74">
        <f t="shared" si="198"/>
        <v>1529704.25</v>
      </c>
    </row>
    <row r="262" spans="1:24">
      <c r="A262" s="310"/>
      <c r="B262" s="101" t="s">
        <v>112</v>
      </c>
      <c r="C262" s="101"/>
      <c r="D262" s="69"/>
      <c r="E262" s="103"/>
      <c r="F262" s="103"/>
      <c r="G262" s="103"/>
      <c r="H262" s="103"/>
      <c r="I262" s="103"/>
      <c r="J262" s="103"/>
      <c r="K262" s="103"/>
      <c r="L262" s="103"/>
      <c r="M262" s="103"/>
      <c r="N262" s="103">
        <f t="shared" ref="N262:V262" si="199">N246+N254+N259+N261</f>
        <v>15867726.709999999</v>
      </c>
      <c r="O262" s="103">
        <f t="shared" si="199"/>
        <v>12439981.869999999</v>
      </c>
      <c r="P262" s="103"/>
      <c r="Q262" s="103">
        <f t="shared" si="199"/>
        <v>868431.83</v>
      </c>
      <c r="R262" s="103"/>
      <c r="S262" s="103"/>
      <c r="T262" s="103">
        <f t="shared" si="199"/>
        <v>2559313.0099999998</v>
      </c>
      <c r="U262" s="103">
        <f t="shared" si="199"/>
        <v>15867726.710000001</v>
      </c>
      <c r="V262" s="103">
        <f t="shared" si="199"/>
        <v>15867726.710000001</v>
      </c>
      <c r="X262" s="85"/>
    </row>
    <row r="263" spans="1:24">
      <c r="A263" s="96" t="s">
        <v>156</v>
      </c>
    </row>
    <row r="264" spans="1:24" ht="27.6">
      <c r="A264" s="109" t="s">
        <v>3</v>
      </c>
      <c r="B264" s="109" t="s">
        <v>81</v>
      </c>
      <c r="C264" s="109" t="s">
        <v>4</v>
      </c>
      <c r="D264" s="308" t="s">
        <v>5</v>
      </c>
      <c r="E264" s="308"/>
      <c r="F264" s="308"/>
      <c r="G264" s="308"/>
      <c r="H264" s="308"/>
      <c r="I264" s="309" t="s">
        <v>6</v>
      </c>
      <c r="J264" s="309" t="s">
        <v>7</v>
      </c>
      <c r="K264" s="309"/>
      <c r="L264" s="309"/>
    </row>
    <row r="265" spans="1:24" ht="27.6">
      <c r="A265" s="82"/>
      <c r="B265" s="82"/>
      <c r="C265" s="82"/>
      <c r="D265" s="154" t="s">
        <v>176</v>
      </c>
      <c r="E265" s="155" t="s">
        <v>208</v>
      </c>
      <c r="F265" s="153" t="s">
        <v>206</v>
      </c>
      <c r="G265" s="154" t="s">
        <v>183</v>
      </c>
      <c r="H265" s="154" t="s">
        <v>211</v>
      </c>
      <c r="I265" s="309"/>
      <c r="J265" s="154" t="s">
        <v>176</v>
      </c>
      <c r="K265" s="154" t="s">
        <v>183</v>
      </c>
      <c r="L265" s="154" t="s">
        <v>205</v>
      </c>
    </row>
    <row r="266" spans="1:24" ht="94.5" customHeight="1">
      <c r="A266" s="83" t="s">
        <v>13</v>
      </c>
      <c r="B266" s="83" t="s">
        <v>14</v>
      </c>
      <c r="C266" s="109" t="s">
        <v>15</v>
      </c>
      <c r="D266" s="83" t="s">
        <v>16</v>
      </c>
      <c r="E266" s="83" t="s">
        <v>16</v>
      </c>
      <c r="F266" s="83" t="s">
        <v>16</v>
      </c>
      <c r="G266" s="83" t="s">
        <v>16</v>
      </c>
      <c r="H266" s="83" t="s">
        <v>16</v>
      </c>
      <c r="I266" s="109" t="s">
        <v>17</v>
      </c>
      <c r="J266" s="109" t="s">
        <v>17</v>
      </c>
      <c r="K266" s="132" t="s">
        <v>17</v>
      </c>
      <c r="L266" s="109" t="s">
        <v>17</v>
      </c>
    </row>
    <row r="267" spans="1:24" ht="96.6">
      <c r="A267" s="106" t="s">
        <v>157</v>
      </c>
      <c r="B267" s="109" t="s">
        <v>158</v>
      </c>
      <c r="C267" s="82" t="s">
        <v>177</v>
      </c>
      <c r="D267" s="173">
        <v>207360</v>
      </c>
      <c r="E267" s="173">
        <v>207360</v>
      </c>
      <c r="F267" s="173">
        <v>207360</v>
      </c>
      <c r="G267" s="173">
        <v>207360</v>
      </c>
      <c r="H267" s="173">
        <v>207360</v>
      </c>
      <c r="I267" s="170"/>
      <c r="J267" s="170">
        <f>I267*F267</f>
        <v>0</v>
      </c>
      <c r="K267" s="170">
        <f>I267*G267</f>
        <v>0</v>
      </c>
      <c r="L267" s="170">
        <f>K267</f>
        <v>0</v>
      </c>
      <c r="M267" s="85"/>
    </row>
    <row r="268" spans="1:24" ht="96.6">
      <c r="A268" s="112" t="s">
        <v>160</v>
      </c>
      <c r="B268" s="109" t="s">
        <v>158</v>
      </c>
      <c r="C268" s="82" t="s">
        <v>177</v>
      </c>
      <c r="D268" s="172">
        <v>40824</v>
      </c>
      <c r="E268" s="172">
        <v>40824</v>
      </c>
      <c r="F268" s="172">
        <v>40824</v>
      </c>
      <c r="G268" s="172">
        <v>40824</v>
      </c>
      <c r="H268" s="172">
        <v>40824</v>
      </c>
      <c r="I268" s="156">
        <v>161.44</v>
      </c>
      <c r="J268" s="156">
        <f>I268*F268</f>
        <v>6590626.5599999996</v>
      </c>
      <c r="K268" s="156">
        <f>I268*G268</f>
        <v>6590626.5599999996</v>
      </c>
      <c r="L268" s="156">
        <f t="shared" ref="L268" si="200">K268</f>
        <v>6590626.5599999996</v>
      </c>
      <c r="M268" s="85"/>
    </row>
    <row r="271" spans="1:24">
      <c r="A271" s="80" t="s">
        <v>178</v>
      </c>
    </row>
  </sheetData>
  <mergeCells count="41">
    <mergeCell ref="N105:V105"/>
    <mergeCell ref="A5:V5"/>
    <mergeCell ref="J8:M8"/>
    <mergeCell ref="N8:V8"/>
    <mergeCell ref="N10:T10"/>
    <mergeCell ref="A104:C104"/>
    <mergeCell ref="E9:G9"/>
    <mergeCell ref="A105:A106"/>
    <mergeCell ref="B105:B106"/>
    <mergeCell ref="D105:D106"/>
    <mergeCell ref="E105:I105"/>
    <mergeCell ref="J105:M105"/>
    <mergeCell ref="N9:T9"/>
    <mergeCell ref="C68:C69"/>
    <mergeCell ref="D68:D69"/>
    <mergeCell ref="A135:A158"/>
    <mergeCell ref="B135:B143"/>
    <mergeCell ref="B144:B149"/>
    <mergeCell ref="B151:B154"/>
    <mergeCell ref="A108:A134"/>
    <mergeCell ref="B108:B119"/>
    <mergeCell ref="B120:B125"/>
    <mergeCell ref="B127:B130"/>
    <mergeCell ref="A184:A211"/>
    <mergeCell ref="B184:B194"/>
    <mergeCell ref="B195:B202"/>
    <mergeCell ref="B204:B207"/>
    <mergeCell ref="A159:A183"/>
    <mergeCell ref="B159:B167"/>
    <mergeCell ref="B168:B173"/>
    <mergeCell ref="B175:B179"/>
    <mergeCell ref="D264:H264"/>
    <mergeCell ref="I264:I265"/>
    <mergeCell ref="J264:L264"/>
    <mergeCell ref="A212:A240"/>
    <mergeCell ref="A241:A262"/>
    <mergeCell ref="B241:B246"/>
    <mergeCell ref="B247:B249"/>
    <mergeCell ref="B232:B237"/>
    <mergeCell ref="B223:B231"/>
    <mergeCell ref="B212:B222"/>
  </mergeCells>
  <pageMargins left="0.51181102362204722" right="0.51181102362204722" top="0.35433070866141736" bottom="0.35433070866141736" header="0.31496062992125984" footer="0.31496062992125984"/>
  <pageSetup paperSize="9" scale="45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A499"/>
  <sheetViews>
    <sheetView tabSelected="1" topLeftCell="A198" zoomScale="60" zoomScaleNormal="60" workbookViewId="0">
      <selection sqref="A1:U217"/>
    </sheetView>
  </sheetViews>
  <sheetFormatPr defaultColWidth="9.109375" defaultRowHeight="13.8"/>
  <cols>
    <col min="1" max="1" width="19.44140625" style="80" customWidth="1"/>
    <col min="2" max="2" width="28.6640625" style="80" customWidth="1"/>
    <col min="3" max="3" width="24.5546875" style="80" customWidth="1"/>
    <col min="4" max="4" width="8.6640625" style="80" customWidth="1"/>
    <col min="5" max="5" width="18.33203125" style="80" hidden="1" customWidth="1"/>
    <col min="6" max="6" width="13.33203125" style="80" hidden="1" customWidth="1"/>
    <col min="7" max="7" width="10.109375" style="80" bestFit="1" customWidth="1"/>
    <col min="8" max="8" width="12.88671875" style="80" bestFit="1" customWidth="1"/>
    <col min="9" max="9" width="12.109375" style="80" bestFit="1" customWidth="1"/>
    <col min="10" max="10" width="17.33203125" style="80" customWidth="1"/>
    <col min="11" max="11" width="16" style="80" customWidth="1"/>
    <col min="12" max="12" width="13.88671875" style="192" customWidth="1"/>
    <col min="13" max="13" width="13.5546875" style="192" customWidth="1"/>
    <col min="14" max="14" width="16.6640625" style="192" customWidth="1"/>
    <col min="15" max="15" width="22.109375" style="192" customWidth="1"/>
    <col min="16" max="16" width="14.6640625" style="192" customWidth="1"/>
    <col min="17" max="17" width="21.88671875" style="192" hidden="1" customWidth="1"/>
    <col min="18" max="18" width="18.109375" style="192" customWidth="1"/>
    <col min="19" max="19" width="18.5546875" style="192" hidden="1" customWidth="1"/>
    <col min="20" max="20" width="18.6640625" style="192" customWidth="1"/>
    <col min="21" max="21" width="19" style="192" customWidth="1"/>
    <col min="22" max="22" width="15.33203125" style="80" hidden="1" customWidth="1"/>
    <col min="23" max="23" width="13.5546875" style="80" hidden="1" customWidth="1"/>
    <col min="24" max="24" width="22" style="80" hidden="1" customWidth="1"/>
    <col min="25" max="25" width="18" style="80" hidden="1" customWidth="1"/>
    <col min="26" max="26" width="18.44140625" style="80" hidden="1" customWidth="1"/>
    <col min="27" max="27" width="9.109375" style="80" hidden="1" customWidth="1"/>
    <col min="28" max="29" width="9.109375" style="80" customWidth="1"/>
    <col min="30" max="16384" width="9.109375" style="80"/>
  </cols>
  <sheetData>
    <row r="1" spans="1:21">
      <c r="T1" s="195" t="s">
        <v>297</v>
      </c>
    </row>
    <row r="2" spans="1:21">
      <c r="T2" s="195" t="s">
        <v>348</v>
      </c>
    </row>
    <row r="3" spans="1:21">
      <c r="R3" s="195"/>
      <c r="S3" s="195"/>
      <c r="T3" s="195" t="s">
        <v>175</v>
      </c>
    </row>
    <row r="4" spans="1:21">
      <c r="R4" s="195"/>
      <c r="S4" s="195"/>
      <c r="T4" s="195" t="s">
        <v>302</v>
      </c>
    </row>
    <row r="5" spans="1:21" hidden="1">
      <c r="R5" s="195" t="s">
        <v>175</v>
      </c>
      <c r="S5" s="195"/>
    </row>
    <row r="6" spans="1:21" hidden="1">
      <c r="R6" s="195" t="s">
        <v>189</v>
      </c>
      <c r="S6" s="195"/>
    </row>
    <row r="7" spans="1:21">
      <c r="A7" s="316" t="s">
        <v>262</v>
      </c>
      <c r="B7" s="316"/>
      <c r="C7" s="317"/>
      <c r="D7" s="316"/>
      <c r="E7" s="316"/>
      <c r="F7" s="317"/>
      <c r="G7" s="317"/>
      <c r="H7" s="316"/>
      <c r="I7" s="316"/>
      <c r="J7" s="316"/>
      <c r="K7" s="317"/>
      <c r="L7" s="316"/>
      <c r="M7" s="316"/>
      <c r="N7" s="316"/>
      <c r="O7" s="316"/>
      <c r="P7" s="317"/>
      <c r="Q7" s="317"/>
      <c r="R7" s="316"/>
      <c r="S7" s="317"/>
      <c r="T7" s="316"/>
      <c r="U7" s="316"/>
    </row>
    <row r="8" spans="1:21">
      <c r="A8" s="322" t="s">
        <v>154</v>
      </c>
      <c r="B8" s="322"/>
      <c r="C8" s="322"/>
      <c r="D8" s="86"/>
      <c r="E8" s="87"/>
      <c r="F8" s="87"/>
      <c r="G8" s="87"/>
      <c r="H8" s="87"/>
      <c r="I8" s="87"/>
      <c r="J8" s="75"/>
      <c r="K8" s="75"/>
      <c r="L8" s="46"/>
      <c r="M8" s="46"/>
      <c r="N8" s="46"/>
      <c r="O8" s="46"/>
      <c r="P8" s="46"/>
      <c r="Q8" s="46"/>
      <c r="R8" s="46"/>
      <c r="S8" s="46"/>
      <c r="T8" s="46"/>
      <c r="U8" s="46"/>
    </row>
    <row r="9" spans="1:21" ht="27.6">
      <c r="A9" s="326" t="s">
        <v>3</v>
      </c>
      <c r="B9" s="326" t="s">
        <v>86</v>
      </c>
      <c r="C9" s="185" t="s">
        <v>87</v>
      </c>
      <c r="D9" s="326" t="s">
        <v>4</v>
      </c>
      <c r="E9" s="327" t="s">
        <v>5</v>
      </c>
      <c r="F9" s="327"/>
      <c r="G9" s="327"/>
      <c r="H9" s="327"/>
      <c r="I9" s="327"/>
      <c r="J9" s="315" t="s">
        <v>6</v>
      </c>
      <c r="K9" s="315"/>
      <c r="L9" s="315"/>
      <c r="M9" s="315"/>
      <c r="N9" s="334" t="s">
        <v>7</v>
      </c>
      <c r="O9" s="334"/>
      <c r="P9" s="334"/>
      <c r="Q9" s="334"/>
      <c r="R9" s="334"/>
      <c r="S9" s="334"/>
      <c r="T9" s="334"/>
      <c r="U9" s="334"/>
    </row>
    <row r="10" spans="1:21" ht="110.4">
      <c r="A10" s="326"/>
      <c r="B10" s="326"/>
      <c r="C10" s="185"/>
      <c r="D10" s="326"/>
      <c r="E10" s="186" t="s">
        <v>176</v>
      </c>
      <c r="F10" s="186" t="s">
        <v>208</v>
      </c>
      <c r="G10" s="267" t="s">
        <v>264</v>
      </c>
      <c r="H10" s="267" t="s">
        <v>205</v>
      </c>
      <c r="I10" s="267" t="s">
        <v>263</v>
      </c>
      <c r="J10" s="266" t="s">
        <v>88</v>
      </c>
      <c r="K10" s="266" t="s">
        <v>89</v>
      </c>
      <c r="L10" s="277" t="s">
        <v>90</v>
      </c>
      <c r="M10" s="277" t="s">
        <v>311</v>
      </c>
      <c r="N10" s="292" t="s">
        <v>265</v>
      </c>
      <c r="O10" s="288" t="s">
        <v>93</v>
      </c>
      <c r="P10" s="288" t="s">
        <v>94</v>
      </c>
      <c r="Q10" s="288" t="s">
        <v>222</v>
      </c>
      <c r="R10" s="288" t="s">
        <v>95</v>
      </c>
      <c r="S10" s="277" t="s">
        <v>223</v>
      </c>
      <c r="T10" s="292" t="s">
        <v>210</v>
      </c>
      <c r="U10" s="292" t="s">
        <v>266</v>
      </c>
    </row>
    <row r="11" spans="1:21" ht="55.2">
      <c r="A11" s="98" t="s">
        <v>13</v>
      </c>
      <c r="B11" s="98" t="s">
        <v>13</v>
      </c>
      <c r="C11" s="98"/>
      <c r="D11" s="98" t="s">
        <v>15</v>
      </c>
      <c r="E11" s="99" t="s">
        <v>16</v>
      </c>
      <c r="F11" s="99" t="s">
        <v>16</v>
      </c>
      <c r="G11" s="99"/>
      <c r="H11" s="99" t="s">
        <v>16</v>
      </c>
      <c r="I11" s="99" t="s">
        <v>16</v>
      </c>
      <c r="J11" s="266" t="s">
        <v>17</v>
      </c>
      <c r="K11" s="266" t="s">
        <v>17</v>
      </c>
      <c r="L11" s="277" t="s">
        <v>17</v>
      </c>
      <c r="M11" s="277" t="s">
        <v>17</v>
      </c>
      <c r="N11" s="292" t="s">
        <v>17</v>
      </c>
      <c r="O11" s="288" t="s">
        <v>17</v>
      </c>
      <c r="P11" s="288" t="s">
        <v>17</v>
      </c>
      <c r="Q11" s="288"/>
      <c r="R11" s="288" t="s">
        <v>17</v>
      </c>
      <c r="S11" s="277"/>
      <c r="T11" s="292" t="s">
        <v>17</v>
      </c>
      <c r="U11" s="292" t="s">
        <v>17</v>
      </c>
    </row>
    <row r="12" spans="1:21" ht="82.8">
      <c r="A12" s="310" t="s">
        <v>98</v>
      </c>
      <c r="B12" s="312" t="s">
        <v>237</v>
      </c>
      <c r="C12" s="61" t="s">
        <v>100</v>
      </c>
      <c r="D12" s="62" t="s">
        <v>101</v>
      </c>
      <c r="E12" s="59">
        <v>286</v>
      </c>
      <c r="F12" s="59">
        <v>286</v>
      </c>
      <c r="G12" s="59">
        <v>286</v>
      </c>
      <c r="H12" s="59">
        <v>286</v>
      </c>
      <c r="I12" s="59">
        <v>286</v>
      </c>
      <c r="J12" s="107">
        <f>SUM(K12:M12)</f>
        <v>48002.453441109996</v>
      </c>
      <c r="K12" s="107">
        <f>20483.63+1329.32+2092.83</f>
        <v>23905.78</v>
      </c>
      <c r="L12" s="289">
        <f>4001.99*2.411294+806.67</f>
        <v>10456.644475059999</v>
      </c>
      <c r="M12" s="289">
        <f>7790.73-12.84104938+5531.48+63.0324074+50.92592593+36.9177348+179.7839473</f>
        <v>13640.028966049998</v>
      </c>
      <c r="N12" s="278">
        <f>SUM(O12:R12)</f>
        <v>13728689.834157459</v>
      </c>
      <c r="O12" s="278">
        <f>G12*K12-0.1</f>
        <v>6837052.9800000004</v>
      </c>
      <c r="P12" s="278">
        <f>G12*L12-8.71</f>
        <v>2990591.6098671597</v>
      </c>
      <c r="Q12" s="278"/>
      <c r="R12" s="46">
        <f>G12*M12-3.04</f>
        <v>3901045.2442902997</v>
      </c>
      <c r="S12" s="46"/>
      <c r="T12" s="46">
        <f>N12+961005.91-97767.69-19417</f>
        <v>14572511.05415746</v>
      </c>
      <c r="U12" s="46">
        <f>T12</f>
        <v>14572511.05415746</v>
      </c>
    </row>
    <row r="13" spans="1:21" ht="82.8">
      <c r="A13" s="310"/>
      <c r="B13" s="313"/>
      <c r="C13" s="63" t="s">
        <v>163</v>
      </c>
      <c r="D13" s="64" t="s">
        <v>101</v>
      </c>
      <c r="E13" s="59" t="s">
        <v>104</v>
      </c>
      <c r="F13" s="59" t="s">
        <v>104</v>
      </c>
      <c r="G13" s="59"/>
      <c r="H13" s="59" t="s">
        <v>104</v>
      </c>
      <c r="I13" s="59" t="s">
        <v>104</v>
      </c>
      <c r="J13" s="59" t="s">
        <v>104</v>
      </c>
      <c r="K13" s="59" t="s">
        <v>104</v>
      </c>
      <c r="L13" s="193" t="s">
        <v>104</v>
      </c>
      <c r="M13" s="193" t="s">
        <v>104</v>
      </c>
      <c r="N13" s="292"/>
      <c r="O13" s="278"/>
      <c r="P13" s="193" t="s">
        <v>104</v>
      </c>
      <c r="Q13" s="193"/>
      <c r="R13" s="193" t="s">
        <v>104</v>
      </c>
      <c r="S13" s="193"/>
      <c r="T13" s="279"/>
      <c r="U13" s="279"/>
    </row>
    <row r="14" spans="1:21">
      <c r="A14" s="310"/>
      <c r="B14" s="313"/>
      <c r="C14" s="63" t="s">
        <v>164</v>
      </c>
      <c r="D14" s="64"/>
      <c r="E14" s="59"/>
      <c r="F14" s="59"/>
      <c r="G14" s="59">
        <f>((E14*8)+(F14*4))/12</f>
        <v>0</v>
      </c>
      <c r="H14" s="59"/>
      <c r="I14" s="59"/>
      <c r="J14" s="71">
        <f>K14</f>
        <v>25589.72</v>
      </c>
      <c r="K14" s="75">
        <v>25589.72</v>
      </c>
      <c r="L14" s="193" t="s">
        <v>104</v>
      </c>
      <c r="M14" s="193" t="s">
        <v>104</v>
      </c>
      <c r="N14" s="292">
        <f>O14</f>
        <v>0</v>
      </c>
      <c r="O14" s="278">
        <f>G14*K14</f>
        <v>0</v>
      </c>
      <c r="P14" s="193" t="s">
        <v>104</v>
      </c>
      <c r="Q14" s="193"/>
      <c r="R14" s="193" t="s">
        <v>104</v>
      </c>
      <c r="S14" s="193"/>
      <c r="T14" s="279">
        <f>H14*K14</f>
        <v>0</v>
      </c>
      <c r="U14" s="279">
        <f>I14*K14</f>
        <v>0</v>
      </c>
    </row>
    <row r="15" spans="1:21">
      <c r="A15" s="310"/>
      <c r="B15" s="313"/>
      <c r="C15" s="63" t="s">
        <v>169</v>
      </c>
      <c r="D15" s="64"/>
      <c r="E15" s="59">
        <v>9</v>
      </c>
      <c r="F15" s="59">
        <v>9</v>
      </c>
      <c r="G15" s="59">
        <v>9</v>
      </c>
      <c r="H15" s="59">
        <v>9</v>
      </c>
      <c r="I15" s="59">
        <v>9</v>
      </c>
      <c r="J15" s="71">
        <f>K15</f>
        <v>69362.66</v>
      </c>
      <c r="K15" s="71">
        <v>69362.66</v>
      </c>
      <c r="L15" s="193" t="s">
        <v>104</v>
      </c>
      <c r="M15" s="193" t="s">
        <v>104</v>
      </c>
      <c r="N15" s="292">
        <f>O15</f>
        <v>624263.94000000006</v>
      </c>
      <c r="O15" s="278">
        <f t="shared" ref="O15:O21" si="0">G15*K15</f>
        <v>624263.94000000006</v>
      </c>
      <c r="P15" s="193" t="s">
        <v>104</v>
      </c>
      <c r="Q15" s="193"/>
      <c r="R15" s="193" t="s">
        <v>104</v>
      </c>
      <c r="S15" s="193"/>
      <c r="T15" s="279">
        <f>H15*K15</f>
        <v>624263.94000000006</v>
      </c>
      <c r="U15" s="279">
        <f>I15*K15</f>
        <v>624263.94000000006</v>
      </c>
    </row>
    <row r="16" spans="1:21">
      <c r="A16" s="310"/>
      <c r="B16" s="313"/>
      <c r="C16" s="63" t="s">
        <v>165</v>
      </c>
      <c r="D16" s="64"/>
      <c r="E16" s="59">
        <v>2</v>
      </c>
      <c r="F16" s="59">
        <v>2</v>
      </c>
      <c r="G16" s="59">
        <v>2</v>
      </c>
      <c r="H16" s="59">
        <v>2</v>
      </c>
      <c r="I16" s="59">
        <v>2</v>
      </c>
      <c r="J16" s="71">
        <f t="shared" ref="J16:J21" si="1">K16</f>
        <v>92468.25</v>
      </c>
      <c r="K16" s="75">
        <v>92468.25</v>
      </c>
      <c r="L16" s="193" t="s">
        <v>104</v>
      </c>
      <c r="M16" s="193" t="s">
        <v>104</v>
      </c>
      <c r="N16" s="292">
        <f t="shared" ref="N16:N21" si="2">O16</f>
        <v>184936.5</v>
      </c>
      <c r="O16" s="278">
        <f t="shared" si="0"/>
        <v>184936.5</v>
      </c>
      <c r="P16" s="193" t="s">
        <v>104</v>
      </c>
      <c r="Q16" s="193"/>
      <c r="R16" s="193" t="s">
        <v>104</v>
      </c>
      <c r="S16" s="193"/>
      <c r="T16" s="279">
        <f t="shared" ref="T16:T21" si="3">H16*K16</f>
        <v>184936.5</v>
      </c>
      <c r="U16" s="279">
        <f t="shared" ref="U16:U21" si="4">I16*K16</f>
        <v>184936.5</v>
      </c>
    </row>
    <row r="17" spans="1:24">
      <c r="A17" s="310"/>
      <c r="B17" s="313"/>
      <c r="C17" s="63" t="s">
        <v>166</v>
      </c>
      <c r="D17" s="64"/>
      <c r="E17" s="59">
        <v>22</v>
      </c>
      <c r="F17" s="59">
        <v>22</v>
      </c>
      <c r="G17" s="59">
        <v>22</v>
      </c>
      <c r="H17" s="59">
        <v>22</v>
      </c>
      <c r="I17" s="59">
        <v>22</v>
      </c>
      <c r="J17" s="71">
        <f t="shared" si="1"/>
        <v>66361.320000000007</v>
      </c>
      <c r="K17" s="75">
        <v>66361.320000000007</v>
      </c>
      <c r="L17" s="193" t="s">
        <v>104</v>
      </c>
      <c r="M17" s="193" t="s">
        <v>104</v>
      </c>
      <c r="N17" s="292">
        <f t="shared" si="2"/>
        <v>1459949.04</v>
      </c>
      <c r="O17" s="278">
        <f t="shared" si="0"/>
        <v>1459949.04</v>
      </c>
      <c r="P17" s="193" t="s">
        <v>104</v>
      </c>
      <c r="Q17" s="193"/>
      <c r="R17" s="193" t="s">
        <v>104</v>
      </c>
      <c r="S17" s="193"/>
      <c r="T17" s="279">
        <f t="shared" si="3"/>
        <v>1459949.04</v>
      </c>
      <c r="U17" s="279">
        <f t="shared" si="4"/>
        <v>1459949.04</v>
      </c>
    </row>
    <row r="18" spans="1:24">
      <c r="A18" s="310"/>
      <c r="B18" s="313"/>
      <c r="C18" s="63" t="s">
        <v>167</v>
      </c>
      <c r="D18" s="64"/>
      <c r="E18" s="59">
        <v>2</v>
      </c>
      <c r="F18" s="59">
        <v>2</v>
      </c>
      <c r="G18" s="59">
        <v>2</v>
      </c>
      <c r="H18" s="59">
        <v>2</v>
      </c>
      <c r="I18" s="59">
        <v>2</v>
      </c>
      <c r="J18" s="71">
        <f t="shared" si="1"/>
        <v>174890.83</v>
      </c>
      <c r="K18" s="75">
        <v>174890.83</v>
      </c>
      <c r="L18" s="193" t="s">
        <v>104</v>
      </c>
      <c r="M18" s="193" t="s">
        <v>104</v>
      </c>
      <c r="N18" s="292">
        <f t="shared" si="2"/>
        <v>349781.66</v>
      </c>
      <c r="O18" s="278">
        <f t="shared" si="0"/>
        <v>349781.66</v>
      </c>
      <c r="P18" s="193" t="s">
        <v>104</v>
      </c>
      <c r="Q18" s="193"/>
      <c r="R18" s="193" t="s">
        <v>104</v>
      </c>
      <c r="S18" s="193"/>
      <c r="T18" s="279">
        <f t="shared" si="3"/>
        <v>349781.66</v>
      </c>
      <c r="U18" s="279">
        <f t="shared" si="4"/>
        <v>349781.66</v>
      </c>
    </row>
    <row r="19" spans="1:24">
      <c r="A19" s="310"/>
      <c r="B19" s="313"/>
      <c r="C19" s="63" t="s">
        <v>190</v>
      </c>
      <c r="D19" s="64"/>
      <c r="E19" s="59"/>
      <c r="F19" s="59"/>
      <c r="G19" s="157"/>
      <c r="H19" s="59"/>
      <c r="I19" s="59"/>
      <c r="J19" s="71">
        <f t="shared" si="1"/>
        <v>178794.98</v>
      </c>
      <c r="K19" s="75">
        <v>178794.98</v>
      </c>
      <c r="L19" s="193"/>
      <c r="M19" s="193"/>
      <c r="N19" s="292">
        <f t="shared" si="2"/>
        <v>0</v>
      </c>
      <c r="O19" s="278">
        <f t="shared" si="0"/>
        <v>0</v>
      </c>
      <c r="P19" s="193" t="s">
        <v>104</v>
      </c>
      <c r="Q19" s="193"/>
      <c r="R19" s="193" t="s">
        <v>104</v>
      </c>
      <c r="S19" s="193"/>
      <c r="T19" s="279">
        <f t="shared" si="3"/>
        <v>0</v>
      </c>
      <c r="U19" s="279">
        <f t="shared" si="4"/>
        <v>0</v>
      </c>
    </row>
    <row r="20" spans="1:24">
      <c r="A20" s="310"/>
      <c r="B20" s="313"/>
      <c r="C20" s="63" t="s">
        <v>170</v>
      </c>
      <c r="D20" s="64"/>
      <c r="E20" s="59">
        <v>1</v>
      </c>
      <c r="F20" s="59">
        <v>1</v>
      </c>
      <c r="G20" s="59">
        <f t="shared" ref="G20" si="5">((E20*8)+(F20*4))/12</f>
        <v>1</v>
      </c>
      <c r="H20" s="59">
        <v>1</v>
      </c>
      <c r="I20" s="59">
        <v>1</v>
      </c>
      <c r="J20" s="71">
        <f t="shared" si="1"/>
        <v>99648.29</v>
      </c>
      <c r="K20" s="75">
        <v>99648.29</v>
      </c>
      <c r="L20" s="193" t="s">
        <v>104</v>
      </c>
      <c r="M20" s="193" t="s">
        <v>104</v>
      </c>
      <c r="N20" s="292">
        <f t="shared" si="2"/>
        <v>99648.29</v>
      </c>
      <c r="O20" s="278">
        <f t="shared" si="0"/>
        <v>99648.29</v>
      </c>
      <c r="P20" s="193" t="s">
        <v>104</v>
      </c>
      <c r="Q20" s="193"/>
      <c r="R20" s="193" t="s">
        <v>104</v>
      </c>
      <c r="S20" s="193"/>
      <c r="T20" s="279">
        <f t="shared" si="3"/>
        <v>99648.29</v>
      </c>
      <c r="U20" s="279">
        <f t="shared" si="4"/>
        <v>99648.29</v>
      </c>
    </row>
    <row r="21" spans="1:24">
      <c r="A21" s="310"/>
      <c r="B21" s="313"/>
      <c r="C21" s="63" t="s">
        <v>168</v>
      </c>
      <c r="D21" s="64"/>
      <c r="E21" s="59">
        <v>1</v>
      </c>
      <c r="F21" s="59">
        <v>1</v>
      </c>
      <c r="G21" s="59">
        <v>1</v>
      </c>
      <c r="H21" s="59">
        <v>1</v>
      </c>
      <c r="I21" s="59">
        <v>1</v>
      </c>
      <c r="J21" s="71">
        <f t="shared" si="1"/>
        <v>23553.439999999999</v>
      </c>
      <c r="K21" s="75">
        <v>23553.439999999999</v>
      </c>
      <c r="L21" s="193" t="s">
        <v>104</v>
      </c>
      <c r="M21" s="193" t="s">
        <v>104</v>
      </c>
      <c r="N21" s="292">
        <f t="shared" si="2"/>
        <v>23553.439999999999</v>
      </c>
      <c r="O21" s="278">
        <f t="shared" si="0"/>
        <v>23553.439999999999</v>
      </c>
      <c r="P21" s="193" t="s">
        <v>104</v>
      </c>
      <c r="Q21" s="193"/>
      <c r="R21" s="193" t="s">
        <v>104</v>
      </c>
      <c r="S21" s="193"/>
      <c r="T21" s="279">
        <f t="shared" si="3"/>
        <v>23553.439999999999</v>
      </c>
      <c r="U21" s="279">
        <f t="shared" si="4"/>
        <v>23553.439999999999</v>
      </c>
    </row>
    <row r="22" spans="1:24" ht="96.6">
      <c r="A22" s="310"/>
      <c r="B22" s="313"/>
      <c r="C22" s="61" t="s">
        <v>105</v>
      </c>
      <c r="D22" s="64" t="s">
        <v>101</v>
      </c>
      <c r="E22" s="59">
        <v>3</v>
      </c>
      <c r="F22" s="59">
        <v>3</v>
      </c>
      <c r="G22" s="59">
        <v>3</v>
      </c>
      <c r="H22" s="59">
        <v>3</v>
      </c>
      <c r="I22" s="59">
        <v>3</v>
      </c>
      <c r="J22" s="75">
        <f>SUM(K22:M22)</f>
        <v>148931.74344111001</v>
      </c>
      <c r="K22" s="75">
        <f>121412.92+1329.32+2092.83</f>
        <v>124835.07</v>
      </c>
      <c r="L22" s="193">
        <f>4001.99*2.411294+806.67</f>
        <v>10456.644475059999</v>
      </c>
      <c r="M22" s="289">
        <f>7790.73-12.84104938+5531.48+63.0324074+50.92592593+36.9177348+179.7839473</f>
        <v>13640.028966049998</v>
      </c>
      <c r="N22" s="278">
        <f>SUM(O22:R22)</f>
        <v>446795.23032332998</v>
      </c>
      <c r="O22" s="278">
        <f>G22*K22</f>
        <v>374505.21</v>
      </c>
      <c r="P22" s="278">
        <f>G22*L22</f>
        <v>31369.933425179996</v>
      </c>
      <c r="Q22" s="278"/>
      <c r="R22" s="46">
        <f>G22*M22</f>
        <v>40920.086898149995</v>
      </c>
      <c r="S22" s="46"/>
      <c r="T22" s="279">
        <f>H22*J22+10080.48-19416</f>
        <v>437459.71032333001</v>
      </c>
      <c r="U22" s="279">
        <f>T22</f>
        <v>437459.71032333001</v>
      </c>
    </row>
    <row r="23" spans="1:24">
      <c r="A23" s="310"/>
      <c r="B23" s="314"/>
      <c r="C23" s="66" t="s">
        <v>106</v>
      </c>
      <c r="D23" s="67"/>
      <c r="E23" s="59">
        <f>E12+E22</f>
        <v>289</v>
      </c>
      <c r="F23" s="59">
        <f>F12+F22</f>
        <v>289</v>
      </c>
      <c r="G23" s="59">
        <f>G12+G22</f>
        <v>289</v>
      </c>
      <c r="H23" s="59">
        <f t="shared" ref="H23:I23" si="6">H12+H22</f>
        <v>289</v>
      </c>
      <c r="I23" s="59">
        <f t="shared" si="6"/>
        <v>289</v>
      </c>
      <c r="J23" s="71" t="s">
        <v>104</v>
      </c>
      <c r="K23" s="71" t="s">
        <v>104</v>
      </c>
      <c r="L23" s="278" t="s">
        <v>104</v>
      </c>
      <c r="M23" s="278" t="s">
        <v>104</v>
      </c>
      <c r="N23" s="278">
        <f>SUM(N12:N22)</f>
        <v>16917617.93448079</v>
      </c>
      <c r="O23" s="278">
        <f t="shared" ref="O23:R23" si="7">SUM(O12:O22)</f>
        <v>9953691.0600000005</v>
      </c>
      <c r="P23" s="278">
        <f t="shared" si="7"/>
        <v>3021961.5432923399</v>
      </c>
      <c r="Q23" s="278"/>
      <c r="R23" s="278">
        <f t="shared" si="7"/>
        <v>3941965.3311884496</v>
      </c>
      <c r="S23" s="278"/>
      <c r="T23" s="46">
        <f>SUM(T12:T22)</f>
        <v>17752103.634480789</v>
      </c>
      <c r="U23" s="46">
        <f>SUM(U12:U22)</f>
        <v>17752103.634480789</v>
      </c>
      <c r="W23" s="85">
        <f>R23+R30+R36+R42</f>
        <v>8838735.7300003991</v>
      </c>
    </row>
    <row r="24" spans="1:24" ht="82.8">
      <c r="A24" s="310"/>
      <c r="B24" s="311" t="s">
        <v>238</v>
      </c>
      <c r="C24" s="61" t="s">
        <v>100</v>
      </c>
      <c r="D24" s="62" t="s">
        <v>101</v>
      </c>
      <c r="E24" s="59">
        <v>242</v>
      </c>
      <c r="F24" s="59">
        <v>242</v>
      </c>
      <c r="G24" s="59">
        <v>242</v>
      </c>
      <c r="H24" s="59">
        <v>242</v>
      </c>
      <c r="I24" s="59">
        <v>242</v>
      </c>
      <c r="J24" s="107">
        <f>SUM(K24:M24)</f>
        <v>62157.97344111</v>
      </c>
      <c r="K24" s="107">
        <f>34346.05+1622.42+2092.83</f>
        <v>38061.300000000003</v>
      </c>
      <c r="L24" s="289">
        <f>4001.99*2.411294+806.67</f>
        <v>10456.644475059999</v>
      </c>
      <c r="M24" s="289">
        <f>7790.73-12.84104938+5531.48+63.0324074+50.92592593+36.9177348+179.7839473</f>
        <v>13640.028966049998</v>
      </c>
      <c r="N24" s="278">
        <f>SUM(O24:R24)</f>
        <v>15042229.57274862</v>
      </c>
      <c r="O24" s="278">
        <f>G24*K24</f>
        <v>9210834.6000000015</v>
      </c>
      <c r="P24" s="280">
        <f>G24*L24</f>
        <v>2530507.9629645199</v>
      </c>
      <c r="Q24" s="280"/>
      <c r="R24" s="46">
        <f>G24*M24</f>
        <v>3300887.0097840996</v>
      </c>
      <c r="S24" s="46"/>
      <c r="T24" s="46">
        <f>H24*J24+813158.84-415950-19416</f>
        <v>15420022.41274862</v>
      </c>
      <c r="U24" s="46">
        <f>T24</f>
        <v>15420022.41274862</v>
      </c>
      <c r="X24" s="85"/>
    </row>
    <row r="25" spans="1:24" ht="111.75" customHeight="1">
      <c r="A25" s="310"/>
      <c r="B25" s="311"/>
      <c r="C25" s="63" t="s">
        <v>102</v>
      </c>
      <c r="D25" s="64" t="s">
        <v>101</v>
      </c>
      <c r="E25" s="59" t="s">
        <v>104</v>
      </c>
      <c r="F25" s="59" t="s">
        <v>104</v>
      </c>
      <c r="G25" s="59" t="s">
        <v>104</v>
      </c>
      <c r="H25" s="59" t="s">
        <v>104</v>
      </c>
      <c r="I25" s="59" t="s">
        <v>104</v>
      </c>
      <c r="J25" s="59" t="s">
        <v>104</v>
      </c>
      <c r="K25" s="59" t="s">
        <v>104</v>
      </c>
      <c r="L25" s="123" t="s">
        <v>104</v>
      </c>
      <c r="M25" s="123" t="s">
        <v>104</v>
      </c>
      <c r="N25" s="278"/>
      <c r="O25" s="278"/>
      <c r="P25" s="123" t="s">
        <v>104</v>
      </c>
      <c r="Q25" s="123"/>
      <c r="R25" s="123" t="s">
        <v>104</v>
      </c>
      <c r="S25" s="123"/>
      <c r="T25" s="46"/>
      <c r="U25" s="46"/>
    </row>
    <row r="26" spans="1:24" ht="20.25" customHeight="1">
      <c r="A26" s="310"/>
      <c r="B26" s="311"/>
      <c r="C26" s="63" t="s">
        <v>165</v>
      </c>
      <c r="D26" s="64" t="s">
        <v>101</v>
      </c>
      <c r="E26" s="60">
        <v>3</v>
      </c>
      <c r="F26" s="60">
        <v>3</v>
      </c>
      <c r="G26" s="60">
        <v>3</v>
      </c>
      <c r="H26" s="60">
        <v>3</v>
      </c>
      <c r="I26" s="60">
        <v>3</v>
      </c>
      <c r="J26" s="71">
        <f>K26</f>
        <v>92468.25</v>
      </c>
      <c r="K26" s="75">
        <v>92468.25</v>
      </c>
      <c r="L26" s="123" t="s">
        <v>104</v>
      </c>
      <c r="M26" s="123" t="s">
        <v>104</v>
      </c>
      <c r="N26" s="278">
        <f>O26</f>
        <v>277404.75</v>
      </c>
      <c r="O26" s="278">
        <f>G26*K26</f>
        <v>277404.75</v>
      </c>
      <c r="P26" s="123" t="s">
        <v>104</v>
      </c>
      <c r="Q26" s="123"/>
      <c r="R26" s="123" t="s">
        <v>104</v>
      </c>
      <c r="S26" s="123"/>
      <c r="T26" s="46">
        <f>H26*K26</f>
        <v>277404.75</v>
      </c>
      <c r="U26" s="46">
        <f>I26*K26</f>
        <v>277404.75</v>
      </c>
    </row>
    <row r="27" spans="1:24" ht="21" customHeight="1">
      <c r="A27" s="310"/>
      <c r="B27" s="311"/>
      <c r="C27" s="63" t="s">
        <v>167</v>
      </c>
      <c r="D27" s="64" t="s">
        <v>101</v>
      </c>
      <c r="E27" s="60">
        <v>2</v>
      </c>
      <c r="F27" s="60">
        <v>2</v>
      </c>
      <c r="G27" s="60">
        <v>2</v>
      </c>
      <c r="H27" s="60">
        <v>2</v>
      </c>
      <c r="I27" s="60">
        <v>2</v>
      </c>
      <c r="J27" s="71">
        <f t="shared" ref="J27:J28" si="8">K27</f>
        <v>266106.15000000002</v>
      </c>
      <c r="K27" s="75">
        <v>266106.15000000002</v>
      </c>
      <c r="L27" s="123" t="s">
        <v>104</v>
      </c>
      <c r="M27" s="123" t="s">
        <v>104</v>
      </c>
      <c r="N27" s="278">
        <f t="shared" ref="N27:N28" si="9">O27</f>
        <v>532212.30000000005</v>
      </c>
      <c r="O27" s="278">
        <f t="shared" ref="O27:O28" si="10">G27*K27</f>
        <v>532212.30000000005</v>
      </c>
      <c r="P27" s="123" t="s">
        <v>104</v>
      </c>
      <c r="Q27" s="123"/>
      <c r="R27" s="123" t="s">
        <v>104</v>
      </c>
      <c r="S27" s="123"/>
      <c r="T27" s="46">
        <f t="shared" ref="T27:T28" si="11">H27*K27</f>
        <v>532212.30000000005</v>
      </c>
      <c r="U27" s="46">
        <f t="shared" ref="U27:U28" si="12">I27*K27</f>
        <v>532212.30000000005</v>
      </c>
    </row>
    <row r="28" spans="1:24" ht="21" customHeight="1">
      <c r="A28" s="310"/>
      <c r="B28" s="311"/>
      <c r="C28" s="63" t="s">
        <v>168</v>
      </c>
      <c r="D28" s="64" t="s">
        <v>101</v>
      </c>
      <c r="E28" s="60">
        <v>1</v>
      </c>
      <c r="F28" s="60">
        <v>1</v>
      </c>
      <c r="G28" s="60">
        <v>1</v>
      </c>
      <c r="H28" s="60">
        <v>1</v>
      </c>
      <c r="I28" s="60">
        <v>1</v>
      </c>
      <c r="J28" s="71">
        <f t="shared" si="8"/>
        <v>23553.439999999999</v>
      </c>
      <c r="K28" s="75">
        <v>23553.439999999999</v>
      </c>
      <c r="L28" s="123" t="s">
        <v>104</v>
      </c>
      <c r="M28" s="123" t="s">
        <v>104</v>
      </c>
      <c r="N28" s="278">
        <f t="shared" si="9"/>
        <v>23553.439999999999</v>
      </c>
      <c r="O28" s="278">
        <f t="shared" si="10"/>
        <v>23553.439999999999</v>
      </c>
      <c r="P28" s="123" t="s">
        <v>104</v>
      </c>
      <c r="Q28" s="123"/>
      <c r="R28" s="123" t="s">
        <v>104</v>
      </c>
      <c r="S28" s="123"/>
      <c r="T28" s="46">
        <f t="shared" si="11"/>
        <v>23553.439999999999</v>
      </c>
      <c r="U28" s="46">
        <f t="shared" si="12"/>
        <v>23553.439999999999</v>
      </c>
    </row>
    <row r="29" spans="1:24" ht="96.6">
      <c r="A29" s="310"/>
      <c r="B29" s="311"/>
      <c r="C29" s="61" t="s">
        <v>105</v>
      </c>
      <c r="D29" s="64" t="s">
        <v>101</v>
      </c>
      <c r="E29" s="60">
        <v>2</v>
      </c>
      <c r="F29" s="60">
        <v>2</v>
      </c>
      <c r="G29" s="60">
        <v>2</v>
      </c>
      <c r="H29" s="60">
        <v>2</v>
      </c>
      <c r="I29" s="60">
        <v>2</v>
      </c>
      <c r="J29" s="71">
        <f>K29</f>
        <v>155122.88</v>
      </c>
      <c r="K29" s="73">
        <f>151407.63+1622.42+2092.83</f>
        <v>155122.88</v>
      </c>
      <c r="L29" s="289">
        <f>4001.99*2.411294+806.67</f>
        <v>10456.644475059999</v>
      </c>
      <c r="M29" s="289">
        <f>7790.73-12.84104938+5531.48+63.0324074+50.92592593+36.9177348+179.7839473</f>
        <v>13640.028966049998</v>
      </c>
      <c r="N29" s="278">
        <f>SUM(O29:R29)</f>
        <v>358439.10688222002</v>
      </c>
      <c r="O29" s="278">
        <f>G29*K29</f>
        <v>310245.76000000001</v>
      </c>
      <c r="P29" s="280">
        <f>G29*L29</f>
        <v>20913.288950119997</v>
      </c>
      <c r="Q29" s="280"/>
      <c r="R29" s="46">
        <f>G29*M29</f>
        <v>27280.057932099997</v>
      </c>
      <c r="S29" s="46"/>
      <c r="T29" s="46">
        <f>N29+6720.32-19417</f>
        <v>345742.42688222002</v>
      </c>
      <c r="U29" s="46">
        <f>T29</f>
        <v>345742.42688222002</v>
      </c>
    </row>
    <row r="30" spans="1:24">
      <c r="A30" s="310"/>
      <c r="B30" s="187"/>
      <c r="C30" s="66" t="s">
        <v>106</v>
      </c>
      <c r="D30" s="64"/>
      <c r="E30" s="60">
        <f>E24+E29</f>
        <v>244</v>
      </c>
      <c r="F30" s="60">
        <f>F24+F29</f>
        <v>244</v>
      </c>
      <c r="G30" s="60">
        <f>G24+G29</f>
        <v>244</v>
      </c>
      <c r="H30" s="60">
        <f t="shared" ref="H30:I30" si="13">H24+H29</f>
        <v>244</v>
      </c>
      <c r="I30" s="60">
        <f t="shared" si="13"/>
        <v>244</v>
      </c>
      <c r="J30" s="59" t="s">
        <v>104</v>
      </c>
      <c r="K30" s="59" t="s">
        <v>104</v>
      </c>
      <c r="L30" s="123" t="s">
        <v>104</v>
      </c>
      <c r="M30" s="123" t="s">
        <v>104</v>
      </c>
      <c r="N30" s="194">
        <f>SUM(N24:N29)</f>
        <v>16233839.16963084</v>
      </c>
      <c r="O30" s="194">
        <f t="shared" ref="O30:U30" si="14">SUM(O24:O29)</f>
        <v>10354250.850000001</v>
      </c>
      <c r="P30" s="194">
        <f t="shared" si="14"/>
        <v>2551421.25191464</v>
      </c>
      <c r="Q30" s="194"/>
      <c r="R30" s="194">
        <f t="shared" si="14"/>
        <v>3328167.0677161994</v>
      </c>
      <c r="S30" s="194"/>
      <c r="T30" s="194">
        <f t="shared" si="14"/>
        <v>16598935.329630841</v>
      </c>
      <c r="U30" s="194">
        <f t="shared" si="14"/>
        <v>16598935.329630841</v>
      </c>
    </row>
    <row r="31" spans="1:24" ht="82.95" customHeight="1">
      <c r="A31" s="310"/>
      <c r="B31" s="312" t="s">
        <v>239</v>
      </c>
      <c r="C31" s="61" t="s">
        <v>100</v>
      </c>
      <c r="D31" s="62" t="s">
        <v>101</v>
      </c>
      <c r="E31" s="60">
        <v>46</v>
      </c>
      <c r="F31" s="60">
        <v>46</v>
      </c>
      <c r="G31" s="60">
        <v>46</v>
      </c>
      <c r="H31" s="60">
        <v>46</v>
      </c>
      <c r="I31" s="60">
        <v>46</v>
      </c>
      <c r="J31" s="107">
        <f>SUM(K31:M31)</f>
        <v>69260.413441109995</v>
      </c>
      <c r="K31" s="107">
        <f>41105.12+1965.79+2092.83</f>
        <v>45163.740000000005</v>
      </c>
      <c r="L31" s="289">
        <f>4001.99*2.411294+806.67</f>
        <v>10456.644475059999</v>
      </c>
      <c r="M31" s="289">
        <f>7790.73-12.84104938+5531.48+63.0324074+50.92592593+36.9177348+179.7839473</f>
        <v>13640.028966049998</v>
      </c>
      <c r="N31" s="280">
        <f>SUM(O31:R31)</f>
        <v>3185979.1082910602</v>
      </c>
      <c r="O31" s="280">
        <f>G31*K31</f>
        <v>2077532.0400000003</v>
      </c>
      <c r="P31" s="280">
        <f>G31*L31+0.09</f>
        <v>481005.73585275997</v>
      </c>
      <c r="Q31" s="280"/>
      <c r="R31" s="46">
        <f>G31*M31</f>
        <v>627441.3324382999</v>
      </c>
      <c r="S31" s="46"/>
      <c r="T31" s="46">
        <f>N31+154567.38-19417</f>
        <v>3321129.4882910601</v>
      </c>
      <c r="U31" s="46">
        <f>T31</f>
        <v>3321129.4882910601</v>
      </c>
    </row>
    <row r="32" spans="1:24" ht="82.8">
      <c r="A32" s="310"/>
      <c r="B32" s="313"/>
      <c r="C32" s="63" t="s">
        <v>102</v>
      </c>
      <c r="D32" s="64" t="s">
        <v>101</v>
      </c>
      <c r="E32" s="59" t="s">
        <v>104</v>
      </c>
      <c r="F32" s="59" t="s">
        <v>104</v>
      </c>
      <c r="G32" s="59" t="s">
        <v>104</v>
      </c>
      <c r="H32" s="59" t="s">
        <v>104</v>
      </c>
      <c r="I32" s="59" t="s">
        <v>104</v>
      </c>
      <c r="J32" s="59" t="s">
        <v>104</v>
      </c>
      <c r="K32" s="59" t="s">
        <v>104</v>
      </c>
      <c r="L32" s="123" t="s">
        <v>104</v>
      </c>
      <c r="M32" s="123" t="s">
        <v>104</v>
      </c>
      <c r="N32" s="278"/>
      <c r="O32" s="278"/>
      <c r="P32" s="123" t="s">
        <v>104</v>
      </c>
      <c r="Q32" s="123"/>
      <c r="R32" s="123" t="s">
        <v>104</v>
      </c>
      <c r="S32" s="123"/>
      <c r="T32" s="46"/>
      <c r="U32" s="46"/>
    </row>
    <row r="33" spans="1:24">
      <c r="A33" s="310"/>
      <c r="B33" s="313"/>
      <c r="C33" s="63" t="s">
        <v>168</v>
      </c>
      <c r="D33" s="64" t="s">
        <v>101</v>
      </c>
      <c r="E33" s="59"/>
      <c r="F33" s="59"/>
      <c r="G33" s="59">
        <f>((E33*8)+(F33*4))/12</f>
        <v>0</v>
      </c>
      <c r="H33" s="59"/>
      <c r="I33" s="59"/>
      <c r="J33" s="71">
        <f t="shared" ref="J33" si="15">K33</f>
        <v>23553.439999999999</v>
      </c>
      <c r="K33" s="75">
        <v>23553.439999999999</v>
      </c>
      <c r="L33" s="123" t="s">
        <v>104</v>
      </c>
      <c r="M33" s="123" t="s">
        <v>104</v>
      </c>
      <c r="N33" s="278">
        <f t="shared" ref="N33" si="16">O33</f>
        <v>0</v>
      </c>
      <c r="O33" s="278">
        <f>G33*K33</f>
        <v>0</v>
      </c>
      <c r="P33" s="123" t="s">
        <v>104</v>
      </c>
      <c r="Q33" s="123"/>
      <c r="R33" s="123" t="s">
        <v>104</v>
      </c>
      <c r="S33" s="123"/>
      <c r="T33" s="46">
        <f t="shared" ref="T33" si="17">H33*K33</f>
        <v>0</v>
      </c>
      <c r="U33" s="46">
        <f t="shared" ref="U33" si="18">I33*K33</f>
        <v>0</v>
      </c>
      <c r="W33" s="80">
        <v>44488515.039999999</v>
      </c>
    </row>
    <row r="34" spans="1:24" ht="82.8">
      <c r="A34" s="310"/>
      <c r="B34" s="313"/>
      <c r="C34" s="61" t="s">
        <v>105</v>
      </c>
      <c r="D34" s="64" t="s">
        <v>101</v>
      </c>
      <c r="E34" s="60"/>
      <c r="F34" s="60"/>
      <c r="G34" s="60"/>
      <c r="H34" s="60"/>
      <c r="I34" s="60"/>
      <c r="J34" s="73"/>
      <c r="K34" s="73"/>
      <c r="L34" s="194"/>
      <c r="M34" s="280"/>
      <c r="N34" s="280"/>
      <c r="O34" s="280"/>
      <c r="P34" s="280"/>
      <c r="Q34" s="280"/>
      <c r="R34" s="280"/>
      <c r="S34" s="280"/>
      <c r="T34" s="46">
        <f t="shared" ref="T34:T133" si="19">H34*J34</f>
        <v>0</v>
      </c>
      <c r="U34" s="46">
        <f t="shared" ref="U34:U133" si="20">I34*J34</f>
        <v>0</v>
      </c>
      <c r="W34" s="85">
        <f>T46-W33</f>
        <v>-1.6072392463684082E-4</v>
      </c>
    </row>
    <row r="35" spans="1:24" ht="92.4" customHeight="1">
      <c r="A35" s="310"/>
      <c r="B35" s="314"/>
      <c r="C35" s="166" t="s">
        <v>254</v>
      </c>
      <c r="D35" s="167" t="s">
        <v>101</v>
      </c>
      <c r="E35" s="168">
        <v>69</v>
      </c>
      <c r="F35" s="168">
        <v>69</v>
      </c>
      <c r="G35" s="60">
        <v>69</v>
      </c>
      <c r="H35" s="60">
        <v>69</v>
      </c>
      <c r="I35" s="60">
        <v>69</v>
      </c>
      <c r="J35" s="73">
        <f>K35+L35</f>
        <v>46839.094475060003</v>
      </c>
      <c r="K35" s="73">
        <f>32323.83+1965.79+2092.83</f>
        <v>36382.450000000004</v>
      </c>
      <c r="L35" s="289">
        <f>4001.99*2.411294+806.67</f>
        <v>10456.644475059999</v>
      </c>
      <c r="M35" s="289">
        <f>7790.73-12.84104938+5531.48+63.0324074+50.92592593+36.9177348+179.7839473</f>
        <v>13640.028966049998</v>
      </c>
      <c r="N35" s="280">
        <f>SUM(O35:R35)</f>
        <v>4173059.51743659</v>
      </c>
      <c r="O35" s="280">
        <f>G35*K35</f>
        <v>2510389.0500000003</v>
      </c>
      <c r="P35" s="280">
        <f>G35*L35</f>
        <v>721508.46877913992</v>
      </c>
      <c r="Q35" s="123" t="s">
        <v>104</v>
      </c>
      <c r="R35" s="278">
        <f>M35*G35</f>
        <v>941161.99865744985</v>
      </c>
      <c r="S35" s="123" t="s">
        <v>104</v>
      </c>
      <c r="T35" s="46">
        <f>N35+231851.07-19417</f>
        <v>4385493.5874365903</v>
      </c>
      <c r="U35" s="46">
        <f>T35</f>
        <v>4385493.5874365903</v>
      </c>
    </row>
    <row r="36" spans="1:24">
      <c r="A36" s="310"/>
      <c r="B36" s="187"/>
      <c r="C36" s="66" t="s">
        <v>106</v>
      </c>
      <c r="D36" s="64"/>
      <c r="E36" s="60">
        <f>E31+E35</f>
        <v>115</v>
      </c>
      <c r="F36" s="60">
        <f t="shared" ref="F36:I36" si="21">F31+F35</f>
        <v>115</v>
      </c>
      <c r="G36" s="60">
        <f t="shared" si="21"/>
        <v>115</v>
      </c>
      <c r="H36" s="60">
        <f t="shared" si="21"/>
        <v>115</v>
      </c>
      <c r="I36" s="60">
        <f t="shared" si="21"/>
        <v>115</v>
      </c>
      <c r="J36" s="73" t="s">
        <v>104</v>
      </c>
      <c r="K36" s="73" t="s">
        <v>104</v>
      </c>
      <c r="L36" s="280" t="s">
        <v>104</v>
      </c>
      <c r="M36" s="280" t="s">
        <v>104</v>
      </c>
      <c r="N36" s="194">
        <f>SUM(N31:N35)</f>
        <v>7359038.6257276498</v>
      </c>
      <c r="O36" s="194">
        <f>SUM(O31:O35)</f>
        <v>4587921.0900000008</v>
      </c>
      <c r="P36" s="194">
        <f>SUM(P31:P35)</f>
        <v>1202514.2046318999</v>
      </c>
      <c r="Q36" s="194"/>
      <c r="R36" s="194">
        <f>SUM(R31:R35)</f>
        <v>1568603.3310957497</v>
      </c>
      <c r="S36" s="194"/>
      <c r="T36" s="194">
        <f>SUM(T31:T35)</f>
        <v>7706623.0757276509</v>
      </c>
      <c r="U36" s="194">
        <f>SUM(U31:U35)</f>
        <v>7706623.0757276509</v>
      </c>
    </row>
    <row r="37" spans="1:24" ht="100.95" customHeight="1">
      <c r="A37" s="310"/>
      <c r="B37" s="137" t="s">
        <v>240</v>
      </c>
      <c r="C37" s="61" t="s">
        <v>187</v>
      </c>
      <c r="D37" s="64" t="s">
        <v>101</v>
      </c>
      <c r="E37" s="60">
        <v>693</v>
      </c>
      <c r="F37" s="60">
        <v>693</v>
      </c>
      <c r="G37" s="60">
        <v>693</v>
      </c>
      <c r="H37" s="60">
        <v>693</v>
      </c>
      <c r="I37" s="60">
        <v>693</v>
      </c>
      <c r="J37" s="75">
        <f>K37</f>
        <v>3268.55</v>
      </c>
      <c r="K37" s="75">
        <v>3268.55</v>
      </c>
      <c r="L37" s="280" t="s">
        <v>104</v>
      </c>
      <c r="M37" s="280" t="s">
        <v>104</v>
      </c>
      <c r="N37" s="280">
        <f>SUM(O37:R37)</f>
        <v>2430853</v>
      </c>
      <c r="O37" s="280">
        <f>J37*G37+0.85+165747</f>
        <v>2430853</v>
      </c>
      <c r="P37" s="280" t="s">
        <v>104</v>
      </c>
      <c r="Q37" s="280"/>
      <c r="R37" s="280" t="s">
        <v>104</v>
      </c>
      <c r="S37" s="280"/>
      <c r="T37" s="46">
        <f>N37</f>
        <v>2430853</v>
      </c>
      <c r="U37" s="46">
        <f>T37</f>
        <v>2430853</v>
      </c>
    </row>
    <row r="38" spans="1:24">
      <c r="A38" s="310"/>
      <c r="B38" s="69"/>
      <c r="C38" s="66" t="s">
        <v>106</v>
      </c>
      <c r="D38" s="69"/>
      <c r="E38" s="60">
        <f>SUM(E37:E37)</f>
        <v>693</v>
      </c>
      <c r="F38" s="60">
        <f>SUM(F37:F37)</f>
        <v>693</v>
      </c>
      <c r="G38" s="59">
        <f>G37</f>
        <v>693</v>
      </c>
      <c r="H38" s="60">
        <f>SUM(H37:H37)</f>
        <v>693</v>
      </c>
      <c r="I38" s="60">
        <f>SUM(I37:I37)</f>
        <v>693</v>
      </c>
      <c r="J38" s="73" t="s">
        <v>104</v>
      </c>
      <c r="K38" s="73" t="s">
        <v>104</v>
      </c>
      <c r="L38" s="280" t="s">
        <v>104</v>
      </c>
      <c r="M38" s="194">
        <f t="shared" ref="M38:U38" si="22">SUM(M37:M37)</f>
        <v>0</v>
      </c>
      <c r="N38" s="194">
        <f t="shared" si="22"/>
        <v>2430853</v>
      </c>
      <c r="O38" s="194">
        <f t="shared" si="22"/>
        <v>2430853</v>
      </c>
      <c r="P38" s="194">
        <f t="shared" si="22"/>
        <v>0</v>
      </c>
      <c r="Q38" s="194"/>
      <c r="R38" s="194">
        <f t="shared" si="22"/>
        <v>0</v>
      </c>
      <c r="S38" s="194"/>
      <c r="T38" s="194">
        <f t="shared" si="22"/>
        <v>2430853</v>
      </c>
      <c r="U38" s="194">
        <f t="shared" si="22"/>
        <v>2430853</v>
      </c>
    </row>
    <row r="39" spans="1:24" ht="27" hidden="1" customHeight="1">
      <c r="A39" s="310"/>
      <c r="B39" s="214" t="s">
        <v>292</v>
      </c>
      <c r="C39" s="183" t="s">
        <v>226</v>
      </c>
      <c r="D39" s="69"/>
      <c r="E39" s="60"/>
      <c r="F39" s="60"/>
      <c r="G39" s="59"/>
      <c r="H39" s="60"/>
      <c r="I39" s="60"/>
      <c r="J39" s="73"/>
      <c r="K39" s="73"/>
      <c r="L39" s="280"/>
      <c r="M39" s="194"/>
      <c r="N39" s="194">
        <f>P39</f>
        <v>0</v>
      </c>
      <c r="O39" s="194"/>
      <c r="P39" s="194"/>
      <c r="Q39" s="194"/>
      <c r="R39" s="194"/>
      <c r="S39" s="194"/>
      <c r="T39" s="194">
        <f>P39</f>
        <v>0</v>
      </c>
      <c r="U39" s="194">
        <f>T39</f>
        <v>0</v>
      </c>
    </row>
    <row r="40" spans="1:24" hidden="1">
      <c r="A40" s="310"/>
      <c r="B40" s="89" t="s">
        <v>225</v>
      </c>
      <c r="C40" s="183" t="s">
        <v>219</v>
      </c>
      <c r="D40" s="64" t="s">
        <v>101</v>
      </c>
      <c r="E40" s="60">
        <v>17</v>
      </c>
      <c r="F40" s="60">
        <v>17</v>
      </c>
      <c r="G40" s="59">
        <v>17</v>
      </c>
      <c r="H40" s="60">
        <v>17</v>
      </c>
      <c r="I40" s="60">
        <v>17</v>
      </c>
      <c r="J40" s="73"/>
      <c r="K40" s="73"/>
      <c r="L40" s="280"/>
      <c r="M40" s="194"/>
      <c r="N40" s="194">
        <f>S40</f>
        <v>0</v>
      </c>
      <c r="O40" s="194"/>
      <c r="P40" s="194"/>
      <c r="Q40" s="194"/>
      <c r="R40" s="194"/>
      <c r="S40" s="194"/>
      <c r="T40" s="194">
        <f>S40</f>
        <v>0</v>
      </c>
      <c r="U40" s="194">
        <f>T40</f>
        <v>0</v>
      </c>
    </row>
    <row r="41" spans="1:24" hidden="1">
      <c r="A41" s="310"/>
      <c r="B41" s="89" t="s">
        <v>225</v>
      </c>
      <c r="C41" s="183" t="s">
        <v>226</v>
      </c>
      <c r="D41" s="64" t="s">
        <v>101</v>
      </c>
      <c r="E41" s="60"/>
      <c r="F41" s="60"/>
      <c r="G41" s="59"/>
      <c r="H41" s="60"/>
      <c r="I41" s="60"/>
      <c r="J41" s="73"/>
      <c r="K41" s="73"/>
      <c r="L41" s="280"/>
      <c r="M41" s="194"/>
      <c r="N41" s="194"/>
      <c r="O41" s="194"/>
      <c r="P41" s="194"/>
      <c r="Q41" s="194"/>
      <c r="R41" s="194"/>
      <c r="S41" s="194"/>
      <c r="T41" s="194">
        <f>Q41</f>
        <v>0</v>
      </c>
      <c r="U41" s="194">
        <f>T41</f>
        <v>0</v>
      </c>
    </row>
    <row r="42" spans="1:24" hidden="1">
      <c r="A42" s="310"/>
      <c r="B42" s="89" t="s">
        <v>291</v>
      </c>
      <c r="C42" s="183" t="s">
        <v>219</v>
      </c>
      <c r="D42" s="64" t="s">
        <v>101</v>
      </c>
      <c r="E42" s="60"/>
      <c r="F42" s="60"/>
      <c r="G42" s="59">
        <v>17</v>
      </c>
      <c r="H42" s="59">
        <v>17</v>
      </c>
      <c r="I42" s="59">
        <v>17</v>
      </c>
      <c r="J42" s="73"/>
      <c r="K42" s="73"/>
      <c r="L42" s="280"/>
      <c r="M42" s="194"/>
      <c r="N42" s="194">
        <f>S42</f>
        <v>0</v>
      </c>
      <c r="O42" s="194"/>
      <c r="P42" s="194"/>
      <c r="Q42" s="194"/>
      <c r="R42" s="194"/>
      <c r="S42" s="194"/>
      <c r="T42" s="194"/>
      <c r="U42" s="194"/>
    </row>
    <row r="43" spans="1:24" hidden="1">
      <c r="A43" s="310"/>
      <c r="B43" s="89" t="s">
        <v>307</v>
      </c>
      <c r="C43" s="183" t="s">
        <v>226</v>
      </c>
      <c r="D43" s="64"/>
      <c r="E43" s="60"/>
      <c r="F43" s="60"/>
      <c r="G43" s="59">
        <v>26</v>
      </c>
      <c r="H43" s="59">
        <v>26</v>
      </c>
      <c r="I43" s="59">
        <v>26</v>
      </c>
      <c r="J43" s="73"/>
      <c r="K43" s="73"/>
      <c r="L43" s="280"/>
      <c r="M43" s="194"/>
      <c r="N43" s="194">
        <f>O43</f>
        <v>0</v>
      </c>
      <c r="O43" s="194"/>
      <c r="P43" s="194"/>
      <c r="Q43" s="194"/>
      <c r="R43" s="194"/>
      <c r="S43" s="194"/>
      <c r="T43" s="194"/>
      <c r="U43" s="194">
        <f>T43</f>
        <v>0</v>
      </c>
    </row>
    <row r="44" spans="1:24" hidden="1">
      <c r="A44" s="310"/>
      <c r="B44" s="89" t="s">
        <v>259</v>
      </c>
      <c r="C44" s="183" t="s">
        <v>226</v>
      </c>
      <c r="D44" s="64"/>
      <c r="E44" s="60"/>
      <c r="F44" s="60"/>
      <c r="G44" s="59"/>
      <c r="H44" s="60"/>
      <c r="I44" s="60"/>
      <c r="J44" s="73"/>
      <c r="K44" s="73"/>
      <c r="L44" s="280"/>
      <c r="M44" s="194"/>
      <c r="N44" s="194">
        <f>O44</f>
        <v>0</v>
      </c>
      <c r="O44" s="194"/>
      <c r="P44" s="194"/>
      <c r="Q44" s="194"/>
      <c r="R44" s="194"/>
      <c r="S44" s="194"/>
      <c r="T44" s="194">
        <f>O44</f>
        <v>0</v>
      </c>
      <c r="U44" s="194">
        <f>T44</f>
        <v>0</v>
      </c>
    </row>
    <row r="45" spans="1:24" hidden="1">
      <c r="A45" s="310"/>
      <c r="B45" s="89" t="s">
        <v>308</v>
      </c>
      <c r="C45" s="183" t="s">
        <v>226</v>
      </c>
      <c r="D45" s="64"/>
      <c r="E45" s="60"/>
      <c r="F45" s="60"/>
      <c r="G45" s="59"/>
      <c r="H45" s="60"/>
      <c r="I45" s="60"/>
      <c r="J45" s="73"/>
      <c r="K45" s="73"/>
      <c r="L45" s="280"/>
      <c r="M45" s="194"/>
      <c r="N45" s="194">
        <f>P45</f>
        <v>0</v>
      </c>
      <c r="O45" s="194"/>
      <c r="P45" s="194"/>
      <c r="Q45" s="194"/>
      <c r="R45" s="194"/>
      <c r="S45" s="194"/>
      <c r="T45" s="194"/>
      <c r="U45" s="194">
        <f>T45</f>
        <v>0</v>
      </c>
    </row>
    <row r="46" spans="1:24">
      <c r="A46" s="310"/>
      <c r="B46" s="101" t="s">
        <v>112</v>
      </c>
      <c r="C46" s="101"/>
      <c r="D46" s="69"/>
      <c r="E46" s="102">
        <f t="shared" ref="E46:F46" si="23">E23+E30+E36</f>
        <v>648</v>
      </c>
      <c r="F46" s="102">
        <f t="shared" si="23"/>
        <v>648</v>
      </c>
      <c r="G46" s="102">
        <f>G23+G30+G36</f>
        <v>648</v>
      </c>
      <c r="H46" s="102">
        <f>H23+H30+H36</f>
        <v>648</v>
      </c>
      <c r="I46" s="102">
        <f>I23+I30+I36</f>
        <v>648</v>
      </c>
      <c r="J46" s="104"/>
      <c r="K46" s="104"/>
      <c r="L46" s="138"/>
      <c r="M46" s="138"/>
      <c r="N46" s="138">
        <f>SUM(O46:S46)</f>
        <v>42941348.72983928</v>
      </c>
      <c r="O46" s="138">
        <f>O23+O30+O36+O38+O43+O44</f>
        <v>27326716.000000004</v>
      </c>
      <c r="P46" s="138">
        <f>P23+P30+P36+P38+P39+P40+P41+P45</f>
        <v>6775896.9998388793</v>
      </c>
      <c r="Q46" s="138">
        <f t="shared" ref="Q46" si="24">Q23+Q30+Q36+Q38+Q39+Q40+Q41</f>
        <v>0</v>
      </c>
      <c r="R46" s="138">
        <f>R23+R30+R36+R38+R39+R40+R41+R42</f>
        <v>8838735.7300003991</v>
      </c>
      <c r="S46" s="138">
        <f>S23+S30+S36+S38+S39+S40+S41+S42</f>
        <v>0</v>
      </c>
      <c r="T46" s="138">
        <f>T23+T30+T36+T38+T39+T40+T41+T42+T43+T44+T45</f>
        <v>44488515.039839275</v>
      </c>
      <c r="U46" s="138">
        <f>U23+U30+U36+U38+U39+U40+U41+U42+U43+U44+U45</f>
        <v>44488515.039839275</v>
      </c>
      <c r="V46" s="80">
        <v>8838735.7300000004</v>
      </c>
      <c r="W46" s="85">
        <f>V46-R46</f>
        <v>-3.986060619354248E-7</v>
      </c>
      <c r="X46" s="80">
        <f>W46/I46</f>
        <v>-6.1513281162874203E-10</v>
      </c>
    </row>
    <row r="47" spans="1:24" ht="82.8">
      <c r="A47" s="310" t="s">
        <v>113</v>
      </c>
      <c r="B47" s="311" t="s">
        <v>237</v>
      </c>
      <c r="C47" s="61" t="s">
        <v>100</v>
      </c>
      <c r="D47" s="62" t="s">
        <v>101</v>
      </c>
      <c r="E47" s="59">
        <v>261</v>
      </c>
      <c r="F47" s="59">
        <v>261</v>
      </c>
      <c r="G47" s="59">
        <v>261</v>
      </c>
      <c r="H47" s="59">
        <v>261</v>
      </c>
      <c r="I47" s="59">
        <v>261</v>
      </c>
      <c r="J47" s="107">
        <f>SUM(K47:M47)</f>
        <v>51432.186728879999</v>
      </c>
      <c r="K47" s="107">
        <f>20483.63+1329.32+1946.36</f>
        <v>23759.31</v>
      </c>
      <c r="L47" s="290">
        <f>4001.99*2.411294+1952.93</f>
        <v>11602.904475059999</v>
      </c>
      <c r="M47" s="289">
        <f>7790.73-12.75568182+7807.95+18.93939394+305.0706629+160.0378788</f>
        <v>16069.972253819999</v>
      </c>
      <c r="N47" s="278">
        <f>SUM(O47:R47)</f>
        <v>13423799.44623768</v>
      </c>
      <c r="O47" s="278">
        <f>G47*K47+0.06</f>
        <v>6201179.9699999997</v>
      </c>
      <c r="P47" s="278">
        <f>G47*L47-0.75</f>
        <v>3028357.3179906597</v>
      </c>
      <c r="Q47" s="278"/>
      <c r="R47" s="46">
        <f>G47*M47-0.6</f>
        <v>4194262.1582470196</v>
      </c>
      <c r="S47" s="46"/>
      <c r="T47" s="46">
        <f>N47+827983.95-171077.31-14084</f>
        <v>14066622.086237678</v>
      </c>
      <c r="U47" s="46">
        <f>T47</f>
        <v>14066622.086237678</v>
      </c>
    </row>
    <row r="48" spans="1:24" ht="82.8">
      <c r="A48" s="310"/>
      <c r="B48" s="311"/>
      <c r="C48" s="63" t="s">
        <v>163</v>
      </c>
      <c r="D48" s="64" t="s">
        <v>101</v>
      </c>
      <c r="E48" s="59" t="s">
        <v>104</v>
      </c>
      <c r="F48" s="59" t="s">
        <v>104</v>
      </c>
      <c r="G48" s="59" t="s">
        <v>104</v>
      </c>
      <c r="H48" s="59" t="s">
        <v>104</v>
      </c>
      <c r="I48" s="59" t="s">
        <v>104</v>
      </c>
      <c r="J48" s="59" t="s">
        <v>104</v>
      </c>
      <c r="K48" s="59" t="s">
        <v>104</v>
      </c>
      <c r="L48" s="123" t="s">
        <v>104</v>
      </c>
      <c r="M48" s="123" t="s">
        <v>104</v>
      </c>
      <c r="N48" s="278"/>
      <c r="O48" s="278"/>
      <c r="P48" s="123" t="s">
        <v>104</v>
      </c>
      <c r="Q48" s="123"/>
      <c r="R48" s="123" t="s">
        <v>104</v>
      </c>
      <c r="S48" s="123"/>
      <c r="T48" s="46"/>
      <c r="U48" s="46"/>
    </row>
    <row r="49" spans="1:21">
      <c r="A49" s="310"/>
      <c r="B49" s="311"/>
      <c r="C49" s="63" t="s">
        <v>169</v>
      </c>
      <c r="D49" s="64" t="s">
        <v>101</v>
      </c>
      <c r="E49" s="59">
        <v>5</v>
      </c>
      <c r="F49" s="59">
        <v>5</v>
      </c>
      <c r="G49" s="59">
        <v>5</v>
      </c>
      <c r="H49" s="59">
        <v>5</v>
      </c>
      <c r="I49" s="59">
        <v>5</v>
      </c>
      <c r="J49" s="75">
        <f t="shared" ref="J49:J53" si="25">K49</f>
        <v>69362.66</v>
      </c>
      <c r="K49" s="71">
        <v>69362.66</v>
      </c>
      <c r="L49" s="123"/>
      <c r="M49" s="123"/>
      <c r="N49" s="278">
        <f t="shared" ref="N49:N53" si="26">O49</f>
        <v>346813.30000000005</v>
      </c>
      <c r="O49" s="278">
        <f t="shared" ref="O49:O54" si="27">G49*K49</f>
        <v>346813.30000000005</v>
      </c>
      <c r="P49" s="123" t="s">
        <v>104</v>
      </c>
      <c r="Q49" s="123"/>
      <c r="R49" s="123" t="s">
        <v>104</v>
      </c>
      <c r="S49" s="123"/>
      <c r="T49" s="46">
        <f t="shared" ref="T49:T53" si="28">H49*K49</f>
        <v>346813.30000000005</v>
      </c>
      <c r="U49" s="46">
        <f t="shared" ref="U49:U53" si="29">I49*K49</f>
        <v>346813.30000000005</v>
      </c>
    </row>
    <row r="50" spans="1:21">
      <c r="A50" s="310"/>
      <c r="B50" s="311"/>
      <c r="C50" s="63" t="s">
        <v>166</v>
      </c>
      <c r="D50" s="64" t="s">
        <v>101</v>
      </c>
      <c r="E50" s="59">
        <v>17</v>
      </c>
      <c r="F50" s="59">
        <v>17</v>
      </c>
      <c r="G50" s="59">
        <v>17</v>
      </c>
      <c r="H50" s="59">
        <v>17</v>
      </c>
      <c r="I50" s="59">
        <v>17</v>
      </c>
      <c r="J50" s="75">
        <f t="shared" si="25"/>
        <v>66361.320000000007</v>
      </c>
      <c r="K50" s="75">
        <v>66361.320000000007</v>
      </c>
      <c r="L50" s="123" t="s">
        <v>104</v>
      </c>
      <c r="M50" s="123" t="s">
        <v>104</v>
      </c>
      <c r="N50" s="278">
        <f>O50</f>
        <v>1128142.4400000002</v>
      </c>
      <c r="O50" s="278">
        <f t="shared" si="27"/>
        <v>1128142.4400000002</v>
      </c>
      <c r="P50" s="123" t="s">
        <v>104</v>
      </c>
      <c r="Q50" s="123"/>
      <c r="R50" s="123" t="s">
        <v>104</v>
      </c>
      <c r="S50" s="123"/>
      <c r="T50" s="46">
        <f t="shared" si="28"/>
        <v>1128142.4400000002</v>
      </c>
      <c r="U50" s="46">
        <f t="shared" si="29"/>
        <v>1128142.4400000002</v>
      </c>
    </row>
    <row r="51" spans="1:21">
      <c r="A51" s="310"/>
      <c r="B51" s="311"/>
      <c r="C51" s="63" t="s">
        <v>167</v>
      </c>
      <c r="D51" s="64" t="s">
        <v>101</v>
      </c>
      <c r="E51" s="59">
        <v>3</v>
      </c>
      <c r="F51" s="59">
        <v>3</v>
      </c>
      <c r="G51" s="59">
        <v>3</v>
      </c>
      <c r="H51" s="59">
        <v>3</v>
      </c>
      <c r="I51" s="59">
        <v>3</v>
      </c>
      <c r="J51" s="75">
        <f t="shared" si="25"/>
        <v>174890.83</v>
      </c>
      <c r="K51" s="75">
        <v>174890.83</v>
      </c>
      <c r="L51" s="123" t="s">
        <v>104</v>
      </c>
      <c r="M51" s="123" t="s">
        <v>104</v>
      </c>
      <c r="N51" s="278">
        <f t="shared" si="26"/>
        <v>524672.49</v>
      </c>
      <c r="O51" s="278">
        <f t="shared" si="27"/>
        <v>524672.49</v>
      </c>
      <c r="P51" s="123" t="s">
        <v>104</v>
      </c>
      <c r="Q51" s="123"/>
      <c r="R51" s="123" t="s">
        <v>104</v>
      </c>
      <c r="S51" s="123"/>
      <c r="T51" s="46">
        <f t="shared" si="28"/>
        <v>524672.49</v>
      </c>
      <c r="U51" s="46">
        <f t="shared" si="29"/>
        <v>524672.49</v>
      </c>
    </row>
    <row r="52" spans="1:21">
      <c r="A52" s="310"/>
      <c r="B52" s="311"/>
      <c r="C52" s="63" t="s">
        <v>170</v>
      </c>
      <c r="D52" s="64" t="s">
        <v>101</v>
      </c>
      <c r="E52" s="59">
        <v>5</v>
      </c>
      <c r="F52" s="59">
        <v>5</v>
      </c>
      <c r="G52" s="59">
        <v>5</v>
      </c>
      <c r="H52" s="59">
        <v>5</v>
      </c>
      <c r="I52" s="59">
        <v>5</v>
      </c>
      <c r="J52" s="75">
        <f t="shared" si="25"/>
        <v>99648.29</v>
      </c>
      <c r="K52" s="75">
        <v>99648.29</v>
      </c>
      <c r="L52" s="123"/>
      <c r="M52" s="123"/>
      <c r="N52" s="278">
        <f t="shared" si="26"/>
        <v>498241.44999999995</v>
      </c>
      <c r="O52" s="278">
        <f t="shared" si="27"/>
        <v>498241.44999999995</v>
      </c>
      <c r="P52" s="123" t="s">
        <v>104</v>
      </c>
      <c r="Q52" s="123"/>
      <c r="R52" s="123" t="s">
        <v>104</v>
      </c>
      <c r="S52" s="123"/>
      <c r="T52" s="46">
        <f t="shared" si="28"/>
        <v>498241.44999999995</v>
      </c>
      <c r="U52" s="46">
        <f t="shared" si="29"/>
        <v>498241.44999999995</v>
      </c>
    </row>
    <row r="53" spans="1:21">
      <c r="A53" s="310"/>
      <c r="B53" s="311"/>
      <c r="C53" s="63" t="s">
        <v>168</v>
      </c>
      <c r="D53" s="64" t="s">
        <v>101</v>
      </c>
      <c r="E53" s="59"/>
      <c r="F53" s="59"/>
      <c r="G53" s="59"/>
      <c r="H53" s="59"/>
      <c r="I53" s="59"/>
      <c r="J53" s="75">
        <f t="shared" si="25"/>
        <v>23553.439999999999</v>
      </c>
      <c r="K53" s="75">
        <v>23553.439999999999</v>
      </c>
      <c r="L53" s="123" t="s">
        <v>104</v>
      </c>
      <c r="M53" s="123" t="s">
        <v>104</v>
      </c>
      <c r="N53" s="278">
        <f t="shared" si="26"/>
        <v>0</v>
      </c>
      <c r="O53" s="278">
        <f t="shared" si="27"/>
        <v>0</v>
      </c>
      <c r="P53" s="123" t="s">
        <v>104</v>
      </c>
      <c r="Q53" s="123"/>
      <c r="R53" s="123" t="s">
        <v>104</v>
      </c>
      <c r="S53" s="123"/>
      <c r="T53" s="46">
        <f t="shared" si="28"/>
        <v>0</v>
      </c>
      <c r="U53" s="46">
        <f t="shared" si="29"/>
        <v>0</v>
      </c>
    </row>
    <row r="54" spans="1:21" ht="96.6">
      <c r="A54" s="310"/>
      <c r="B54" s="311"/>
      <c r="C54" s="61" t="s">
        <v>105</v>
      </c>
      <c r="D54" s="64" t="s">
        <v>101</v>
      </c>
      <c r="E54" s="59">
        <v>2</v>
      </c>
      <c r="F54" s="59">
        <v>2</v>
      </c>
      <c r="G54" s="59">
        <v>2</v>
      </c>
      <c r="H54" s="59">
        <v>2</v>
      </c>
      <c r="I54" s="59">
        <v>2</v>
      </c>
      <c r="J54" s="75">
        <f>SUM(K54:M54)</f>
        <v>152361.47672887999</v>
      </c>
      <c r="K54" s="75">
        <f>121412.92+1329.32+1946.36</f>
        <v>124688.6</v>
      </c>
      <c r="L54" s="46">
        <f>4001.99*2.411294+1952.93</f>
        <v>11602.904475059999</v>
      </c>
      <c r="M54" s="289">
        <f>7790.73-12.75568182+7807.95+18.93939394+305.0706629+160.0378788</f>
        <v>16069.972253819999</v>
      </c>
      <c r="N54" s="278">
        <f>SUM(O54:R54)</f>
        <v>304722.95345775998</v>
      </c>
      <c r="O54" s="278">
        <f t="shared" si="27"/>
        <v>249377.2</v>
      </c>
      <c r="P54" s="278">
        <f>G54*L54</f>
        <v>23205.808950119997</v>
      </c>
      <c r="Q54" s="278"/>
      <c r="R54" s="46">
        <f>G54*M54</f>
        <v>32139.944507639997</v>
      </c>
      <c r="S54" s="46"/>
      <c r="T54" s="46">
        <f>H54*J54+6344.7-14084</f>
        <v>296983.65345776</v>
      </c>
      <c r="U54" s="46">
        <f>T54</f>
        <v>296983.65345776</v>
      </c>
    </row>
    <row r="55" spans="1:21">
      <c r="A55" s="310"/>
      <c r="B55" s="311"/>
      <c r="C55" s="66" t="s">
        <v>106</v>
      </c>
      <c r="D55" s="67"/>
      <c r="E55" s="59">
        <f>E47+E54</f>
        <v>263</v>
      </c>
      <c r="F55" s="59">
        <f>F47+F54</f>
        <v>263</v>
      </c>
      <c r="G55" s="59">
        <f>G47+G54</f>
        <v>263</v>
      </c>
      <c r="H55" s="59">
        <f>H47+H54</f>
        <v>263</v>
      </c>
      <c r="I55" s="59">
        <f>I47+I54</f>
        <v>263</v>
      </c>
      <c r="J55" s="71" t="s">
        <v>104</v>
      </c>
      <c r="K55" s="71" t="s">
        <v>104</v>
      </c>
      <c r="L55" s="278" t="s">
        <v>104</v>
      </c>
      <c r="M55" s="278" t="s">
        <v>104</v>
      </c>
      <c r="N55" s="278">
        <f t="shared" ref="N55:R55" si="30">SUM(N47:N54)</f>
        <v>16226392.079695439</v>
      </c>
      <c r="O55" s="278">
        <f t="shared" si="30"/>
        <v>8948426.8499999996</v>
      </c>
      <c r="P55" s="278">
        <f>SUM(P47:P54)</f>
        <v>3051563.1269407799</v>
      </c>
      <c r="Q55" s="278"/>
      <c r="R55" s="278">
        <f t="shared" si="30"/>
        <v>4226402.10275466</v>
      </c>
      <c r="S55" s="278"/>
      <c r="T55" s="46">
        <f>SUM(T47:T54)</f>
        <v>16861475.419695437</v>
      </c>
      <c r="U55" s="46">
        <f>SUM(U47:U54)</f>
        <v>16861475.419695437</v>
      </c>
    </row>
    <row r="56" spans="1:21" ht="82.8">
      <c r="A56" s="310"/>
      <c r="B56" s="311" t="s">
        <v>238</v>
      </c>
      <c r="C56" s="61" t="s">
        <v>100</v>
      </c>
      <c r="D56" s="62" t="s">
        <v>101</v>
      </c>
      <c r="E56" s="59">
        <v>219</v>
      </c>
      <c r="F56" s="59">
        <v>219</v>
      </c>
      <c r="G56" s="59">
        <v>219</v>
      </c>
      <c r="H56" s="59">
        <v>219</v>
      </c>
      <c r="I56" s="59">
        <v>219</v>
      </c>
      <c r="J56" s="107">
        <f>SUM(K56:M56)</f>
        <v>65587.706728880003</v>
      </c>
      <c r="K56" s="107">
        <f>34346.05+1622.42+1946.36</f>
        <v>37914.83</v>
      </c>
      <c r="L56" s="289">
        <f>4001.99*2.411294+1952.93</f>
        <v>11602.904475059999</v>
      </c>
      <c r="M56" s="289">
        <f>7790.73-12.75568182+7807.95+18.93939394+305.0706629+160.0378788</f>
        <v>16069.972253819999</v>
      </c>
      <c r="N56" s="278">
        <f>SUM(O56:R56)</f>
        <v>14363707.77362472</v>
      </c>
      <c r="O56" s="278">
        <f>G56*K56</f>
        <v>8303347.7700000005</v>
      </c>
      <c r="P56" s="278">
        <f>G56*L56</f>
        <v>2541036.0800381396</v>
      </c>
      <c r="Q56" s="278"/>
      <c r="R56" s="46">
        <f>G56*M56</f>
        <v>3519323.9235865795</v>
      </c>
      <c r="S56" s="46"/>
      <c r="T56" s="46">
        <f>H56*J56+694745.15-315850-14084</f>
        <v>14728518.92362472</v>
      </c>
      <c r="U56" s="46">
        <f>T56</f>
        <v>14728518.92362472</v>
      </c>
    </row>
    <row r="57" spans="1:21" ht="82.8">
      <c r="A57" s="310"/>
      <c r="B57" s="311"/>
      <c r="C57" s="63" t="s">
        <v>102</v>
      </c>
      <c r="D57" s="64" t="s">
        <v>101</v>
      </c>
      <c r="E57" s="59" t="s">
        <v>104</v>
      </c>
      <c r="F57" s="59" t="s">
        <v>104</v>
      </c>
      <c r="G57" s="59" t="s">
        <v>104</v>
      </c>
      <c r="H57" s="59" t="s">
        <v>104</v>
      </c>
      <c r="I57" s="59" t="s">
        <v>104</v>
      </c>
      <c r="J57" s="59" t="s">
        <v>104</v>
      </c>
      <c r="K57" s="59" t="s">
        <v>191</v>
      </c>
      <c r="L57" s="123" t="s">
        <v>104</v>
      </c>
      <c r="M57" s="123" t="s">
        <v>104</v>
      </c>
      <c r="N57" s="278"/>
      <c r="O57" s="278"/>
      <c r="P57" s="123" t="s">
        <v>104</v>
      </c>
      <c r="Q57" s="123"/>
      <c r="R57" s="123" t="s">
        <v>104</v>
      </c>
      <c r="S57" s="123"/>
      <c r="T57" s="46"/>
      <c r="U57" s="46"/>
    </row>
    <row r="58" spans="1:21">
      <c r="A58" s="310"/>
      <c r="B58" s="311"/>
      <c r="C58" s="63" t="s">
        <v>190</v>
      </c>
      <c r="D58" s="64" t="s">
        <v>101</v>
      </c>
      <c r="E58" s="60">
        <v>1</v>
      </c>
      <c r="F58" s="60">
        <v>1</v>
      </c>
      <c r="G58" s="60">
        <v>1</v>
      </c>
      <c r="H58" s="60">
        <v>1</v>
      </c>
      <c r="I58" s="60">
        <v>1</v>
      </c>
      <c r="J58" s="75">
        <f t="shared" ref="J58:J60" si="31">K58</f>
        <v>165500.54</v>
      </c>
      <c r="K58" s="75">
        <v>165500.54</v>
      </c>
      <c r="L58" s="123" t="s">
        <v>104</v>
      </c>
      <c r="M58" s="123" t="s">
        <v>104</v>
      </c>
      <c r="N58" s="278">
        <f t="shared" ref="N58:N60" si="32">O58</f>
        <v>165500.54</v>
      </c>
      <c r="O58" s="278">
        <f>G58*K58</f>
        <v>165500.54</v>
      </c>
      <c r="P58" s="123" t="s">
        <v>104</v>
      </c>
      <c r="Q58" s="123"/>
      <c r="R58" s="123" t="s">
        <v>104</v>
      </c>
      <c r="S58" s="123"/>
      <c r="T58" s="46">
        <f t="shared" ref="T58:T60" si="33">H58*K58</f>
        <v>165500.54</v>
      </c>
      <c r="U58" s="46">
        <f t="shared" ref="U58:U60" si="34">I58*K58</f>
        <v>165500.54</v>
      </c>
    </row>
    <row r="59" spans="1:21">
      <c r="A59" s="310"/>
      <c r="B59" s="311"/>
      <c r="C59" s="63" t="s">
        <v>170</v>
      </c>
      <c r="D59" s="64" t="s">
        <v>101</v>
      </c>
      <c r="E59" s="60">
        <v>2</v>
      </c>
      <c r="F59" s="60">
        <v>2</v>
      </c>
      <c r="G59" s="60">
        <v>2</v>
      </c>
      <c r="H59" s="60">
        <v>2</v>
      </c>
      <c r="I59" s="60">
        <v>2</v>
      </c>
      <c r="J59" s="75">
        <f t="shared" si="31"/>
        <v>32769.75</v>
      </c>
      <c r="K59" s="75">
        <v>32769.75</v>
      </c>
      <c r="L59" s="123" t="s">
        <v>104</v>
      </c>
      <c r="M59" s="123" t="s">
        <v>104</v>
      </c>
      <c r="N59" s="278">
        <f t="shared" si="32"/>
        <v>65539.5</v>
      </c>
      <c r="O59" s="278">
        <f t="shared" ref="O59:O60" si="35">G59*K59</f>
        <v>65539.5</v>
      </c>
      <c r="P59" s="123" t="s">
        <v>104</v>
      </c>
      <c r="Q59" s="123"/>
      <c r="R59" s="123" t="s">
        <v>104</v>
      </c>
      <c r="S59" s="123"/>
      <c r="T59" s="46">
        <f t="shared" si="33"/>
        <v>65539.5</v>
      </c>
      <c r="U59" s="46">
        <f t="shared" si="34"/>
        <v>65539.5</v>
      </c>
    </row>
    <row r="60" spans="1:21">
      <c r="A60" s="310"/>
      <c r="B60" s="311"/>
      <c r="C60" s="63" t="s">
        <v>168</v>
      </c>
      <c r="D60" s="64" t="s">
        <v>101</v>
      </c>
      <c r="E60" s="60">
        <v>4</v>
      </c>
      <c r="F60" s="60">
        <v>4</v>
      </c>
      <c r="G60" s="60">
        <v>4</v>
      </c>
      <c r="H60" s="60">
        <v>4</v>
      </c>
      <c r="I60" s="60">
        <v>4</v>
      </c>
      <c r="J60" s="75">
        <f t="shared" si="31"/>
        <v>23553.439999999999</v>
      </c>
      <c r="K60" s="75">
        <v>23553.439999999999</v>
      </c>
      <c r="L60" s="123" t="s">
        <v>104</v>
      </c>
      <c r="M60" s="123" t="s">
        <v>104</v>
      </c>
      <c r="N60" s="278">
        <f t="shared" si="32"/>
        <v>94213.759999999995</v>
      </c>
      <c r="O60" s="278">
        <f t="shared" si="35"/>
        <v>94213.759999999995</v>
      </c>
      <c r="P60" s="123" t="s">
        <v>104</v>
      </c>
      <c r="Q60" s="123"/>
      <c r="R60" s="123" t="s">
        <v>104</v>
      </c>
      <c r="S60" s="123"/>
      <c r="T60" s="46">
        <f t="shared" si="33"/>
        <v>94213.759999999995</v>
      </c>
      <c r="U60" s="46">
        <f t="shared" si="34"/>
        <v>94213.759999999995</v>
      </c>
    </row>
    <row r="61" spans="1:21" ht="96.6">
      <c r="A61" s="310"/>
      <c r="B61" s="311"/>
      <c r="C61" s="61" t="s">
        <v>105</v>
      </c>
      <c r="D61" s="64" t="s">
        <v>101</v>
      </c>
      <c r="E61" s="60">
        <v>2</v>
      </c>
      <c r="F61" s="60">
        <v>2</v>
      </c>
      <c r="G61" s="59">
        <f t="shared" ref="G61" si="36">((E61*8)+(F61*4))/12</f>
        <v>2</v>
      </c>
      <c r="H61" s="60">
        <v>2</v>
      </c>
      <c r="I61" s="60">
        <v>2</v>
      </c>
      <c r="J61" s="75">
        <f>SUM(K61:M61)</f>
        <v>182649.28672887999</v>
      </c>
      <c r="K61" s="75">
        <f>151407.63+1622.42+1946.36</f>
        <v>154976.41</v>
      </c>
      <c r="L61" s="193">
        <f>4001.99*2.411294+1952.93</f>
        <v>11602.904475059999</v>
      </c>
      <c r="M61" s="289">
        <f>7790.73-12.75568182+7807.95+18.93939394+305.0706629+160.0378788</f>
        <v>16069.972253819999</v>
      </c>
      <c r="N61" s="278">
        <f>SUM(O61:R61)</f>
        <v>365298.57345775998</v>
      </c>
      <c r="O61" s="278">
        <f>G61*K61</f>
        <v>309952.82</v>
      </c>
      <c r="P61" s="280">
        <f>G61*L61</f>
        <v>23205.808950119997</v>
      </c>
      <c r="Q61" s="280"/>
      <c r="R61" s="46">
        <f>G61*M61</f>
        <v>32139.944507639997</v>
      </c>
      <c r="S61" s="46"/>
      <c r="T61" s="46">
        <f>H61*J61+6344.7-14084</f>
        <v>357559.27345775999</v>
      </c>
      <c r="U61" s="46">
        <f>T61</f>
        <v>357559.27345775999</v>
      </c>
    </row>
    <row r="62" spans="1:21">
      <c r="A62" s="310"/>
      <c r="B62" s="187"/>
      <c r="C62" s="66" t="s">
        <v>106</v>
      </c>
      <c r="D62" s="64"/>
      <c r="E62" s="60">
        <f>E56+E61</f>
        <v>221</v>
      </c>
      <c r="F62" s="60">
        <f>F56+F61</f>
        <v>221</v>
      </c>
      <c r="G62" s="60">
        <f>G56+G61</f>
        <v>221</v>
      </c>
      <c r="H62" s="60">
        <f>H56+H61</f>
        <v>221</v>
      </c>
      <c r="I62" s="60">
        <f>I56+I61</f>
        <v>221</v>
      </c>
      <c r="J62" s="73" t="s">
        <v>104</v>
      </c>
      <c r="K62" s="73" t="s">
        <v>104</v>
      </c>
      <c r="L62" s="194" t="s">
        <v>104</v>
      </c>
      <c r="M62" s="194" t="s">
        <v>104</v>
      </c>
      <c r="N62" s="194">
        <f t="shared" ref="N62:U62" si="37">SUM(N56:N61)</f>
        <v>15054260.14708248</v>
      </c>
      <c r="O62" s="194">
        <f t="shared" si="37"/>
        <v>8938554.3900000006</v>
      </c>
      <c r="P62" s="194">
        <f t="shared" si="37"/>
        <v>2564241.8889882597</v>
      </c>
      <c r="Q62" s="194"/>
      <c r="R62" s="194">
        <f t="shared" si="37"/>
        <v>3551463.8680942194</v>
      </c>
      <c r="S62" s="194"/>
      <c r="T62" s="46">
        <f t="shared" si="37"/>
        <v>15411331.997082479</v>
      </c>
      <c r="U62" s="46">
        <f t="shared" si="37"/>
        <v>15411331.997082479</v>
      </c>
    </row>
    <row r="63" spans="1:21" ht="82.8">
      <c r="A63" s="310"/>
      <c r="B63" s="311" t="s">
        <v>239</v>
      </c>
      <c r="C63" s="61" t="s">
        <v>100</v>
      </c>
      <c r="D63" s="62" t="s">
        <v>101</v>
      </c>
      <c r="E63" s="60">
        <v>44</v>
      </c>
      <c r="F63" s="60">
        <v>44</v>
      </c>
      <c r="G63" s="60">
        <v>44</v>
      </c>
      <c r="H63" s="60">
        <v>44</v>
      </c>
      <c r="I63" s="60">
        <v>44</v>
      </c>
      <c r="J63" s="107">
        <f>SUM(K63:M63)</f>
        <v>72690.146728880005</v>
      </c>
      <c r="K63" s="107">
        <f>41105.12+1965.79+1946.36</f>
        <v>45017.270000000004</v>
      </c>
      <c r="L63" s="289">
        <f>4001.99*2.411294+1952.93</f>
        <v>11602.904475059999</v>
      </c>
      <c r="M63" s="289">
        <f>7790.73-12.75568182+7807.95+18.93939394+305.0706629+160.0378788</f>
        <v>16069.972253819999</v>
      </c>
      <c r="N63" s="280">
        <f>SUM(O63:R63)</f>
        <v>3198366.6460707202</v>
      </c>
      <c r="O63" s="280">
        <f>G63*K63</f>
        <v>1980759.8800000001</v>
      </c>
      <c r="P63" s="280">
        <f>G63*L63+0.19</f>
        <v>510527.98690263997</v>
      </c>
      <c r="Q63" s="280"/>
      <c r="R63" s="46">
        <f>G63*M63</f>
        <v>707078.77916807996</v>
      </c>
      <c r="S63" s="46"/>
      <c r="T63" s="46">
        <f>N63+139583.5-14084-14080</f>
        <v>3309786.1460707202</v>
      </c>
      <c r="U63" s="46">
        <f>T63</f>
        <v>3309786.1460707202</v>
      </c>
    </row>
    <row r="64" spans="1:21" ht="82.8">
      <c r="A64" s="310"/>
      <c r="B64" s="311"/>
      <c r="C64" s="63" t="s">
        <v>102</v>
      </c>
      <c r="D64" s="64" t="s">
        <v>101</v>
      </c>
      <c r="E64" s="59" t="s">
        <v>104</v>
      </c>
      <c r="F64" s="59" t="s">
        <v>104</v>
      </c>
      <c r="G64" s="59" t="s">
        <v>104</v>
      </c>
      <c r="H64" s="59" t="s">
        <v>104</v>
      </c>
      <c r="I64" s="59" t="s">
        <v>104</v>
      </c>
      <c r="J64" s="59" t="s">
        <v>104</v>
      </c>
      <c r="K64" s="59" t="s">
        <v>104</v>
      </c>
      <c r="L64" s="123" t="s">
        <v>104</v>
      </c>
      <c r="M64" s="123" t="s">
        <v>104</v>
      </c>
      <c r="N64" s="278"/>
      <c r="O64" s="278"/>
      <c r="P64" s="123" t="s">
        <v>104</v>
      </c>
      <c r="Q64" s="123"/>
      <c r="R64" s="123" t="s">
        <v>104</v>
      </c>
      <c r="S64" s="123"/>
      <c r="T64" s="46"/>
      <c r="U64" s="46"/>
    </row>
    <row r="65" spans="1:24">
      <c r="A65" s="310"/>
      <c r="B65" s="311"/>
      <c r="C65" s="63" t="s">
        <v>168</v>
      </c>
      <c r="D65" s="64" t="s">
        <v>101</v>
      </c>
      <c r="E65" s="60">
        <v>2</v>
      </c>
      <c r="F65" s="60">
        <v>2</v>
      </c>
      <c r="G65" s="60">
        <v>2</v>
      </c>
      <c r="H65" s="60">
        <v>2</v>
      </c>
      <c r="I65" s="60">
        <v>2</v>
      </c>
      <c r="J65" s="75">
        <f>K65</f>
        <v>23553.439999999999</v>
      </c>
      <c r="K65" s="75">
        <v>23553.439999999999</v>
      </c>
      <c r="L65" s="123" t="s">
        <v>104</v>
      </c>
      <c r="M65" s="123" t="s">
        <v>104</v>
      </c>
      <c r="N65" s="278">
        <f>O65</f>
        <v>47106.879999999997</v>
      </c>
      <c r="O65" s="278">
        <f>G65*K65</f>
        <v>47106.879999999997</v>
      </c>
      <c r="P65" s="123" t="s">
        <v>104</v>
      </c>
      <c r="Q65" s="123"/>
      <c r="R65" s="123" t="s">
        <v>104</v>
      </c>
      <c r="S65" s="123"/>
      <c r="T65" s="46">
        <f>H65*K65</f>
        <v>47106.879999999997</v>
      </c>
      <c r="U65" s="46">
        <f>I65*K65</f>
        <v>47106.879999999997</v>
      </c>
      <c r="W65" s="80">
        <v>38236341.439999998</v>
      </c>
    </row>
    <row r="66" spans="1:24" ht="96.6">
      <c r="A66" s="310"/>
      <c r="B66" s="311"/>
      <c r="C66" s="61" t="s">
        <v>105</v>
      </c>
      <c r="D66" s="64" t="s">
        <v>101</v>
      </c>
      <c r="E66" s="60">
        <v>0</v>
      </c>
      <c r="F66" s="60"/>
      <c r="G66" s="60"/>
      <c r="H66" s="60">
        <v>0</v>
      </c>
      <c r="I66" s="60">
        <v>0</v>
      </c>
      <c r="J66" s="73">
        <f>K66</f>
        <v>185314.5</v>
      </c>
      <c r="K66" s="73">
        <f>181402.35+1965.79+1946.36</f>
        <v>185314.5</v>
      </c>
      <c r="L66" s="289">
        <f>4001.99*2.411294+1952.93</f>
        <v>11602.904475059999</v>
      </c>
      <c r="M66" s="289">
        <f>7790.73-12.75568182+7807.95+18.93939394+305.0706629+160.0378788</f>
        <v>16069.972253819999</v>
      </c>
      <c r="N66" s="278">
        <f>SUM(O66:R66)</f>
        <v>0</v>
      </c>
      <c r="O66" s="280">
        <f>G66*K66</f>
        <v>0</v>
      </c>
      <c r="P66" s="280">
        <f>E66*L66</f>
        <v>0</v>
      </c>
      <c r="Q66" s="280"/>
      <c r="R66" s="46">
        <f>G66*M66</f>
        <v>0</v>
      </c>
      <c r="S66" s="46"/>
      <c r="T66" s="46">
        <f>H66*K66</f>
        <v>0</v>
      </c>
      <c r="U66" s="46">
        <f>I66*K66</f>
        <v>0</v>
      </c>
      <c r="W66" s="85">
        <f>T77-W65</f>
        <v>2.8486400842666626E-3</v>
      </c>
    </row>
    <row r="67" spans="1:24">
      <c r="A67" s="310"/>
      <c r="B67" s="187"/>
      <c r="C67" s="66" t="s">
        <v>106</v>
      </c>
      <c r="D67" s="64"/>
      <c r="E67" s="60">
        <f>E63+E66</f>
        <v>44</v>
      </c>
      <c r="F67" s="60">
        <f>F63+F66</f>
        <v>44</v>
      </c>
      <c r="G67" s="60">
        <f>G63+G66</f>
        <v>44</v>
      </c>
      <c r="H67" s="60">
        <f>H63+H66</f>
        <v>44</v>
      </c>
      <c r="I67" s="60">
        <f>I63+I66</f>
        <v>44</v>
      </c>
      <c r="J67" s="73" t="s">
        <v>104</v>
      </c>
      <c r="K67" s="73" t="s">
        <v>104</v>
      </c>
      <c r="L67" s="194" t="s">
        <v>104</v>
      </c>
      <c r="M67" s="194" t="s">
        <v>104</v>
      </c>
      <c r="N67" s="194">
        <f t="shared" ref="N67:R67" si="38">SUM(N63:N66)</f>
        <v>3245473.5260707201</v>
      </c>
      <c r="O67" s="194">
        <f t="shared" si="38"/>
        <v>2027866.76</v>
      </c>
      <c r="P67" s="194">
        <f t="shared" si="38"/>
        <v>510527.98690263997</v>
      </c>
      <c r="Q67" s="194"/>
      <c r="R67" s="194">
        <f t="shared" si="38"/>
        <v>707078.77916807996</v>
      </c>
      <c r="S67" s="194"/>
      <c r="T67" s="46">
        <f>SUM(T63:T66)</f>
        <v>3356893.0260707201</v>
      </c>
      <c r="U67" s="46">
        <f>SUM(U63:U66)</f>
        <v>3356893.0260707201</v>
      </c>
    </row>
    <row r="68" spans="1:24" ht="100.95" customHeight="1">
      <c r="A68" s="310"/>
      <c r="B68" s="137" t="s">
        <v>240</v>
      </c>
      <c r="C68" s="61" t="s">
        <v>187</v>
      </c>
      <c r="D68" s="64" t="s">
        <v>101</v>
      </c>
      <c r="E68" s="60">
        <v>777</v>
      </c>
      <c r="F68" s="60">
        <v>777</v>
      </c>
      <c r="G68" s="60">
        <v>777</v>
      </c>
      <c r="H68" s="60">
        <v>777</v>
      </c>
      <c r="I68" s="60">
        <v>777</v>
      </c>
      <c r="J68" s="75">
        <f>K68</f>
        <v>3268.55</v>
      </c>
      <c r="K68" s="75">
        <v>3268.55</v>
      </c>
      <c r="L68" s="193" t="s">
        <v>104</v>
      </c>
      <c r="M68" s="193" t="s">
        <v>104</v>
      </c>
      <c r="N68" s="280">
        <f>SUM(O68:R68)</f>
        <v>2606641</v>
      </c>
      <c r="O68" s="280">
        <f>K68*G68+0.65+66977</f>
        <v>2606641</v>
      </c>
      <c r="P68" s="280" t="s">
        <v>104</v>
      </c>
      <c r="Q68" s="280"/>
      <c r="R68" s="280" t="s">
        <v>104</v>
      </c>
      <c r="S68" s="280"/>
      <c r="T68" s="46">
        <f>N68</f>
        <v>2606641</v>
      </c>
      <c r="U68" s="46">
        <f t="shared" ref="U68:U75" si="39">T68</f>
        <v>2606641</v>
      </c>
    </row>
    <row r="69" spans="1:24">
      <c r="A69" s="310"/>
      <c r="B69" s="69"/>
      <c r="C69" s="66" t="s">
        <v>106</v>
      </c>
      <c r="D69" s="69"/>
      <c r="E69" s="60">
        <f>SUM(E68:E68)</f>
        <v>777</v>
      </c>
      <c r="F69" s="60">
        <f>SUM(F68:F68)</f>
        <v>777</v>
      </c>
      <c r="G69" s="60">
        <f>SUM(G68:G68)</f>
        <v>777</v>
      </c>
      <c r="H69" s="60">
        <f>SUM(H68:H68)</f>
        <v>777</v>
      </c>
      <c r="I69" s="60">
        <f>SUM(I68:I68)</f>
        <v>777</v>
      </c>
      <c r="J69" s="73" t="s">
        <v>104</v>
      </c>
      <c r="K69" s="73" t="s">
        <v>104</v>
      </c>
      <c r="L69" s="194" t="s">
        <v>104</v>
      </c>
      <c r="M69" s="194">
        <f t="shared" ref="M69:R69" si="40">SUM(M68:M68)</f>
        <v>0</v>
      </c>
      <c r="N69" s="194">
        <f t="shared" si="40"/>
        <v>2606641</v>
      </c>
      <c r="O69" s="194">
        <f>SUM(O68:O68)</f>
        <v>2606641</v>
      </c>
      <c r="P69" s="194">
        <f t="shared" si="40"/>
        <v>0</v>
      </c>
      <c r="Q69" s="194"/>
      <c r="R69" s="194">
        <f t="shared" si="40"/>
        <v>0</v>
      </c>
      <c r="S69" s="194"/>
      <c r="T69" s="46">
        <f>N69</f>
        <v>2606641</v>
      </c>
      <c r="U69" s="46">
        <f t="shared" si="39"/>
        <v>2606641</v>
      </c>
    </row>
    <row r="70" spans="1:24" hidden="1">
      <c r="A70" s="310"/>
      <c r="B70" s="69" t="s">
        <v>292</v>
      </c>
      <c r="C70" s="183" t="s">
        <v>226</v>
      </c>
      <c r="D70" s="69"/>
      <c r="E70" s="60"/>
      <c r="F70" s="60"/>
      <c r="G70" s="60"/>
      <c r="H70" s="60"/>
      <c r="I70" s="60"/>
      <c r="J70" s="73"/>
      <c r="K70" s="73"/>
      <c r="L70" s="194"/>
      <c r="M70" s="194"/>
      <c r="N70" s="194">
        <f>P70</f>
        <v>0</v>
      </c>
      <c r="O70" s="194"/>
      <c r="P70" s="194"/>
      <c r="Q70" s="194"/>
      <c r="R70" s="194"/>
      <c r="S70" s="194"/>
      <c r="T70" s="46">
        <f>P70</f>
        <v>0</v>
      </c>
      <c r="U70" s="46">
        <f t="shared" si="39"/>
        <v>0</v>
      </c>
    </row>
    <row r="71" spans="1:24" hidden="1">
      <c r="A71" s="310"/>
      <c r="B71" s="89" t="s">
        <v>225</v>
      </c>
      <c r="C71" s="183" t="s">
        <v>219</v>
      </c>
      <c r="D71" s="64" t="s">
        <v>101</v>
      </c>
      <c r="E71" s="60">
        <v>19</v>
      </c>
      <c r="F71" s="60">
        <v>19</v>
      </c>
      <c r="G71" s="60">
        <v>19</v>
      </c>
      <c r="H71" s="60">
        <v>19</v>
      </c>
      <c r="I71" s="60">
        <v>19</v>
      </c>
      <c r="J71" s="73"/>
      <c r="K71" s="73"/>
      <c r="L71" s="194"/>
      <c r="M71" s="194"/>
      <c r="N71" s="194">
        <f>S71</f>
        <v>0</v>
      </c>
      <c r="O71" s="194"/>
      <c r="P71" s="194"/>
      <c r="Q71" s="194"/>
      <c r="R71" s="194"/>
      <c r="S71" s="194"/>
      <c r="T71" s="46">
        <f>S71</f>
        <v>0</v>
      </c>
      <c r="U71" s="46">
        <f t="shared" si="39"/>
        <v>0</v>
      </c>
    </row>
    <row r="72" spans="1:24" hidden="1">
      <c r="A72" s="310"/>
      <c r="B72" s="89" t="s">
        <v>225</v>
      </c>
      <c r="C72" s="183" t="s">
        <v>226</v>
      </c>
      <c r="D72" s="64" t="s">
        <v>101</v>
      </c>
      <c r="E72" s="60">
        <v>4</v>
      </c>
      <c r="F72" s="60">
        <v>4</v>
      </c>
      <c r="G72" s="60">
        <v>4</v>
      </c>
      <c r="H72" s="60">
        <v>4</v>
      </c>
      <c r="I72" s="60">
        <v>4</v>
      </c>
      <c r="J72" s="73"/>
      <c r="K72" s="73"/>
      <c r="L72" s="194"/>
      <c r="M72" s="194"/>
      <c r="N72" s="194">
        <f>Q72</f>
        <v>0</v>
      </c>
      <c r="O72" s="194"/>
      <c r="P72" s="194"/>
      <c r="Q72" s="194"/>
      <c r="R72" s="194"/>
      <c r="S72" s="194"/>
      <c r="T72" s="46"/>
      <c r="U72" s="46">
        <f t="shared" si="39"/>
        <v>0</v>
      </c>
      <c r="V72" s="85">
        <f>Q72-T72</f>
        <v>0</v>
      </c>
    </row>
    <row r="73" spans="1:24" hidden="1">
      <c r="A73" s="310"/>
      <c r="B73" s="89" t="s">
        <v>291</v>
      </c>
      <c r="C73" s="183" t="s">
        <v>219</v>
      </c>
      <c r="D73" s="64"/>
      <c r="E73" s="60"/>
      <c r="F73" s="60"/>
      <c r="G73" s="60"/>
      <c r="H73" s="60"/>
      <c r="I73" s="60"/>
      <c r="J73" s="73"/>
      <c r="K73" s="73"/>
      <c r="L73" s="194"/>
      <c r="M73" s="194"/>
      <c r="N73" s="194">
        <f>S73</f>
        <v>0</v>
      </c>
      <c r="O73" s="194"/>
      <c r="P73" s="194"/>
      <c r="Q73" s="194"/>
      <c r="R73" s="194"/>
      <c r="S73" s="194"/>
      <c r="T73" s="46"/>
      <c r="U73" s="46"/>
    </row>
    <row r="74" spans="1:24" hidden="1">
      <c r="A74" s="310"/>
      <c r="B74" s="89" t="s">
        <v>307</v>
      </c>
      <c r="C74" s="183" t="s">
        <v>226</v>
      </c>
      <c r="D74" s="64"/>
      <c r="E74" s="60"/>
      <c r="F74" s="60"/>
      <c r="G74" s="60">
        <v>21</v>
      </c>
      <c r="H74" s="60">
        <v>21</v>
      </c>
      <c r="I74" s="60">
        <v>21</v>
      </c>
      <c r="J74" s="73"/>
      <c r="K74" s="73"/>
      <c r="L74" s="194"/>
      <c r="M74" s="194"/>
      <c r="N74" s="194">
        <f>O74</f>
        <v>0</v>
      </c>
      <c r="O74" s="194"/>
      <c r="P74" s="194"/>
      <c r="Q74" s="194"/>
      <c r="R74" s="194"/>
      <c r="S74" s="194"/>
      <c r="T74" s="46"/>
      <c r="U74" s="46">
        <f>T74</f>
        <v>0</v>
      </c>
    </row>
    <row r="75" spans="1:24" hidden="1">
      <c r="A75" s="310"/>
      <c r="B75" s="89" t="s">
        <v>259</v>
      </c>
      <c r="C75" s="183" t="s">
        <v>226</v>
      </c>
      <c r="D75" s="64"/>
      <c r="E75" s="60"/>
      <c r="F75" s="60"/>
      <c r="G75" s="60"/>
      <c r="H75" s="60"/>
      <c r="I75" s="60"/>
      <c r="J75" s="73"/>
      <c r="K75" s="73"/>
      <c r="L75" s="194"/>
      <c r="M75" s="194"/>
      <c r="N75" s="194">
        <f>O75</f>
        <v>0</v>
      </c>
      <c r="O75" s="194"/>
      <c r="P75" s="194"/>
      <c r="Q75" s="194"/>
      <c r="R75" s="194"/>
      <c r="S75" s="194"/>
      <c r="T75" s="46">
        <f>O75</f>
        <v>0</v>
      </c>
      <c r="U75" s="46">
        <f t="shared" si="39"/>
        <v>0</v>
      </c>
    </row>
    <row r="76" spans="1:24" hidden="1">
      <c r="A76" s="310"/>
      <c r="B76" s="89" t="s">
        <v>308</v>
      </c>
      <c r="C76" s="183" t="s">
        <v>226</v>
      </c>
      <c r="D76" s="64"/>
      <c r="E76" s="60"/>
      <c r="F76" s="60"/>
      <c r="G76" s="60"/>
      <c r="H76" s="60"/>
      <c r="I76" s="60"/>
      <c r="J76" s="73"/>
      <c r="K76" s="73"/>
      <c r="L76" s="194"/>
      <c r="M76" s="194"/>
      <c r="N76" s="194">
        <f>P76</f>
        <v>0</v>
      </c>
      <c r="O76" s="194"/>
      <c r="P76" s="194"/>
      <c r="Q76" s="194"/>
      <c r="R76" s="194"/>
      <c r="S76" s="194"/>
      <c r="T76" s="46"/>
      <c r="U76" s="46">
        <f>T76</f>
        <v>0</v>
      </c>
    </row>
    <row r="77" spans="1:24">
      <c r="A77" s="310"/>
      <c r="B77" s="101" t="s">
        <v>112</v>
      </c>
      <c r="C77" s="101"/>
      <c r="D77" s="69"/>
      <c r="E77" s="102">
        <f t="shared" ref="E77:F77" si="41">E55+E62+E67</f>
        <v>528</v>
      </c>
      <c r="F77" s="102">
        <f t="shared" si="41"/>
        <v>528</v>
      </c>
      <c r="G77" s="102">
        <f>G55+G62+G67</f>
        <v>528</v>
      </c>
      <c r="H77" s="102">
        <f t="shared" ref="H77:I77" si="42">H55+H62+H67</f>
        <v>528</v>
      </c>
      <c r="I77" s="102">
        <f t="shared" si="42"/>
        <v>528</v>
      </c>
      <c r="J77" s="104"/>
      <c r="K77" s="104"/>
      <c r="L77" s="138"/>
      <c r="M77" s="138"/>
      <c r="N77" s="138">
        <f>SUM(O77:S77)</f>
        <v>37132766.75284864</v>
      </c>
      <c r="O77" s="138">
        <f>O55+O62+O67+O69+O74+O75</f>
        <v>22521489.000000004</v>
      </c>
      <c r="P77" s="138">
        <f>P55+P62+P67+P69+P70+P71+P72+P76</f>
        <v>6126333.0028316798</v>
      </c>
      <c r="Q77" s="138">
        <f t="shared" ref="Q77" si="43">Q55+Q62+Q67+Q69+Q70+Q71+Q72</f>
        <v>0</v>
      </c>
      <c r="R77" s="138">
        <f>R55+R62+R67+R69+R70+R71+R72+R73</f>
        <v>8484944.7500169594</v>
      </c>
      <c r="S77" s="138">
        <f>S55+S62+S67+S69+S70+S71+S72+S73</f>
        <v>0</v>
      </c>
      <c r="T77" s="138">
        <f>T55+T62+T67+T69+T70+T71+T72+T73+T74+T75+T76</f>
        <v>38236341.442848638</v>
      </c>
      <c r="U77" s="138">
        <f>U55+U62+U67+U69+U70+U71+U72+U73+U74+U75+U76</f>
        <v>38236341.442848638</v>
      </c>
      <c r="V77" s="85">
        <v>8484944.75</v>
      </c>
      <c r="W77" s="85">
        <f>V77-R77</f>
        <v>-1.6959384083747864E-5</v>
      </c>
      <c r="X77" s="80">
        <f>W77/I77</f>
        <v>-3.2120045613158836E-8</v>
      </c>
    </row>
    <row r="78" spans="1:24" ht="82.8">
      <c r="A78" s="310" t="s">
        <v>114</v>
      </c>
      <c r="B78" s="311" t="s">
        <v>237</v>
      </c>
      <c r="C78" s="61" t="s">
        <v>100</v>
      </c>
      <c r="D78" s="62" t="s">
        <v>101</v>
      </c>
      <c r="E78" s="59">
        <v>242</v>
      </c>
      <c r="F78" s="59">
        <v>242</v>
      </c>
      <c r="G78" s="59">
        <v>242</v>
      </c>
      <c r="H78" s="59">
        <v>242</v>
      </c>
      <c r="I78" s="59">
        <v>242</v>
      </c>
      <c r="J78" s="107">
        <f>SUM(K78:M78)</f>
        <v>44579.988983439995</v>
      </c>
      <c r="K78" s="107">
        <f>20483.63+1329.32+1623.27</f>
        <v>23436.22</v>
      </c>
      <c r="L78" s="289">
        <f>4001.99*2.411294+1110.02</f>
        <v>10759.994475059999</v>
      </c>
      <c r="M78" s="289">
        <f>7790.73-13.14656772+2744.41+18.5528757-156.7717996</f>
        <v>10383.77450838</v>
      </c>
      <c r="N78" s="278">
        <f>SUM(O78:R78)</f>
        <v>10788361.683992479</v>
      </c>
      <c r="O78" s="278">
        <f>G78*K78+2.07</f>
        <v>5671567.3100000005</v>
      </c>
      <c r="P78" s="278">
        <f>G78*L78+1.27</f>
        <v>2603919.9329645196</v>
      </c>
      <c r="Q78" s="278"/>
      <c r="R78" s="46">
        <f>G78*M78+1.01</f>
        <v>2512874.4410279598</v>
      </c>
      <c r="S78" s="46"/>
      <c r="T78" s="46">
        <f>N78+840796.01-10000+16900</f>
        <v>11636057.693992479</v>
      </c>
      <c r="U78" s="46">
        <f>T78</f>
        <v>11636057.693992479</v>
      </c>
    </row>
    <row r="79" spans="1:24" ht="82.8">
      <c r="A79" s="310"/>
      <c r="B79" s="311"/>
      <c r="C79" s="63" t="s">
        <v>163</v>
      </c>
      <c r="D79" s="64" t="s">
        <v>101</v>
      </c>
      <c r="E79" s="59" t="s">
        <v>104</v>
      </c>
      <c r="F79" s="59" t="s">
        <v>104</v>
      </c>
      <c r="G79" s="59" t="s">
        <v>104</v>
      </c>
      <c r="H79" s="59" t="s">
        <v>104</v>
      </c>
      <c r="I79" s="59" t="s">
        <v>104</v>
      </c>
      <c r="J79" s="59" t="s">
        <v>104</v>
      </c>
      <c r="K79" s="59" t="s">
        <v>104</v>
      </c>
      <c r="L79" s="123" t="s">
        <v>104</v>
      </c>
      <c r="M79" s="123" t="s">
        <v>104</v>
      </c>
      <c r="N79" s="123"/>
      <c r="O79" s="123"/>
      <c r="P79" s="123" t="s">
        <v>104</v>
      </c>
      <c r="Q79" s="123"/>
      <c r="R79" s="123" t="s">
        <v>104</v>
      </c>
      <c r="S79" s="123"/>
      <c r="T79" s="46"/>
      <c r="U79" s="46"/>
    </row>
    <row r="80" spans="1:24">
      <c r="A80" s="310"/>
      <c r="B80" s="311"/>
      <c r="C80" s="63" t="s">
        <v>171</v>
      </c>
      <c r="D80" s="64" t="s">
        <v>101</v>
      </c>
      <c r="E80" s="59">
        <v>1</v>
      </c>
      <c r="F80" s="59">
        <v>1</v>
      </c>
      <c r="G80" s="59">
        <v>1</v>
      </c>
      <c r="H80" s="59">
        <v>1</v>
      </c>
      <c r="I80" s="59">
        <v>1</v>
      </c>
      <c r="J80" s="75">
        <f t="shared" ref="J80:J84" si="44">K80</f>
        <v>69362.66</v>
      </c>
      <c r="K80" s="75">
        <v>69362.66</v>
      </c>
      <c r="L80" s="123" t="s">
        <v>104</v>
      </c>
      <c r="M80" s="123" t="s">
        <v>104</v>
      </c>
      <c r="N80" s="278">
        <f>O80</f>
        <v>69362.66</v>
      </c>
      <c r="O80" s="278">
        <f>G80*K80</f>
        <v>69362.66</v>
      </c>
      <c r="P80" s="123" t="s">
        <v>104</v>
      </c>
      <c r="Q80" s="123"/>
      <c r="R80" s="123" t="s">
        <v>104</v>
      </c>
      <c r="S80" s="123"/>
      <c r="T80" s="46">
        <f>H80*K80</f>
        <v>69362.66</v>
      </c>
      <c r="U80" s="46">
        <f>I80*K80</f>
        <v>69362.66</v>
      </c>
    </row>
    <row r="81" spans="1:23">
      <c r="A81" s="310"/>
      <c r="B81" s="311"/>
      <c r="C81" s="63" t="s">
        <v>164</v>
      </c>
      <c r="D81" s="64" t="s">
        <v>101</v>
      </c>
      <c r="E81" s="59">
        <v>3</v>
      </c>
      <c r="F81" s="59">
        <v>3</v>
      </c>
      <c r="G81" s="59">
        <v>3</v>
      </c>
      <c r="H81" s="59">
        <v>3</v>
      </c>
      <c r="I81" s="59">
        <v>3</v>
      </c>
      <c r="J81" s="75">
        <f t="shared" si="44"/>
        <v>25589.72</v>
      </c>
      <c r="K81" s="75">
        <v>25589.72</v>
      </c>
      <c r="L81" s="123" t="s">
        <v>104</v>
      </c>
      <c r="M81" s="123" t="s">
        <v>104</v>
      </c>
      <c r="N81" s="278">
        <f>O81</f>
        <v>76769.16</v>
      </c>
      <c r="O81" s="278">
        <f t="shared" ref="O81:O85" si="45">G81*K81</f>
        <v>76769.16</v>
      </c>
      <c r="P81" s="123" t="s">
        <v>104</v>
      </c>
      <c r="Q81" s="123"/>
      <c r="R81" s="123" t="s">
        <v>104</v>
      </c>
      <c r="S81" s="123"/>
      <c r="T81" s="46">
        <f>H81*K81</f>
        <v>76769.16</v>
      </c>
      <c r="U81" s="46">
        <f>I81*K81</f>
        <v>76769.16</v>
      </c>
    </row>
    <row r="82" spans="1:23">
      <c r="A82" s="310"/>
      <c r="B82" s="311"/>
      <c r="C82" s="63" t="s">
        <v>169</v>
      </c>
      <c r="D82" s="64" t="s">
        <v>101</v>
      </c>
      <c r="E82" s="59">
        <v>18</v>
      </c>
      <c r="F82" s="59">
        <v>18</v>
      </c>
      <c r="G82" s="59">
        <v>18</v>
      </c>
      <c r="H82" s="59">
        <v>18</v>
      </c>
      <c r="I82" s="59">
        <v>18</v>
      </c>
      <c r="J82" s="75">
        <f t="shared" si="44"/>
        <v>69362.66</v>
      </c>
      <c r="K82" s="75">
        <v>69362.66</v>
      </c>
      <c r="L82" s="123" t="s">
        <v>104</v>
      </c>
      <c r="M82" s="123" t="s">
        <v>104</v>
      </c>
      <c r="N82" s="278">
        <f t="shared" ref="N82:N84" si="46">O82</f>
        <v>1248527.8800000001</v>
      </c>
      <c r="O82" s="278">
        <f t="shared" si="45"/>
        <v>1248527.8800000001</v>
      </c>
      <c r="P82" s="123" t="s">
        <v>104</v>
      </c>
      <c r="Q82" s="123"/>
      <c r="R82" s="123" t="s">
        <v>104</v>
      </c>
      <c r="S82" s="123"/>
      <c r="T82" s="46">
        <f t="shared" ref="T82:T84" si="47">H82*K82</f>
        <v>1248527.8800000001</v>
      </c>
      <c r="U82" s="46">
        <f t="shared" ref="U82:U84" si="48">I82*K82</f>
        <v>1248527.8800000001</v>
      </c>
    </row>
    <row r="83" spans="1:23">
      <c r="A83" s="310"/>
      <c r="B83" s="311"/>
      <c r="C83" s="63" t="s">
        <v>166</v>
      </c>
      <c r="D83" s="64" t="s">
        <v>101</v>
      </c>
      <c r="E83" s="59">
        <v>5</v>
      </c>
      <c r="F83" s="59">
        <v>5</v>
      </c>
      <c r="G83" s="59">
        <v>5</v>
      </c>
      <c r="H83" s="59">
        <v>5</v>
      </c>
      <c r="I83" s="59">
        <v>5</v>
      </c>
      <c r="J83" s="75">
        <f t="shared" si="44"/>
        <v>66361.320000000007</v>
      </c>
      <c r="K83" s="75">
        <v>66361.320000000007</v>
      </c>
      <c r="L83" s="123" t="s">
        <v>104</v>
      </c>
      <c r="M83" s="123" t="s">
        <v>104</v>
      </c>
      <c r="N83" s="278">
        <f t="shared" si="46"/>
        <v>331806.60000000003</v>
      </c>
      <c r="O83" s="278">
        <f t="shared" si="45"/>
        <v>331806.60000000003</v>
      </c>
      <c r="P83" s="123" t="s">
        <v>104</v>
      </c>
      <c r="Q83" s="123"/>
      <c r="R83" s="123" t="s">
        <v>104</v>
      </c>
      <c r="S83" s="123"/>
      <c r="T83" s="46">
        <f t="shared" si="47"/>
        <v>331806.60000000003</v>
      </c>
      <c r="U83" s="46">
        <f t="shared" si="48"/>
        <v>331806.60000000003</v>
      </c>
    </row>
    <row r="84" spans="1:23">
      <c r="A84" s="310"/>
      <c r="B84" s="311"/>
      <c r="C84" s="63" t="s">
        <v>168</v>
      </c>
      <c r="D84" s="64" t="s">
        <v>101</v>
      </c>
      <c r="E84" s="59">
        <v>1</v>
      </c>
      <c r="F84" s="59">
        <v>1</v>
      </c>
      <c r="G84" s="59">
        <v>1</v>
      </c>
      <c r="H84" s="59">
        <v>1</v>
      </c>
      <c r="I84" s="59">
        <v>1</v>
      </c>
      <c r="J84" s="75">
        <f t="shared" si="44"/>
        <v>23553.439999999999</v>
      </c>
      <c r="K84" s="75">
        <v>23553.439999999999</v>
      </c>
      <c r="L84" s="123" t="s">
        <v>104</v>
      </c>
      <c r="M84" s="123" t="s">
        <v>104</v>
      </c>
      <c r="N84" s="278">
        <f t="shared" si="46"/>
        <v>23553.439999999999</v>
      </c>
      <c r="O84" s="278">
        <f t="shared" si="45"/>
        <v>23553.439999999999</v>
      </c>
      <c r="P84" s="123" t="s">
        <v>104</v>
      </c>
      <c r="Q84" s="123"/>
      <c r="R84" s="123" t="s">
        <v>104</v>
      </c>
      <c r="S84" s="123"/>
      <c r="T84" s="46">
        <f t="shared" si="47"/>
        <v>23553.439999999999</v>
      </c>
      <c r="U84" s="46">
        <f t="shared" si="48"/>
        <v>23553.439999999999</v>
      </c>
    </row>
    <row r="85" spans="1:23" ht="96.6">
      <c r="A85" s="310"/>
      <c r="B85" s="311"/>
      <c r="C85" s="61" t="s">
        <v>105</v>
      </c>
      <c r="D85" s="64" t="s">
        <v>101</v>
      </c>
      <c r="E85" s="59">
        <v>1</v>
      </c>
      <c r="F85" s="59">
        <v>1</v>
      </c>
      <c r="G85" s="59">
        <v>1</v>
      </c>
      <c r="H85" s="59">
        <v>1</v>
      </c>
      <c r="I85" s="59">
        <v>1</v>
      </c>
      <c r="J85" s="75">
        <f>SUM(K85:M85)</f>
        <v>145509.27898344002</v>
      </c>
      <c r="K85" s="75">
        <f>121412.92+1329.32+1623.27</f>
        <v>124365.51000000001</v>
      </c>
      <c r="L85" s="193">
        <f>4001.99*2.411294+1110.02</f>
        <v>10759.994475059999</v>
      </c>
      <c r="M85" s="289">
        <f>7790.73-13.14656772+2744.41+18.5528757-156.7717996</f>
        <v>10383.77450838</v>
      </c>
      <c r="N85" s="278">
        <f>SUM(O85:R85)</f>
        <v>145509.27898344002</v>
      </c>
      <c r="O85" s="278">
        <f t="shared" si="45"/>
        <v>124365.51000000001</v>
      </c>
      <c r="P85" s="278">
        <f>G85*L85</f>
        <v>10759.994475059999</v>
      </c>
      <c r="Q85" s="278"/>
      <c r="R85" s="46">
        <f>G85*M85</f>
        <v>10383.77450838</v>
      </c>
      <c r="S85" s="46"/>
      <c r="T85" s="46">
        <f>N85+3474.36+16900</f>
        <v>165883.63898344</v>
      </c>
      <c r="U85" s="46">
        <f>T85</f>
        <v>165883.63898344</v>
      </c>
    </row>
    <row r="86" spans="1:23">
      <c r="A86" s="310"/>
      <c r="B86" s="311"/>
      <c r="C86" s="66" t="s">
        <v>106</v>
      </c>
      <c r="D86" s="67"/>
      <c r="E86" s="59">
        <f>E78+E85</f>
        <v>243</v>
      </c>
      <c r="F86" s="59">
        <f t="shared" ref="F86:I86" si="49">F78+F85</f>
        <v>243</v>
      </c>
      <c r="G86" s="59">
        <f>G78+G85</f>
        <v>243</v>
      </c>
      <c r="H86" s="59">
        <f t="shared" si="49"/>
        <v>243</v>
      </c>
      <c r="I86" s="59">
        <f t="shared" si="49"/>
        <v>243</v>
      </c>
      <c r="J86" s="71" t="s">
        <v>104</v>
      </c>
      <c r="K86" s="71" t="s">
        <v>104</v>
      </c>
      <c r="L86" s="278" t="s">
        <v>104</v>
      </c>
      <c r="M86" s="278" t="s">
        <v>104</v>
      </c>
      <c r="N86" s="278">
        <f t="shared" ref="N86:T86" si="50">SUM(N78:N85)</f>
        <v>12683890.702975919</v>
      </c>
      <c r="O86" s="278">
        <f t="shared" si="50"/>
        <v>7545952.5600000005</v>
      </c>
      <c r="P86" s="278">
        <f t="shared" si="50"/>
        <v>2614679.9274395797</v>
      </c>
      <c r="Q86" s="278"/>
      <c r="R86" s="278">
        <f t="shared" si="50"/>
        <v>2523258.2155363397</v>
      </c>
      <c r="S86" s="278"/>
      <c r="T86" s="278">
        <f t="shared" si="50"/>
        <v>13551961.072975919</v>
      </c>
      <c r="U86" s="278">
        <f>T86</f>
        <v>13551961.072975919</v>
      </c>
    </row>
    <row r="87" spans="1:23" ht="82.8">
      <c r="A87" s="310"/>
      <c r="B87" s="311" t="s">
        <v>238</v>
      </c>
      <c r="C87" s="61" t="s">
        <v>100</v>
      </c>
      <c r="D87" s="62" t="s">
        <v>101</v>
      </c>
      <c r="E87" s="59">
        <v>224</v>
      </c>
      <c r="F87" s="59">
        <v>224</v>
      </c>
      <c r="G87" s="59">
        <v>224</v>
      </c>
      <c r="H87" s="59">
        <v>224</v>
      </c>
      <c r="I87" s="59">
        <v>224</v>
      </c>
      <c r="J87" s="107">
        <f>SUM(K87:M87)</f>
        <v>58735.508983439999</v>
      </c>
      <c r="K87" s="107">
        <f>34346.05+1622.42+1623.27</f>
        <v>37591.74</v>
      </c>
      <c r="L87" s="289">
        <f>4001.99*2.411294+1110.02</f>
        <v>10759.994475059999</v>
      </c>
      <c r="M87" s="289">
        <f>7790.73-13.14656772+2744.41+18.5528757-156.7717996</f>
        <v>10383.77450838</v>
      </c>
      <c r="N87" s="278">
        <f>SUM(O87:R87)</f>
        <v>13156754.01229056</v>
      </c>
      <c r="O87" s="278">
        <f>G87*K87</f>
        <v>8420549.7599999998</v>
      </c>
      <c r="P87" s="278">
        <f>G87*L87</f>
        <v>2410238.7624134398</v>
      </c>
      <c r="Q87" s="278"/>
      <c r="R87" s="46">
        <f>G87*M87</f>
        <v>2325965.4898771201</v>
      </c>
      <c r="S87" s="46"/>
      <c r="T87" s="46">
        <f>N87+778257.45-335281+16900</f>
        <v>13616630.462290559</v>
      </c>
      <c r="U87" s="46">
        <f>T87</f>
        <v>13616630.462290559</v>
      </c>
    </row>
    <row r="88" spans="1:23" ht="82.8">
      <c r="A88" s="310"/>
      <c r="B88" s="311"/>
      <c r="C88" s="63" t="s">
        <v>163</v>
      </c>
      <c r="D88" s="64" t="s">
        <v>101</v>
      </c>
      <c r="E88" s="59" t="s">
        <v>104</v>
      </c>
      <c r="F88" s="59" t="s">
        <v>104</v>
      </c>
      <c r="G88" s="59" t="s">
        <v>104</v>
      </c>
      <c r="H88" s="59" t="s">
        <v>104</v>
      </c>
      <c r="I88" s="59" t="s">
        <v>104</v>
      </c>
      <c r="J88" s="59" t="s">
        <v>104</v>
      </c>
      <c r="K88" s="59" t="s">
        <v>104</v>
      </c>
      <c r="L88" s="123" t="s">
        <v>104</v>
      </c>
      <c r="M88" s="123" t="s">
        <v>104</v>
      </c>
      <c r="N88" s="278"/>
      <c r="O88" s="278"/>
      <c r="P88" s="123" t="s">
        <v>104</v>
      </c>
      <c r="Q88" s="123"/>
      <c r="R88" s="123" t="s">
        <v>104</v>
      </c>
      <c r="S88" s="123"/>
      <c r="T88" s="46"/>
      <c r="U88" s="46"/>
    </row>
    <row r="89" spans="1:23">
      <c r="A89" s="310"/>
      <c r="B89" s="311"/>
      <c r="C89" s="63" t="s">
        <v>171</v>
      </c>
      <c r="D89" s="64" t="s">
        <v>101</v>
      </c>
      <c r="E89" s="60">
        <v>1</v>
      </c>
      <c r="F89" s="60">
        <v>1</v>
      </c>
      <c r="G89" s="60">
        <v>1</v>
      </c>
      <c r="H89" s="60">
        <v>1</v>
      </c>
      <c r="I89" s="60">
        <v>1</v>
      </c>
      <c r="J89" s="75">
        <f t="shared" ref="J89:J90" si="51">K89</f>
        <v>69362.66</v>
      </c>
      <c r="K89" s="75">
        <v>69362.66</v>
      </c>
      <c r="L89" s="123" t="s">
        <v>104</v>
      </c>
      <c r="M89" s="123" t="s">
        <v>104</v>
      </c>
      <c r="N89" s="278">
        <f t="shared" ref="N89:N90" si="52">O89</f>
        <v>69362.66</v>
      </c>
      <c r="O89" s="278">
        <f>G89*K89</f>
        <v>69362.66</v>
      </c>
      <c r="P89" s="123" t="s">
        <v>104</v>
      </c>
      <c r="Q89" s="123"/>
      <c r="R89" s="123" t="s">
        <v>104</v>
      </c>
      <c r="S89" s="123"/>
      <c r="T89" s="46">
        <f>H89*K89</f>
        <v>69362.66</v>
      </c>
      <c r="U89" s="46">
        <f>I89*K89</f>
        <v>69362.66</v>
      </c>
    </row>
    <row r="90" spans="1:23">
      <c r="A90" s="310"/>
      <c r="B90" s="311"/>
      <c r="C90" s="63" t="s">
        <v>165</v>
      </c>
      <c r="D90" s="64" t="s">
        <v>101</v>
      </c>
      <c r="E90" s="60"/>
      <c r="F90" s="60"/>
      <c r="G90" s="59"/>
      <c r="H90" s="60"/>
      <c r="I90" s="60"/>
      <c r="J90" s="75">
        <f t="shared" si="51"/>
        <v>92468.25</v>
      </c>
      <c r="K90" s="75">
        <v>92468.25</v>
      </c>
      <c r="L90" s="123" t="s">
        <v>104</v>
      </c>
      <c r="M90" s="123" t="s">
        <v>104</v>
      </c>
      <c r="N90" s="278">
        <f t="shared" si="52"/>
        <v>0</v>
      </c>
      <c r="O90" s="278">
        <f t="shared" ref="O90:O92" si="53">G90*K90</f>
        <v>0</v>
      </c>
      <c r="P90" s="123" t="s">
        <v>104</v>
      </c>
      <c r="Q90" s="123"/>
      <c r="R90" s="123" t="s">
        <v>104</v>
      </c>
      <c r="S90" s="123"/>
      <c r="T90" s="46">
        <f t="shared" ref="T90:T91" si="54">H90*K90</f>
        <v>0</v>
      </c>
      <c r="U90" s="46">
        <f t="shared" ref="U90:U91" si="55">I90*K90</f>
        <v>0</v>
      </c>
    </row>
    <row r="91" spans="1:23">
      <c r="A91" s="310"/>
      <c r="B91" s="311"/>
      <c r="C91" s="63" t="s">
        <v>168</v>
      </c>
      <c r="D91" s="64" t="s">
        <v>101</v>
      </c>
      <c r="E91" s="60">
        <v>6</v>
      </c>
      <c r="F91" s="60">
        <v>6</v>
      </c>
      <c r="G91" s="60">
        <v>6</v>
      </c>
      <c r="H91" s="60">
        <v>6</v>
      </c>
      <c r="I91" s="60">
        <v>6</v>
      </c>
      <c r="J91" s="75">
        <f>K91</f>
        <v>23553.439999999999</v>
      </c>
      <c r="K91" s="75">
        <v>23553.439999999999</v>
      </c>
      <c r="L91" s="123" t="s">
        <v>104</v>
      </c>
      <c r="M91" s="123" t="s">
        <v>104</v>
      </c>
      <c r="N91" s="278">
        <f>O91</f>
        <v>141320.63999999998</v>
      </c>
      <c r="O91" s="278">
        <f t="shared" si="53"/>
        <v>141320.63999999998</v>
      </c>
      <c r="P91" s="123" t="s">
        <v>104</v>
      </c>
      <c r="Q91" s="123"/>
      <c r="R91" s="123" t="s">
        <v>104</v>
      </c>
      <c r="S91" s="123"/>
      <c r="T91" s="46">
        <f t="shared" si="54"/>
        <v>141320.63999999998</v>
      </c>
      <c r="U91" s="46">
        <f t="shared" si="55"/>
        <v>141320.63999999998</v>
      </c>
    </row>
    <row r="92" spans="1:23" ht="82.8">
      <c r="A92" s="310"/>
      <c r="B92" s="311"/>
      <c r="C92" s="61" t="s">
        <v>105</v>
      </c>
      <c r="D92" s="64" t="s">
        <v>101</v>
      </c>
      <c r="E92" s="60">
        <v>3</v>
      </c>
      <c r="F92" s="60">
        <v>3</v>
      </c>
      <c r="G92" s="60">
        <v>3</v>
      </c>
      <c r="H92" s="60">
        <v>3</v>
      </c>
      <c r="I92" s="60">
        <v>3</v>
      </c>
      <c r="J92" s="75">
        <f>SUM(K92:M92)</f>
        <v>175797.08898344001</v>
      </c>
      <c r="K92" s="75">
        <f>151407.63+1622.42+1623.27</f>
        <v>154653.32</v>
      </c>
      <c r="L92" s="193">
        <f>4001.99*2.411294+1110.02</f>
        <v>10759.994475059999</v>
      </c>
      <c r="M92" s="289">
        <f>7790.73-13.14656772+2744.41+18.5528757-156.7717996</f>
        <v>10383.77450838</v>
      </c>
      <c r="N92" s="280">
        <f>SUM(O92:R92)</f>
        <v>527391.26695031999</v>
      </c>
      <c r="O92" s="278">
        <f t="shared" si="53"/>
        <v>463959.96</v>
      </c>
      <c r="P92" s="280">
        <f>G92*L92</f>
        <v>32279.983425179998</v>
      </c>
      <c r="Q92" s="280"/>
      <c r="R92" s="46">
        <f>G92*M92</f>
        <v>31151.32352514</v>
      </c>
      <c r="S92" s="46"/>
      <c r="T92" s="46">
        <f>N92+10423.09+16900</f>
        <v>554714.35695031995</v>
      </c>
      <c r="U92" s="46">
        <f>T92</f>
        <v>554714.35695031995</v>
      </c>
    </row>
    <row r="93" spans="1:23">
      <c r="A93" s="310"/>
      <c r="B93" s="187"/>
      <c r="C93" s="66" t="s">
        <v>106</v>
      </c>
      <c r="D93" s="64"/>
      <c r="E93" s="60">
        <f>E87+E92</f>
        <v>227</v>
      </c>
      <c r="F93" s="60">
        <f t="shared" ref="F93:I93" si="56">F87+F92</f>
        <v>227</v>
      </c>
      <c r="G93" s="60">
        <f t="shared" si="56"/>
        <v>227</v>
      </c>
      <c r="H93" s="60">
        <f t="shared" si="56"/>
        <v>227</v>
      </c>
      <c r="I93" s="60">
        <f t="shared" si="56"/>
        <v>227</v>
      </c>
      <c r="J93" s="73" t="s">
        <v>104</v>
      </c>
      <c r="K93" s="73" t="s">
        <v>104</v>
      </c>
      <c r="L93" s="194" t="s">
        <v>104</v>
      </c>
      <c r="M93" s="194" t="s">
        <v>104</v>
      </c>
      <c r="N93" s="194">
        <f t="shared" ref="N93:U93" si="57">SUM(N87:N92)</f>
        <v>13894828.579240881</v>
      </c>
      <c r="O93" s="194">
        <f t="shared" si="57"/>
        <v>9095193.0200000014</v>
      </c>
      <c r="P93" s="194">
        <f t="shared" si="57"/>
        <v>2442518.7458386198</v>
      </c>
      <c r="Q93" s="194"/>
      <c r="R93" s="194">
        <f t="shared" si="57"/>
        <v>2357116.8134022602</v>
      </c>
      <c r="S93" s="194"/>
      <c r="T93" s="194">
        <f t="shared" si="57"/>
        <v>14382028.11924088</v>
      </c>
      <c r="U93" s="194">
        <f t="shared" si="57"/>
        <v>14382028.11924088</v>
      </c>
    </row>
    <row r="94" spans="1:23" ht="82.8">
      <c r="A94" s="310"/>
      <c r="B94" s="311" t="s">
        <v>239</v>
      </c>
      <c r="C94" s="61" t="s">
        <v>100</v>
      </c>
      <c r="D94" s="62" t="s">
        <v>101</v>
      </c>
      <c r="E94" s="60">
        <v>69</v>
      </c>
      <c r="F94" s="60">
        <v>69</v>
      </c>
      <c r="G94" s="60">
        <v>69</v>
      </c>
      <c r="H94" s="60">
        <v>69</v>
      </c>
      <c r="I94" s="60">
        <v>69</v>
      </c>
      <c r="J94" s="107">
        <f>SUM(K94:M94)</f>
        <v>65837.948983440001</v>
      </c>
      <c r="K94" s="107">
        <f>41105.12+1965.79+1623.27</f>
        <v>44694.18</v>
      </c>
      <c r="L94" s="289">
        <f>4001.99*2.411294+1110.02</f>
        <v>10759.994475059999</v>
      </c>
      <c r="M94" s="289">
        <f>7790.73-13.14656772+2744.41+18.5528757-156.7717996</f>
        <v>10383.77450838</v>
      </c>
      <c r="N94" s="280">
        <f>SUM(O94:R94)</f>
        <v>4542818.1908573601</v>
      </c>
      <c r="O94" s="280">
        <f>G94*K94</f>
        <v>3083898.42</v>
      </c>
      <c r="P94" s="280">
        <f>G94*L94-0.289</f>
        <v>742439.32977913995</v>
      </c>
      <c r="Q94" s="280"/>
      <c r="R94" s="46">
        <f>G94*M94</f>
        <v>716480.44107822003</v>
      </c>
      <c r="S94" s="46"/>
      <c r="T94" s="46">
        <f>N94+239731.09+16900</f>
        <v>4799449.28085736</v>
      </c>
      <c r="U94" s="46">
        <f>T94</f>
        <v>4799449.28085736</v>
      </c>
    </row>
    <row r="95" spans="1:23" ht="82.8">
      <c r="A95" s="310"/>
      <c r="B95" s="311"/>
      <c r="C95" s="63" t="s">
        <v>163</v>
      </c>
      <c r="D95" s="64" t="s">
        <v>101</v>
      </c>
      <c r="E95" s="59" t="s">
        <v>104</v>
      </c>
      <c r="F95" s="59" t="s">
        <v>104</v>
      </c>
      <c r="G95" s="59" t="s">
        <v>104</v>
      </c>
      <c r="H95" s="59" t="s">
        <v>104</v>
      </c>
      <c r="I95" s="59" t="s">
        <v>104</v>
      </c>
      <c r="J95" s="59" t="s">
        <v>104</v>
      </c>
      <c r="K95" s="59" t="s">
        <v>104</v>
      </c>
      <c r="L95" s="123" t="s">
        <v>104</v>
      </c>
      <c r="M95" s="123" t="s">
        <v>104</v>
      </c>
      <c r="N95" s="278"/>
      <c r="O95" s="278"/>
      <c r="P95" s="123" t="s">
        <v>104</v>
      </c>
      <c r="Q95" s="123"/>
      <c r="R95" s="123" t="s">
        <v>104</v>
      </c>
      <c r="S95" s="123"/>
      <c r="T95" s="46"/>
      <c r="U95" s="46"/>
    </row>
    <row r="96" spans="1:23">
      <c r="A96" s="310"/>
      <c r="B96" s="311"/>
      <c r="C96" s="63" t="s">
        <v>165</v>
      </c>
      <c r="D96" s="64" t="s">
        <v>101</v>
      </c>
      <c r="E96" s="60"/>
      <c r="F96" s="60"/>
      <c r="G96" s="59">
        <f t="shared" ref="G96:G98" si="58">((E96*8)+(F96*4))/12</f>
        <v>0</v>
      </c>
      <c r="H96" s="60"/>
      <c r="I96" s="60"/>
      <c r="J96" s="75">
        <f>K96</f>
        <v>92468.25</v>
      </c>
      <c r="K96" s="75">
        <v>92468.25</v>
      </c>
      <c r="L96" s="123" t="s">
        <v>104</v>
      </c>
      <c r="M96" s="123" t="s">
        <v>104</v>
      </c>
      <c r="N96" s="278">
        <f>O96</f>
        <v>0</v>
      </c>
      <c r="O96" s="278">
        <f>G96*K96</f>
        <v>0</v>
      </c>
      <c r="P96" s="123" t="s">
        <v>104</v>
      </c>
      <c r="Q96" s="123"/>
      <c r="R96" s="123" t="s">
        <v>104</v>
      </c>
      <c r="S96" s="123"/>
      <c r="T96" s="46">
        <f>H96*K96</f>
        <v>0</v>
      </c>
      <c r="U96" s="46">
        <f>I96*K96</f>
        <v>0</v>
      </c>
      <c r="W96" s="80">
        <v>35861908.469999999</v>
      </c>
    </row>
    <row r="97" spans="1:26">
      <c r="A97" s="310"/>
      <c r="B97" s="311"/>
      <c r="C97" s="63" t="s">
        <v>168</v>
      </c>
      <c r="D97" s="64" t="s">
        <v>101</v>
      </c>
      <c r="E97" s="60"/>
      <c r="F97" s="60"/>
      <c r="G97" s="59">
        <f t="shared" si="58"/>
        <v>0</v>
      </c>
      <c r="H97" s="60"/>
      <c r="I97" s="60"/>
      <c r="J97" s="75">
        <f>K97</f>
        <v>23553.439999999999</v>
      </c>
      <c r="K97" s="75">
        <v>23553.439999999999</v>
      </c>
      <c r="L97" s="123" t="s">
        <v>104</v>
      </c>
      <c r="M97" s="123" t="s">
        <v>104</v>
      </c>
      <c r="N97" s="278">
        <f>O97</f>
        <v>0</v>
      </c>
      <c r="O97" s="278">
        <f>G97*K97</f>
        <v>0</v>
      </c>
      <c r="P97" s="123" t="s">
        <v>104</v>
      </c>
      <c r="Q97" s="123"/>
      <c r="R97" s="123" t="s">
        <v>104</v>
      </c>
      <c r="S97" s="123"/>
      <c r="T97" s="46">
        <f>H97*K97</f>
        <v>0</v>
      </c>
      <c r="U97" s="46">
        <f>I97*K97</f>
        <v>0</v>
      </c>
    </row>
    <row r="98" spans="1:26" ht="82.8">
      <c r="A98" s="310"/>
      <c r="B98" s="311"/>
      <c r="C98" s="61" t="s">
        <v>105</v>
      </c>
      <c r="D98" s="64" t="s">
        <v>101</v>
      </c>
      <c r="E98" s="60"/>
      <c r="F98" s="60"/>
      <c r="G98" s="59">
        <f t="shared" si="58"/>
        <v>0</v>
      </c>
      <c r="H98" s="60"/>
      <c r="I98" s="60"/>
      <c r="J98" s="75">
        <f>SUM(K98:M98)</f>
        <v>206135.17898344001</v>
      </c>
      <c r="K98" s="75">
        <f>181402.35+1965.79+1623.27</f>
        <v>184991.41</v>
      </c>
      <c r="L98" s="193">
        <f>4001.99*2.411294+1110.02</f>
        <v>10759.994475059999</v>
      </c>
      <c r="M98" s="289">
        <f>7790.73-13.14656772+2744.41+18.5528757-156.7717996</f>
        <v>10383.77450838</v>
      </c>
      <c r="N98" s="280"/>
      <c r="O98" s="278">
        <f>G98*K98</f>
        <v>0</v>
      </c>
      <c r="P98" s="280"/>
      <c r="Q98" s="280"/>
      <c r="R98" s="280"/>
      <c r="S98" s="280"/>
      <c r="T98" s="46">
        <f t="shared" si="19"/>
        <v>0</v>
      </c>
      <c r="U98" s="46">
        <f t="shared" si="20"/>
        <v>0</v>
      </c>
    </row>
    <row r="99" spans="1:26">
      <c r="A99" s="310"/>
      <c r="B99" s="187"/>
      <c r="C99" s="66" t="s">
        <v>106</v>
      </c>
      <c r="D99" s="64"/>
      <c r="E99" s="60">
        <f>E94+E98</f>
        <v>69</v>
      </c>
      <c r="F99" s="60">
        <f t="shared" ref="F99:I99" si="59">F94+F98</f>
        <v>69</v>
      </c>
      <c r="G99" s="60">
        <f t="shared" si="59"/>
        <v>69</v>
      </c>
      <c r="H99" s="60">
        <f t="shared" si="59"/>
        <v>69</v>
      </c>
      <c r="I99" s="60">
        <f t="shared" si="59"/>
        <v>69</v>
      </c>
      <c r="J99" s="73" t="s">
        <v>104</v>
      </c>
      <c r="K99" s="73" t="s">
        <v>104</v>
      </c>
      <c r="L99" s="194" t="s">
        <v>104</v>
      </c>
      <c r="M99" s="194" t="s">
        <v>104</v>
      </c>
      <c r="N99" s="194">
        <f t="shared" ref="N99:U99" si="60">SUM(N94:N98)</f>
        <v>4542818.1908573601</v>
      </c>
      <c r="O99" s="194">
        <f t="shared" si="60"/>
        <v>3083898.42</v>
      </c>
      <c r="P99" s="194">
        <f t="shared" si="60"/>
        <v>742439.32977913995</v>
      </c>
      <c r="Q99" s="194"/>
      <c r="R99" s="194">
        <f t="shared" si="60"/>
        <v>716480.44107822003</v>
      </c>
      <c r="S99" s="194"/>
      <c r="T99" s="194">
        <f t="shared" si="60"/>
        <v>4799449.28085736</v>
      </c>
      <c r="U99" s="194">
        <f t="shared" si="60"/>
        <v>4799449.28085736</v>
      </c>
      <c r="W99" s="85">
        <f>T109-W96</f>
        <v>3.07416170835495E-3</v>
      </c>
    </row>
    <row r="100" spans="1:26" ht="100.2" customHeight="1">
      <c r="A100" s="310"/>
      <c r="B100" s="137" t="s">
        <v>240</v>
      </c>
      <c r="C100" s="61" t="s">
        <v>187</v>
      </c>
      <c r="D100" s="64" t="s">
        <v>101</v>
      </c>
      <c r="E100" s="60">
        <v>921</v>
      </c>
      <c r="F100" s="60">
        <v>921</v>
      </c>
      <c r="G100" s="60">
        <v>921</v>
      </c>
      <c r="H100" s="60">
        <v>921</v>
      </c>
      <c r="I100" s="60">
        <v>921</v>
      </c>
      <c r="J100" s="75">
        <f>K100</f>
        <v>3268.55</v>
      </c>
      <c r="K100" s="75">
        <v>3268.55</v>
      </c>
      <c r="L100" s="193" t="s">
        <v>104</v>
      </c>
      <c r="M100" s="193" t="s">
        <v>104</v>
      </c>
      <c r="N100" s="280">
        <f>SUM(O100:R100)</f>
        <v>3128470.0000000005</v>
      </c>
      <c r="O100" s="280">
        <f>K100*G100-0.55+118136</f>
        <v>3128470.0000000005</v>
      </c>
      <c r="P100" s="280" t="s">
        <v>104</v>
      </c>
      <c r="Q100" s="280"/>
      <c r="R100" s="280" t="s">
        <v>104</v>
      </c>
      <c r="S100" s="280"/>
      <c r="T100" s="46">
        <f>N100</f>
        <v>3128470.0000000005</v>
      </c>
      <c r="U100" s="46">
        <f t="shared" ref="U100:U107" si="61">T100</f>
        <v>3128470.0000000005</v>
      </c>
    </row>
    <row r="101" spans="1:26">
      <c r="A101" s="310"/>
      <c r="B101" s="69"/>
      <c r="C101" s="66" t="s">
        <v>106</v>
      </c>
      <c r="D101" s="69"/>
      <c r="E101" s="60">
        <f>SUM(E100:E100)</f>
        <v>921</v>
      </c>
      <c r="F101" s="60">
        <f>SUM(F100:F100)</f>
        <v>921</v>
      </c>
      <c r="G101" s="60">
        <f>SUM(G100:G100)</f>
        <v>921</v>
      </c>
      <c r="H101" s="60">
        <f>SUM(H100:H100)</f>
        <v>921</v>
      </c>
      <c r="I101" s="60">
        <f>SUM(I100:I100)</f>
        <v>921</v>
      </c>
      <c r="J101" s="73" t="s">
        <v>104</v>
      </c>
      <c r="K101" s="73" t="s">
        <v>104</v>
      </c>
      <c r="L101" s="194" t="s">
        <v>104</v>
      </c>
      <c r="M101" s="194">
        <f t="shared" ref="M101:R101" si="62">SUM(M100:M100)</f>
        <v>0</v>
      </c>
      <c r="N101" s="194">
        <f t="shared" si="62"/>
        <v>3128470.0000000005</v>
      </c>
      <c r="O101" s="194">
        <f>SUM(O100:O100)</f>
        <v>3128470.0000000005</v>
      </c>
      <c r="P101" s="194">
        <f t="shared" si="62"/>
        <v>0</v>
      </c>
      <c r="Q101" s="194"/>
      <c r="R101" s="194">
        <f t="shared" si="62"/>
        <v>0</v>
      </c>
      <c r="S101" s="194"/>
      <c r="T101" s="46">
        <f>N101</f>
        <v>3128470.0000000005</v>
      </c>
      <c r="U101" s="46">
        <f t="shared" si="61"/>
        <v>3128470.0000000005</v>
      </c>
    </row>
    <row r="102" spans="1:26" hidden="1">
      <c r="A102" s="310"/>
      <c r="B102" s="69" t="s">
        <v>292</v>
      </c>
      <c r="C102" s="183" t="s">
        <v>226</v>
      </c>
      <c r="D102" s="69"/>
      <c r="E102" s="60"/>
      <c r="F102" s="60"/>
      <c r="G102" s="60"/>
      <c r="H102" s="60"/>
      <c r="I102" s="60"/>
      <c r="J102" s="73"/>
      <c r="K102" s="73"/>
      <c r="L102" s="194"/>
      <c r="M102" s="194"/>
      <c r="N102" s="194">
        <f>P102</f>
        <v>0</v>
      </c>
      <c r="O102" s="194"/>
      <c r="P102" s="194"/>
      <c r="Q102" s="194"/>
      <c r="R102" s="194"/>
      <c r="S102" s="194"/>
      <c r="T102" s="46">
        <f>P102</f>
        <v>0</v>
      </c>
      <c r="U102" s="46">
        <f t="shared" si="61"/>
        <v>0</v>
      </c>
    </row>
    <row r="103" spans="1:26" hidden="1">
      <c r="A103" s="310"/>
      <c r="B103" s="89" t="s">
        <v>225</v>
      </c>
      <c r="C103" s="183" t="s">
        <v>219</v>
      </c>
      <c r="D103" s="64" t="s">
        <v>101</v>
      </c>
      <c r="E103" s="60">
        <v>12</v>
      </c>
      <c r="F103" s="60">
        <v>12</v>
      </c>
      <c r="G103" s="60">
        <v>12</v>
      </c>
      <c r="H103" s="60">
        <v>12</v>
      </c>
      <c r="I103" s="60">
        <v>12</v>
      </c>
      <c r="J103" s="73"/>
      <c r="K103" s="73"/>
      <c r="L103" s="194"/>
      <c r="M103" s="194"/>
      <c r="N103" s="194">
        <f>S103</f>
        <v>0</v>
      </c>
      <c r="O103" s="194"/>
      <c r="P103" s="194"/>
      <c r="Q103" s="194"/>
      <c r="R103" s="194"/>
      <c r="S103" s="194"/>
      <c r="T103" s="46">
        <f>S103</f>
        <v>0</v>
      </c>
      <c r="U103" s="46">
        <f t="shared" si="61"/>
        <v>0</v>
      </c>
    </row>
    <row r="104" spans="1:26" hidden="1">
      <c r="A104" s="310"/>
      <c r="B104" s="89" t="s">
        <v>225</v>
      </c>
      <c r="C104" s="183" t="s">
        <v>226</v>
      </c>
      <c r="D104" s="64" t="s">
        <v>101</v>
      </c>
      <c r="E104" s="60">
        <v>1</v>
      </c>
      <c r="F104" s="60">
        <v>1</v>
      </c>
      <c r="G104" s="60">
        <v>1</v>
      </c>
      <c r="H104" s="60">
        <v>1</v>
      </c>
      <c r="I104" s="60">
        <v>1</v>
      </c>
      <c r="J104" s="73"/>
      <c r="K104" s="73"/>
      <c r="L104" s="194"/>
      <c r="M104" s="194"/>
      <c r="N104" s="194">
        <f>Q104</f>
        <v>0</v>
      </c>
      <c r="O104" s="194"/>
      <c r="P104" s="194"/>
      <c r="Q104" s="194"/>
      <c r="R104" s="194"/>
      <c r="S104" s="194"/>
      <c r="T104" s="46"/>
      <c r="U104" s="46">
        <f t="shared" si="61"/>
        <v>0</v>
      </c>
      <c r="V104" s="85">
        <f>Q104-T104</f>
        <v>0</v>
      </c>
    </row>
    <row r="105" spans="1:26" hidden="1">
      <c r="A105" s="310"/>
      <c r="B105" s="89" t="s">
        <v>291</v>
      </c>
      <c r="C105" s="183" t="s">
        <v>219</v>
      </c>
      <c r="D105" s="64"/>
      <c r="E105" s="60"/>
      <c r="F105" s="60"/>
      <c r="G105" s="60"/>
      <c r="H105" s="60"/>
      <c r="I105" s="60"/>
      <c r="J105" s="73"/>
      <c r="K105" s="73"/>
      <c r="L105" s="194"/>
      <c r="M105" s="194"/>
      <c r="N105" s="194">
        <f>O105+P105+Q105+R105+S105</f>
        <v>0</v>
      </c>
      <c r="O105" s="194"/>
      <c r="P105" s="194"/>
      <c r="Q105" s="194"/>
      <c r="R105" s="194"/>
      <c r="S105" s="194"/>
      <c r="T105" s="46"/>
      <c r="U105" s="46"/>
    </row>
    <row r="106" spans="1:26" hidden="1">
      <c r="A106" s="310"/>
      <c r="B106" s="89" t="s">
        <v>307</v>
      </c>
      <c r="C106" s="183" t="s">
        <v>226</v>
      </c>
      <c r="D106" s="64"/>
      <c r="E106" s="60"/>
      <c r="F106" s="60"/>
      <c r="G106" s="60">
        <v>21</v>
      </c>
      <c r="H106" s="60">
        <v>21</v>
      </c>
      <c r="I106" s="60">
        <v>21</v>
      </c>
      <c r="J106" s="73"/>
      <c r="K106" s="73"/>
      <c r="L106" s="194"/>
      <c r="M106" s="194"/>
      <c r="N106" s="194">
        <f>O106</f>
        <v>0</v>
      </c>
      <c r="O106" s="194"/>
      <c r="P106" s="194"/>
      <c r="Q106" s="194"/>
      <c r="R106" s="194"/>
      <c r="S106" s="194"/>
      <c r="T106" s="46"/>
      <c r="U106" s="46">
        <f>T106</f>
        <v>0</v>
      </c>
    </row>
    <row r="107" spans="1:26" hidden="1">
      <c r="A107" s="310"/>
      <c r="B107" s="89" t="s">
        <v>259</v>
      </c>
      <c r="C107" s="183" t="s">
        <v>226</v>
      </c>
      <c r="D107" s="64"/>
      <c r="E107" s="60"/>
      <c r="F107" s="60"/>
      <c r="G107" s="60"/>
      <c r="H107" s="60"/>
      <c r="I107" s="60"/>
      <c r="J107" s="73"/>
      <c r="K107" s="73"/>
      <c r="L107" s="194"/>
      <c r="M107" s="194"/>
      <c r="N107" s="194">
        <f>O107+P107+Q107+R107+S107</f>
        <v>0</v>
      </c>
      <c r="O107" s="194"/>
      <c r="P107" s="194"/>
      <c r="Q107" s="194"/>
      <c r="R107" s="194"/>
      <c r="S107" s="194"/>
      <c r="T107" s="46">
        <f>O107</f>
        <v>0</v>
      </c>
      <c r="U107" s="46">
        <f t="shared" si="61"/>
        <v>0</v>
      </c>
    </row>
    <row r="108" spans="1:26" hidden="1">
      <c r="A108" s="310"/>
      <c r="B108" s="89" t="s">
        <v>308</v>
      </c>
      <c r="C108" s="183" t="s">
        <v>226</v>
      </c>
      <c r="D108" s="64"/>
      <c r="E108" s="60"/>
      <c r="F108" s="60"/>
      <c r="G108" s="60"/>
      <c r="H108" s="60"/>
      <c r="I108" s="60"/>
      <c r="J108" s="73"/>
      <c r="K108" s="73"/>
      <c r="L108" s="194"/>
      <c r="M108" s="194"/>
      <c r="N108" s="194">
        <f>P108</f>
        <v>0</v>
      </c>
      <c r="O108" s="194"/>
      <c r="P108" s="194"/>
      <c r="Q108" s="194"/>
      <c r="R108" s="194"/>
      <c r="S108" s="194"/>
      <c r="T108" s="46"/>
      <c r="U108" s="46">
        <f>T108</f>
        <v>0</v>
      </c>
    </row>
    <row r="109" spans="1:26">
      <c r="A109" s="310"/>
      <c r="B109" s="101" t="s">
        <v>112</v>
      </c>
      <c r="C109" s="101"/>
      <c r="D109" s="69"/>
      <c r="E109" s="102">
        <f t="shared" ref="E109:F109" si="63">E86+E93+E99</f>
        <v>539</v>
      </c>
      <c r="F109" s="102">
        <f t="shared" si="63"/>
        <v>539</v>
      </c>
      <c r="G109" s="102">
        <f>G86+G93+G99</f>
        <v>539</v>
      </c>
      <c r="H109" s="102">
        <f t="shared" ref="H109:I109" si="64">H86+H93+H99</f>
        <v>539</v>
      </c>
      <c r="I109" s="102">
        <f t="shared" si="64"/>
        <v>539</v>
      </c>
      <c r="J109" s="104"/>
      <c r="K109" s="104"/>
      <c r="L109" s="138"/>
      <c r="M109" s="138"/>
      <c r="N109" s="138">
        <f>SUM(O109:S109)</f>
        <v>34250007.473074161</v>
      </c>
      <c r="O109" s="138">
        <f>O86+O93+O99+O101+O106+O107</f>
        <v>22853514</v>
      </c>
      <c r="P109" s="138">
        <f>P86+P93+P99+P101+P102+P103+P104+P108</f>
        <v>5799638.0030573392</v>
      </c>
      <c r="Q109" s="138">
        <f t="shared" ref="Q109" si="65">Q86+Q93+Q99+Q101+Q102+Q103+Q104</f>
        <v>0</v>
      </c>
      <c r="R109" s="138">
        <f>R86+R93+R99+R101+R102+R103+R104+R105</f>
        <v>5596855.4700168204</v>
      </c>
      <c r="S109" s="138">
        <f>S86+S93+S99+S101+S102+S103+S104+S105</f>
        <v>0</v>
      </c>
      <c r="T109" s="138">
        <f>T86+T93+T99+T101+T102+T103+T104+T105+T106+T107+T108</f>
        <v>35861908.473074161</v>
      </c>
      <c r="U109" s="138">
        <f>U86+U93+U99+U101+U102+U103+U104+U105+U106+U107+U108</f>
        <v>35861908.473074161</v>
      </c>
      <c r="V109" s="80">
        <v>5596855.4699999997</v>
      </c>
      <c r="W109" s="85">
        <f>V109-R109</f>
        <v>-1.6820617020130157E-5</v>
      </c>
      <c r="X109" s="80">
        <f>W109/I109</f>
        <v>-3.1207081670000294E-8</v>
      </c>
      <c r="Z109" s="85"/>
    </row>
    <row r="110" spans="1:26" ht="82.8">
      <c r="A110" s="310" t="s">
        <v>115</v>
      </c>
      <c r="B110" s="311" t="s">
        <v>237</v>
      </c>
      <c r="C110" s="61" t="s">
        <v>100</v>
      </c>
      <c r="D110" s="62" t="s">
        <v>101</v>
      </c>
      <c r="E110" s="59">
        <v>206</v>
      </c>
      <c r="F110" s="59">
        <v>206</v>
      </c>
      <c r="G110" s="59">
        <v>206</v>
      </c>
      <c r="H110" s="59">
        <v>206</v>
      </c>
      <c r="I110" s="59">
        <v>206</v>
      </c>
      <c r="J110" s="107">
        <f>SUM(K110:M110)</f>
        <v>46803.182818729998</v>
      </c>
      <c r="K110" s="107">
        <f>20483.63+1329.32+2453.93</f>
        <v>24266.880000000001</v>
      </c>
      <c r="L110" s="289">
        <f>4001.99*2.411294+805.23</f>
        <v>10455.204475059998</v>
      </c>
      <c r="M110" s="289">
        <f>7790.73-12.94824017+4610.77+41.4078675+62.11180124-410.9730849</f>
        <v>12081.098343669999</v>
      </c>
      <c r="N110" s="278">
        <f>SUM(O110:R110)</f>
        <v>9641452.6106583793</v>
      </c>
      <c r="O110" s="278">
        <f>G110*K110-1.14</f>
        <v>4998976.1400000006</v>
      </c>
      <c r="P110" s="278">
        <f>G110*L110-2</f>
        <v>2153770.1218623598</v>
      </c>
      <c r="Q110" s="278"/>
      <c r="R110" s="46">
        <f>G110*M110+0.09</f>
        <v>2488706.3487960198</v>
      </c>
      <c r="S110" s="46"/>
      <c r="T110" s="46">
        <f>N110+716661.63-50000+39700</f>
        <v>10347814.24065838</v>
      </c>
      <c r="U110" s="46">
        <f>T110</f>
        <v>10347814.24065838</v>
      </c>
    </row>
    <row r="111" spans="1:26" ht="82.8">
      <c r="A111" s="310"/>
      <c r="B111" s="311"/>
      <c r="C111" s="63" t="s">
        <v>163</v>
      </c>
      <c r="D111" s="64" t="s">
        <v>101</v>
      </c>
      <c r="E111" s="59" t="s">
        <v>104</v>
      </c>
      <c r="F111" s="59" t="s">
        <v>104</v>
      </c>
      <c r="G111" s="59" t="s">
        <v>104</v>
      </c>
      <c r="H111" s="59" t="s">
        <v>104</v>
      </c>
      <c r="I111" s="59" t="s">
        <v>104</v>
      </c>
      <c r="J111" s="59" t="s">
        <v>104</v>
      </c>
      <c r="K111" s="59" t="s">
        <v>104</v>
      </c>
      <c r="L111" s="123" t="s">
        <v>104</v>
      </c>
      <c r="M111" s="123" t="s">
        <v>104</v>
      </c>
      <c r="N111" s="278"/>
      <c r="O111" s="278"/>
      <c r="P111" s="123" t="s">
        <v>104</v>
      </c>
      <c r="Q111" s="123"/>
      <c r="R111" s="123" t="s">
        <v>104</v>
      </c>
      <c r="S111" s="123"/>
      <c r="T111" s="46"/>
      <c r="U111" s="46"/>
    </row>
    <row r="112" spans="1:26">
      <c r="A112" s="310"/>
      <c r="B112" s="311"/>
      <c r="C112" s="63" t="s">
        <v>164</v>
      </c>
      <c r="D112" s="64" t="s">
        <v>101</v>
      </c>
      <c r="E112" s="59"/>
      <c r="F112" s="59"/>
      <c r="G112" s="59"/>
      <c r="H112" s="59"/>
      <c r="I112" s="59"/>
      <c r="J112" s="75">
        <f>K112</f>
        <v>25589.72</v>
      </c>
      <c r="K112" s="71">
        <v>25589.72</v>
      </c>
      <c r="L112" s="123" t="s">
        <v>104</v>
      </c>
      <c r="M112" s="123" t="s">
        <v>104</v>
      </c>
      <c r="N112" s="278">
        <f t="shared" ref="N112:N114" si="66">O112</f>
        <v>0</v>
      </c>
      <c r="O112" s="278">
        <f>G112*K112</f>
        <v>0</v>
      </c>
      <c r="P112" s="123" t="s">
        <v>104</v>
      </c>
      <c r="Q112" s="123"/>
      <c r="R112" s="123" t="s">
        <v>104</v>
      </c>
      <c r="S112" s="123"/>
      <c r="T112" s="46">
        <f t="shared" ref="T112:T114" si="67">H112*K112</f>
        <v>0</v>
      </c>
      <c r="U112" s="46">
        <f t="shared" ref="U112:U114" si="68">I112*K112</f>
        <v>0</v>
      </c>
    </row>
    <row r="113" spans="1:21">
      <c r="A113" s="310"/>
      <c r="B113" s="311"/>
      <c r="C113" s="63" t="s">
        <v>169</v>
      </c>
      <c r="D113" s="64" t="s">
        <v>101</v>
      </c>
      <c r="E113" s="59">
        <v>9</v>
      </c>
      <c r="F113" s="59">
        <v>9</v>
      </c>
      <c r="G113" s="59">
        <v>9</v>
      </c>
      <c r="H113" s="59">
        <v>9</v>
      </c>
      <c r="I113" s="59">
        <v>9</v>
      </c>
      <c r="J113" s="75">
        <f>K113</f>
        <v>69362.66</v>
      </c>
      <c r="K113" s="71">
        <v>69362.66</v>
      </c>
      <c r="L113" s="123" t="s">
        <v>104</v>
      </c>
      <c r="M113" s="123" t="s">
        <v>104</v>
      </c>
      <c r="N113" s="278">
        <f t="shared" si="66"/>
        <v>624263.94000000006</v>
      </c>
      <c r="O113" s="278">
        <f t="shared" ref="O113:O118" si="69">G113*K113</f>
        <v>624263.94000000006</v>
      </c>
      <c r="P113" s="123" t="s">
        <v>104</v>
      </c>
      <c r="Q113" s="123"/>
      <c r="R113" s="123" t="s">
        <v>104</v>
      </c>
      <c r="S113" s="123"/>
      <c r="T113" s="46">
        <f t="shared" si="67"/>
        <v>624263.94000000006</v>
      </c>
      <c r="U113" s="46">
        <f t="shared" si="68"/>
        <v>624263.94000000006</v>
      </c>
    </row>
    <row r="114" spans="1:21">
      <c r="A114" s="310"/>
      <c r="B114" s="311"/>
      <c r="C114" s="63" t="s">
        <v>165</v>
      </c>
      <c r="D114" s="64" t="s">
        <v>101</v>
      </c>
      <c r="E114" s="59">
        <v>2</v>
      </c>
      <c r="F114" s="59">
        <v>2</v>
      </c>
      <c r="G114" s="59">
        <v>2</v>
      </c>
      <c r="H114" s="59">
        <v>2</v>
      </c>
      <c r="I114" s="59">
        <v>2</v>
      </c>
      <c r="J114" s="75">
        <f>K114</f>
        <v>92468.25</v>
      </c>
      <c r="K114" s="71">
        <v>92468.25</v>
      </c>
      <c r="L114" s="123" t="s">
        <v>104</v>
      </c>
      <c r="M114" s="123" t="s">
        <v>104</v>
      </c>
      <c r="N114" s="278">
        <f t="shared" si="66"/>
        <v>184936.5</v>
      </c>
      <c r="O114" s="278">
        <f t="shared" si="69"/>
        <v>184936.5</v>
      </c>
      <c r="P114" s="123" t="s">
        <v>104</v>
      </c>
      <c r="Q114" s="123"/>
      <c r="R114" s="123" t="s">
        <v>104</v>
      </c>
      <c r="S114" s="123"/>
      <c r="T114" s="46">
        <f t="shared" si="67"/>
        <v>184936.5</v>
      </c>
      <c r="U114" s="46">
        <f t="shared" si="68"/>
        <v>184936.5</v>
      </c>
    </row>
    <row r="115" spans="1:21">
      <c r="A115" s="310"/>
      <c r="B115" s="311"/>
      <c r="C115" s="63" t="s">
        <v>166</v>
      </c>
      <c r="D115" s="64" t="s">
        <v>101</v>
      </c>
      <c r="E115" s="59">
        <v>24</v>
      </c>
      <c r="F115" s="59">
        <v>24</v>
      </c>
      <c r="G115" s="59">
        <v>24</v>
      </c>
      <c r="H115" s="59">
        <v>24</v>
      </c>
      <c r="I115" s="59">
        <v>24</v>
      </c>
      <c r="J115" s="75">
        <f>K115</f>
        <v>66361.320000000007</v>
      </c>
      <c r="K115" s="75">
        <v>66361.320000000007</v>
      </c>
      <c r="L115" s="123" t="s">
        <v>104</v>
      </c>
      <c r="M115" s="123" t="s">
        <v>104</v>
      </c>
      <c r="N115" s="278">
        <f>O115</f>
        <v>1592671.6800000002</v>
      </c>
      <c r="O115" s="278">
        <f t="shared" si="69"/>
        <v>1592671.6800000002</v>
      </c>
      <c r="P115" s="123" t="s">
        <v>104</v>
      </c>
      <c r="Q115" s="123"/>
      <c r="R115" s="123" t="s">
        <v>104</v>
      </c>
      <c r="S115" s="123"/>
      <c r="T115" s="46">
        <f>H115*K115</f>
        <v>1592671.6800000002</v>
      </c>
      <c r="U115" s="46">
        <f>I115*K115</f>
        <v>1592671.6800000002</v>
      </c>
    </row>
    <row r="116" spans="1:21">
      <c r="A116" s="310"/>
      <c r="B116" s="311"/>
      <c r="C116" s="63" t="s">
        <v>167</v>
      </c>
      <c r="D116" s="64" t="s">
        <v>101</v>
      </c>
      <c r="E116" s="59">
        <v>1</v>
      </c>
      <c r="F116" s="59">
        <v>1</v>
      </c>
      <c r="G116" s="59">
        <v>1</v>
      </c>
      <c r="H116" s="59">
        <v>1</v>
      </c>
      <c r="I116" s="59">
        <v>1</v>
      </c>
      <c r="J116" s="75">
        <f>K116</f>
        <v>174890.83</v>
      </c>
      <c r="K116" s="75">
        <v>174890.83</v>
      </c>
      <c r="L116" s="123" t="s">
        <v>104</v>
      </c>
      <c r="M116" s="123" t="s">
        <v>104</v>
      </c>
      <c r="N116" s="278">
        <f>O116</f>
        <v>174890.83</v>
      </c>
      <c r="O116" s="278">
        <f t="shared" si="69"/>
        <v>174890.83</v>
      </c>
      <c r="P116" s="123" t="s">
        <v>104</v>
      </c>
      <c r="Q116" s="123"/>
      <c r="R116" s="123" t="s">
        <v>104</v>
      </c>
      <c r="S116" s="123"/>
      <c r="T116" s="46">
        <f>H116*K116</f>
        <v>174890.83</v>
      </c>
      <c r="U116" s="46">
        <f>I116*K116</f>
        <v>174890.83</v>
      </c>
    </row>
    <row r="117" spans="1:21">
      <c r="A117" s="310"/>
      <c r="B117" s="311"/>
      <c r="C117" s="63" t="s">
        <v>170</v>
      </c>
      <c r="D117" s="64" t="s">
        <v>101</v>
      </c>
      <c r="E117" s="59">
        <v>1</v>
      </c>
      <c r="F117" s="59">
        <v>1</v>
      </c>
      <c r="G117" s="59">
        <v>1</v>
      </c>
      <c r="H117" s="59">
        <v>1</v>
      </c>
      <c r="I117" s="59">
        <v>1</v>
      </c>
      <c r="J117" s="75">
        <f t="shared" ref="J117:J118" si="70">K117</f>
        <v>99648.29</v>
      </c>
      <c r="K117" s="75">
        <v>99648.29</v>
      </c>
      <c r="L117" s="123" t="s">
        <v>104</v>
      </c>
      <c r="M117" s="123" t="s">
        <v>104</v>
      </c>
      <c r="N117" s="278">
        <f t="shared" ref="N117:N118" si="71">O117</f>
        <v>99648.29</v>
      </c>
      <c r="O117" s="278">
        <f t="shared" si="69"/>
        <v>99648.29</v>
      </c>
      <c r="P117" s="123" t="s">
        <v>104</v>
      </c>
      <c r="Q117" s="123"/>
      <c r="R117" s="123" t="s">
        <v>104</v>
      </c>
      <c r="S117" s="123"/>
      <c r="T117" s="46">
        <f t="shared" ref="T117:T118" si="72">H117*K117</f>
        <v>99648.29</v>
      </c>
      <c r="U117" s="46">
        <f t="shared" ref="U117:U118" si="73">I117*K117</f>
        <v>99648.29</v>
      </c>
    </row>
    <row r="118" spans="1:21">
      <c r="A118" s="310"/>
      <c r="B118" s="311"/>
      <c r="C118" s="63" t="s">
        <v>168</v>
      </c>
      <c r="D118" s="64" t="s">
        <v>101</v>
      </c>
      <c r="E118" s="59">
        <v>1</v>
      </c>
      <c r="F118" s="59">
        <v>1</v>
      </c>
      <c r="G118" s="59">
        <v>1</v>
      </c>
      <c r="H118" s="59">
        <v>1</v>
      </c>
      <c r="I118" s="59">
        <v>1</v>
      </c>
      <c r="J118" s="75">
        <f t="shared" si="70"/>
        <v>23553.439999999999</v>
      </c>
      <c r="K118" s="75">
        <v>23553.439999999999</v>
      </c>
      <c r="L118" s="123" t="s">
        <v>104</v>
      </c>
      <c r="M118" s="123" t="s">
        <v>104</v>
      </c>
      <c r="N118" s="278">
        <f t="shared" si="71"/>
        <v>23553.439999999999</v>
      </c>
      <c r="O118" s="278">
        <f t="shared" si="69"/>
        <v>23553.439999999999</v>
      </c>
      <c r="P118" s="123" t="s">
        <v>104</v>
      </c>
      <c r="Q118" s="123"/>
      <c r="R118" s="123" t="s">
        <v>104</v>
      </c>
      <c r="S118" s="123"/>
      <c r="T118" s="46">
        <f t="shared" si="72"/>
        <v>23553.439999999999</v>
      </c>
      <c r="U118" s="46">
        <f t="shared" si="73"/>
        <v>23553.439999999999</v>
      </c>
    </row>
    <row r="119" spans="1:21" ht="96.6">
      <c r="A119" s="310"/>
      <c r="B119" s="311"/>
      <c r="C119" s="61" t="s">
        <v>105</v>
      </c>
      <c r="D119" s="64" t="s">
        <v>101</v>
      </c>
      <c r="E119" s="59">
        <v>5</v>
      </c>
      <c r="F119" s="59">
        <v>5</v>
      </c>
      <c r="G119" s="59">
        <v>5</v>
      </c>
      <c r="H119" s="59">
        <v>5</v>
      </c>
      <c r="I119" s="59">
        <v>5</v>
      </c>
      <c r="J119" s="75">
        <f>SUM(K119:M119)</f>
        <v>147732.47281872999</v>
      </c>
      <c r="K119" s="75">
        <f>121412.92+1329.32+2453.93</f>
        <v>125196.17</v>
      </c>
      <c r="L119" s="193">
        <f>4001.99*2.411294+805.23</f>
        <v>10455.204475059998</v>
      </c>
      <c r="M119" s="289">
        <f>7790.73-12.94824017+4610.77+41.4078675+62.11180124-410.9730849</f>
        <v>12081.098343669999</v>
      </c>
      <c r="N119" s="278">
        <f>SUM(O119:R119)</f>
        <v>738662.3640936499</v>
      </c>
      <c r="O119" s="278">
        <f>G119*K119</f>
        <v>625980.85</v>
      </c>
      <c r="P119" s="278">
        <f>G119*L119</f>
        <v>52276.022375299988</v>
      </c>
      <c r="Q119" s="278"/>
      <c r="R119" s="46">
        <f>G119*M119</f>
        <v>60405.491718349993</v>
      </c>
      <c r="S119" s="46"/>
      <c r="T119" s="46">
        <f>N119+17394.7+39700</f>
        <v>795757.06409364985</v>
      </c>
      <c r="U119" s="46">
        <f>T119</f>
        <v>795757.06409364985</v>
      </c>
    </row>
    <row r="120" spans="1:21">
      <c r="A120" s="310"/>
      <c r="B120" s="311"/>
      <c r="C120" s="66" t="s">
        <v>106</v>
      </c>
      <c r="D120" s="67"/>
      <c r="E120" s="59">
        <f>E110+E119</f>
        <v>211</v>
      </c>
      <c r="F120" s="59">
        <f t="shared" ref="F120:I120" si="74">F110+F119</f>
        <v>211</v>
      </c>
      <c r="G120" s="59">
        <f t="shared" si="74"/>
        <v>211</v>
      </c>
      <c r="H120" s="59">
        <f t="shared" si="74"/>
        <v>211</v>
      </c>
      <c r="I120" s="59">
        <f t="shared" si="74"/>
        <v>211</v>
      </c>
      <c r="J120" s="71" t="s">
        <v>104</v>
      </c>
      <c r="K120" s="71" t="s">
        <v>104</v>
      </c>
      <c r="L120" s="278" t="s">
        <v>104</v>
      </c>
      <c r="M120" s="278" t="s">
        <v>104</v>
      </c>
      <c r="N120" s="278">
        <f>SUM(N110:N119)</f>
        <v>13080079.654752027</v>
      </c>
      <c r="O120" s="278">
        <f>SUM(O110:O119)</f>
        <v>8324921.6700000018</v>
      </c>
      <c r="P120" s="278">
        <f>SUM(P110:P119)</f>
        <v>2206046.1442376599</v>
      </c>
      <c r="Q120" s="278"/>
      <c r="R120" s="278">
        <f t="shared" ref="R120" si="75">SUM(R110:R119)</f>
        <v>2549111.8405143698</v>
      </c>
      <c r="S120" s="278"/>
      <c r="T120" s="278">
        <f>SUM(T110:T119)</f>
        <v>13843535.984752027</v>
      </c>
      <c r="U120" s="278">
        <f>T120</f>
        <v>13843535.984752027</v>
      </c>
    </row>
    <row r="121" spans="1:21" ht="82.8">
      <c r="A121" s="310"/>
      <c r="B121" s="311" t="s">
        <v>238</v>
      </c>
      <c r="C121" s="61" t="s">
        <v>100</v>
      </c>
      <c r="D121" s="62" t="s">
        <v>101</v>
      </c>
      <c r="E121" s="59">
        <v>238</v>
      </c>
      <c r="F121" s="59">
        <v>238</v>
      </c>
      <c r="G121" s="59">
        <v>238</v>
      </c>
      <c r="H121" s="59">
        <v>238</v>
      </c>
      <c r="I121" s="59">
        <v>238</v>
      </c>
      <c r="J121" s="107">
        <f>SUM(K121:M121)</f>
        <v>60958.702818729995</v>
      </c>
      <c r="K121" s="107">
        <f>34346.05+1622.42+2453.93</f>
        <v>38422.400000000001</v>
      </c>
      <c r="L121" s="289">
        <f>4001.99*2.411294+805.23</f>
        <v>10455.204475059998</v>
      </c>
      <c r="M121" s="289">
        <f>7790.73-12.94824017+4610.77+41.4078675+62.11180124-410.9730849</f>
        <v>12081.098343669999</v>
      </c>
      <c r="N121" s="278">
        <f>SUM(O121:R121)</f>
        <v>14508171.27085774</v>
      </c>
      <c r="O121" s="278">
        <f>G121*K121</f>
        <v>9144531.2000000011</v>
      </c>
      <c r="P121" s="278">
        <f>G121*L121</f>
        <v>2488338.6650642795</v>
      </c>
      <c r="Q121" s="278"/>
      <c r="R121" s="46">
        <f>G121*M121</f>
        <v>2875301.4057934596</v>
      </c>
      <c r="S121" s="46"/>
      <c r="T121" s="46">
        <f>N121+827987.71-231413+39700</f>
        <v>15144445.980857741</v>
      </c>
      <c r="U121" s="46">
        <f>T121</f>
        <v>15144445.980857741</v>
      </c>
    </row>
    <row r="122" spans="1:21" ht="82.8">
      <c r="A122" s="310"/>
      <c r="B122" s="311"/>
      <c r="C122" s="63" t="s">
        <v>163</v>
      </c>
      <c r="D122" s="64" t="s">
        <v>101</v>
      </c>
      <c r="E122" s="59" t="s">
        <v>104</v>
      </c>
      <c r="F122" s="59" t="s">
        <v>104</v>
      </c>
      <c r="G122" s="59" t="s">
        <v>104</v>
      </c>
      <c r="H122" s="59" t="s">
        <v>104</v>
      </c>
      <c r="I122" s="59" t="s">
        <v>104</v>
      </c>
      <c r="J122" s="59" t="s">
        <v>104</v>
      </c>
      <c r="K122" s="59" t="s">
        <v>104</v>
      </c>
      <c r="L122" s="123" t="s">
        <v>104</v>
      </c>
      <c r="M122" s="123" t="s">
        <v>104</v>
      </c>
      <c r="N122" s="278"/>
      <c r="O122" s="278"/>
      <c r="P122" s="123" t="s">
        <v>104</v>
      </c>
      <c r="Q122" s="123"/>
      <c r="R122" s="123" t="s">
        <v>104</v>
      </c>
      <c r="S122" s="123"/>
      <c r="T122" s="46"/>
      <c r="U122" s="46"/>
    </row>
    <row r="123" spans="1:21">
      <c r="A123" s="310"/>
      <c r="B123" s="311"/>
      <c r="C123" s="63" t="s">
        <v>164</v>
      </c>
      <c r="D123" s="64" t="s">
        <v>101</v>
      </c>
      <c r="E123" s="60">
        <v>2</v>
      </c>
      <c r="F123" s="60">
        <v>2</v>
      </c>
      <c r="G123" s="60">
        <v>2</v>
      </c>
      <c r="H123" s="60">
        <v>2</v>
      </c>
      <c r="I123" s="60">
        <v>2</v>
      </c>
      <c r="J123" s="75">
        <f>K123</f>
        <v>25589.72</v>
      </c>
      <c r="K123" s="75">
        <v>25589.72</v>
      </c>
      <c r="L123" s="123" t="s">
        <v>104</v>
      </c>
      <c r="M123" s="123" t="s">
        <v>104</v>
      </c>
      <c r="N123" s="278">
        <f>O123</f>
        <v>51179.44</v>
      </c>
      <c r="O123" s="278">
        <f>G123*K123</f>
        <v>51179.44</v>
      </c>
      <c r="P123" s="123" t="s">
        <v>104</v>
      </c>
      <c r="Q123" s="123"/>
      <c r="R123" s="123" t="s">
        <v>104</v>
      </c>
      <c r="S123" s="123"/>
      <c r="T123" s="46">
        <f>H123*K123</f>
        <v>51179.44</v>
      </c>
      <c r="U123" s="46">
        <f t="shared" ref="U123:U127" si="76">I123*K123</f>
        <v>51179.44</v>
      </c>
    </row>
    <row r="124" spans="1:21">
      <c r="A124" s="310"/>
      <c r="B124" s="311"/>
      <c r="C124" s="63" t="s">
        <v>165</v>
      </c>
      <c r="D124" s="64" t="s">
        <v>101</v>
      </c>
      <c r="E124" s="60">
        <v>2</v>
      </c>
      <c r="F124" s="60">
        <v>2</v>
      </c>
      <c r="G124" s="60">
        <v>2</v>
      </c>
      <c r="H124" s="60">
        <v>2</v>
      </c>
      <c r="I124" s="60">
        <v>2</v>
      </c>
      <c r="J124" s="75">
        <f t="shared" ref="J124:J127" si="77">K124</f>
        <v>92468.25</v>
      </c>
      <c r="K124" s="75">
        <v>92468.25</v>
      </c>
      <c r="L124" s="123" t="s">
        <v>104</v>
      </c>
      <c r="M124" s="123" t="s">
        <v>104</v>
      </c>
      <c r="N124" s="278">
        <f t="shared" ref="N124:N127" si="78">O124</f>
        <v>184936.5</v>
      </c>
      <c r="O124" s="278">
        <f t="shared" ref="O124:O127" si="79">G124*K124</f>
        <v>184936.5</v>
      </c>
      <c r="P124" s="123" t="s">
        <v>104</v>
      </c>
      <c r="Q124" s="123"/>
      <c r="R124" s="123" t="s">
        <v>104</v>
      </c>
      <c r="S124" s="123"/>
      <c r="T124" s="46">
        <f t="shared" ref="T124:T127" si="80">H124*K124</f>
        <v>184936.5</v>
      </c>
      <c r="U124" s="46">
        <f t="shared" si="76"/>
        <v>184936.5</v>
      </c>
    </row>
    <row r="125" spans="1:21">
      <c r="A125" s="310"/>
      <c r="B125" s="311"/>
      <c r="C125" s="63" t="s">
        <v>167</v>
      </c>
      <c r="D125" s="64" t="s">
        <v>101</v>
      </c>
      <c r="E125" s="60">
        <v>2</v>
      </c>
      <c r="F125" s="60">
        <v>2</v>
      </c>
      <c r="G125" s="60">
        <v>2</v>
      </c>
      <c r="H125" s="60">
        <v>2</v>
      </c>
      <c r="I125" s="60">
        <v>2</v>
      </c>
      <c r="J125" s="75">
        <f t="shared" si="77"/>
        <v>266106.15000000002</v>
      </c>
      <c r="K125" s="75">
        <v>266106.15000000002</v>
      </c>
      <c r="L125" s="123"/>
      <c r="M125" s="123"/>
      <c r="N125" s="278">
        <f t="shared" si="78"/>
        <v>532212.30000000005</v>
      </c>
      <c r="O125" s="278">
        <f t="shared" si="79"/>
        <v>532212.30000000005</v>
      </c>
      <c r="P125" s="123" t="s">
        <v>104</v>
      </c>
      <c r="Q125" s="123"/>
      <c r="R125" s="123"/>
      <c r="S125" s="123"/>
      <c r="T125" s="46">
        <f t="shared" si="80"/>
        <v>532212.30000000005</v>
      </c>
      <c r="U125" s="46">
        <f t="shared" si="76"/>
        <v>532212.30000000005</v>
      </c>
    </row>
    <row r="126" spans="1:21">
      <c r="A126" s="310"/>
      <c r="B126" s="311"/>
      <c r="C126" s="63" t="s">
        <v>170</v>
      </c>
      <c r="D126" s="64" t="s">
        <v>101</v>
      </c>
      <c r="E126" s="60">
        <v>1</v>
      </c>
      <c r="F126" s="60">
        <v>1</v>
      </c>
      <c r="G126" s="60">
        <v>1</v>
      </c>
      <c r="H126" s="60">
        <v>1</v>
      </c>
      <c r="I126" s="60">
        <v>1</v>
      </c>
      <c r="J126" s="75">
        <f t="shared" si="77"/>
        <v>32769.75</v>
      </c>
      <c r="K126" s="75">
        <v>32769.75</v>
      </c>
      <c r="L126" s="123"/>
      <c r="M126" s="123"/>
      <c r="N126" s="278">
        <f t="shared" si="78"/>
        <v>32769.75</v>
      </c>
      <c r="O126" s="278">
        <f t="shared" si="79"/>
        <v>32769.75</v>
      </c>
      <c r="P126" s="123" t="s">
        <v>104</v>
      </c>
      <c r="Q126" s="123"/>
      <c r="R126" s="123"/>
      <c r="S126" s="123"/>
      <c r="T126" s="46">
        <f t="shared" si="80"/>
        <v>32769.75</v>
      </c>
      <c r="U126" s="46">
        <f t="shared" si="76"/>
        <v>32769.75</v>
      </c>
    </row>
    <row r="127" spans="1:21">
      <c r="A127" s="310"/>
      <c r="B127" s="311"/>
      <c r="C127" s="63" t="s">
        <v>168</v>
      </c>
      <c r="D127" s="64" t="s">
        <v>101</v>
      </c>
      <c r="E127" s="60">
        <v>1</v>
      </c>
      <c r="F127" s="60">
        <v>1</v>
      </c>
      <c r="G127" s="60">
        <v>1</v>
      </c>
      <c r="H127" s="60">
        <v>1</v>
      </c>
      <c r="I127" s="60">
        <v>1</v>
      </c>
      <c r="J127" s="75">
        <f t="shared" si="77"/>
        <v>23553.439999999999</v>
      </c>
      <c r="K127" s="75">
        <v>23553.439999999999</v>
      </c>
      <c r="L127" s="123" t="s">
        <v>104</v>
      </c>
      <c r="M127" s="123" t="s">
        <v>104</v>
      </c>
      <c r="N127" s="278">
        <f t="shared" si="78"/>
        <v>23553.439999999999</v>
      </c>
      <c r="O127" s="278">
        <f t="shared" si="79"/>
        <v>23553.439999999999</v>
      </c>
      <c r="P127" s="123" t="s">
        <v>104</v>
      </c>
      <c r="Q127" s="123"/>
      <c r="R127" s="123" t="s">
        <v>104</v>
      </c>
      <c r="S127" s="123"/>
      <c r="T127" s="46">
        <f t="shared" si="80"/>
        <v>23553.439999999999</v>
      </c>
      <c r="U127" s="46">
        <f t="shared" si="76"/>
        <v>23553.439999999999</v>
      </c>
    </row>
    <row r="128" spans="1:21" ht="82.8">
      <c r="A128" s="310"/>
      <c r="B128" s="311"/>
      <c r="C128" s="61" t="s">
        <v>105</v>
      </c>
      <c r="D128" s="64" t="s">
        <v>101</v>
      </c>
      <c r="E128" s="60">
        <v>1</v>
      </c>
      <c r="F128" s="60">
        <v>1</v>
      </c>
      <c r="G128" s="60">
        <v>1</v>
      </c>
      <c r="H128" s="60">
        <v>1</v>
      </c>
      <c r="I128" s="60">
        <v>1</v>
      </c>
      <c r="J128" s="75">
        <f>SUM(K128:M128)</f>
        <v>178020.28281872999</v>
      </c>
      <c r="K128" s="75">
        <f>151407.63+1622.42+2453.93</f>
        <v>155483.98000000001</v>
      </c>
      <c r="L128" s="193">
        <f>4001.99*2.411294+805.23</f>
        <v>10455.204475059998</v>
      </c>
      <c r="M128" s="289">
        <f>7790.73-12.94824017+4610.77+41.4078675+62.11180124-410.9730849</f>
        <v>12081.098343669999</v>
      </c>
      <c r="N128" s="280">
        <f>SUM(O128:R128)</f>
        <v>178020.28281872999</v>
      </c>
      <c r="O128" s="280">
        <f>G128*K128</f>
        <v>155483.98000000001</v>
      </c>
      <c r="P128" s="280">
        <f>G128*L128</f>
        <v>10455.204475059998</v>
      </c>
      <c r="Q128" s="280"/>
      <c r="R128" s="46">
        <f>G128*M128</f>
        <v>12081.098343669999</v>
      </c>
      <c r="S128" s="46"/>
      <c r="T128" s="46">
        <f>N128+3478.94+39700</f>
        <v>221199.22281872999</v>
      </c>
      <c r="U128" s="46">
        <f>T128</f>
        <v>221199.22281872999</v>
      </c>
    </row>
    <row r="129" spans="1:24">
      <c r="A129" s="310"/>
      <c r="B129" s="187"/>
      <c r="C129" s="66" t="s">
        <v>106</v>
      </c>
      <c r="D129" s="64"/>
      <c r="E129" s="60">
        <f>E121+E128</f>
        <v>239</v>
      </c>
      <c r="F129" s="60">
        <f t="shared" ref="F129:I129" si="81">F121+F128</f>
        <v>239</v>
      </c>
      <c r="G129" s="60">
        <f t="shared" si="81"/>
        <v>239</v>
      </c>
      <c r="H129" s="60">
        <f t="shared" si="81"/>
        <v>239</v>
      </c>
      <c r="I129" s="60">
        <f t="shared" si="81"/>
        <v>239</v>
      </c>
      <c r="J129" s="73" t="s">
        <v>104</v>
      </c>
      <c r="K129" s="73" t="s">
        <v>104</v>
      </c>
      <c r="L129" s="280" t="s">
        <v>104</v>
      </c>
      <c r="M129" s="280" t="s">
        <v>104</v>
      </c>
      <c r="N129" s="194">
        <f>SUM(N121:N128)</f>
        <v>15510842.983676471</v>
      </c>
      <c r="O129" s="194">
        <f>SUM(O121:O128)</f>
        <v>10124666.610000001</v>
      </c>
      <c r="P129" s="194">
        <f>SUM(P121:P128)</f>
        <v>2498793.8695393396</v>
      </c>
      <c r="Q129" s="194"/>
      <c r="R129" s="194">
        <f t="shared" ref="R129:U129" si="82">SUM(R121:R128)</f>
        <v>2887382.5041371295</v>
      </c>
      <c r="S129" s="194"/>
      <c r="T129" s="194">
        <f t="shared" si="82"/>
        <v>16190296.633676471</v>
      </c>
      <c r="U129" s="194">
        <f t="shared" si="82"/>
        <v>16190296.633676471</v>
      </c>
    </row>
    <row r="130" spans="1:24" ht="82.8">
      <c r="A130" s="310"/>
      <c r="B130" s="311" t="s">
        <v>239</v>
      </c>
      <c r="C130" s="61" t="s">
        <v>100</v>
      </c>
      <c r="D130" s="62" t="s">
        <v>101</v>
      </c>
      <c r="E130" s="60">
        <v>33</v>
      </c>
      <c r="F130" s="60">
        <v>33</v>
      </c>
      <c r="G130" s="60">
        <v>33</v>
      </c>
      <c r="H130" s="60">
        <v>33</v>
      </c>
      <c r="I130" s="60">
        <v>33</v>
      </c>
      <c r="J130" s="107">
        <f>SUM(K130:M130)</f>
        <v>68061.142818730004</v>
      </c>
      <c r="K130" s="107">
        <f>41105.12+1965.79+2453.93</f>
        <v>45524.840000000004</v>
      </c>
      <c r="L130" s="289">
        <f>4001.99*2.411294+805.23</f>
        <v>10455.204475059998</v>
      </c>
      <c r="M130" s="289">
        <f>7790.73-12.94824017+4610.77+41.4078675+62.11180124-410.9730849</f>
        <v>12081.098343669999</v>
      </c>
      <c r="N130" s="280">
        <f>SUM(O130:R130)</f>
        <v>2246017.9530180902</v>
      </c>
      <c r="O130" s="280">
        <f>G130*K130</f>
        <v>1502319.7200000002</v>
      </c>
      <c r="P130" s="280">
        <f>G130*L130+0.24</f>
        <v>345021.98767697992</v>
      </c>
      <c r="Q130" s="280"/>
      <c r="R130" s="46">
        <f>G130*M130</f>
        <v>398676.24534110999</v>
      </c>
      <c r="S130" s="46"/>
      <c r="T130" s="46">
        <f>N130+114805.02+39700</f>
        <v>2400522.9730180902</v>
      </c>
      <c r="U130" s="46">
        <f>T130</f>
        <v>2400522.9730180902</v>
      </c>
    </row>
    <row r="131" spans="1:24" ht="82.8">
      <c r="A131" s="310"/>
      <c r="B131" s="311"/>
      <c r="C131" s="63" t="s">
        <v>163</v>
      </c>
      <c r="D131" s="64" t="s">
        <v>101</v>
      </c>
      <c r="E131" s="59" t="s">
        <v>104</v>
      </c>
      <c r="F131" s="59" t="s">
        <v>104</v>
      </c>
      <c r="G131" s="59" t="s">
        <v>104</v>
      </c>
      <c r="H131" s="59" t="s">
        <v>104</v>
      </c>
      <c r="I131" s="59" t="s">
        <v>104</v>
      </c>
      <c r="J131" s="59" t="s">
        <v>104</v>
      </c>
      <c r="K131" s="59" t="s">
        <v>104</v>
      </c>
      <c r="L131" s="123" t="s">
        <v>104</v>
      </c>
      <c r="M131" s="123" t="s">
        <v>104</v>
      </c>
      <c r="N131" s="278"/>
      <c r="O131" s="278"/>
      <c r="P131" s="123" t="s">
        <v>104</v>
      </c>
      <c r="Q131" s="123"/>
      <c r="R131" s="123" t="s">
        <v>104</v>
      </c>
      <c r="S131" s="123"/>
      <c r="T131" s="46"/>
      <c r="U131" s="46"/>
    </row>
    <row r="132" spans="1:24">
      <c r="A132" s="310"/>
      <c r="B132" s="311"/>
      <c r="C132" s="63" t="s">
        <v>165</v>
      </c>
      <c r="D132" s="64" t="s">
        <v>101</v>
      </c>
      <c r="E132" s="60">
        <v>0</v>
      </c>
      <c r="F132" s="60"/>
      <c r="G132" s="59">
        <f t="shared" ref="G132:G133" si="83">((E132*8)+(F132*4))/12</f>
        <v>0</v>
      </c>
      <c r="H132" s="60">
        <v>0</v>
      </c>
      <c r="I132" s="60">
        <v>0</v>
      </c>
      <c r="J132" s="75">
        <f>K132</f>
        <v>92468.25</v>
      </c>
      <c r="K132" s="75">
        <v>92468.25</v>
      </c>
      <c r="L132" s="123" t="s">
        <v>104</v>
      </c>
      <c r="M132" s="123" t="s">
        <v>104</v>
      </c>
      <c r="N132" s="278">
        <f>O132</f>
        <v>0</v>
      </c>
      <c r="O132" s="278">
        <f>G132*K132</f>
        <v>0</v>
      </c>
      <c r="P132" s="123" t="s">
        <v>104</v>
      </c>
      <c r="Q132" s="123"/>
      <c r="R132" s="123" t="s">
        <v>104</v>
      </c>
      <c r="S132" s="123"/>
      <c r="T132" s="46">
        <f>H132*K132</f>
        <v>0</v>
      </c>
      <c r="U132" s="46">
        <f>I132*K132</f>
        <v>0</v>
      </c>
    </row>
    <row r="133" spans="1:24" ht="82.8">
      <c r="A133" s="310"/>
      <c r="B133" s="311"/>
      <c r="C133" s="61" t="s">
        <v>105</v>
      </c>
      <c r="D133" s="64" t="s">
        <v>101</v>
      </c>
      <c r="E133" s="60"/>
      <c r="F133" s="60">
        <v>0</v>
      </c>
      <c r="G133" s="157">
        <f t="shared" si="83"/>
        <v>0</v>
      </c>
      <c r="H133" s="60">
        <v>0</v>
      </c>
      <c r="I133" s="60">
        <v>0</v>
      </c>
      <c r="J133" s="75">
        <f>SUM(K133:M133)</f>
        <v>208358.37281872999</v>
      </c>
      <c r="K133" s="75">
        <f>181402.35+1965.79+2453.93</f>
        <v>185822.07</v>
      </c>
      <c r="L133" s="193">
        <f>4001.99*2.411294+805.23</f>
        <v>10455.204475059998</v>
      </c>
      <c r="M133" s="289">
        <f>7790.73-12.94824017+4610.77+41.4078675+62.11180124-410.9730849</f>
        <v>12081.098343669999</v>
      </c>
      <c r="N133" s="280"/>
      <c r="O133" s="280">
        <f>K133*G133</f>
        <v>0</v>
      </c>
      <c r="P133" s="280">
        <f>L133*G133</f>
        <v>0</v>
      </c>
      <c r="Q133" s="280"/>
      <c r="R133" s="280"/>
      <c r="S133" s="280"/>
      <c r="T133" s="46">
        <f t="shared" si="19"/>
        <v>0</v>
      </c>
      <c r="U133" s="46">
        <f t="shared" si="20"/>
        <v>0</v>
      </c>
    </row>
    <row r="134" spans="1:24">
      <c r="A134" s="310"/>
      <c r="B134" s="187"/>
      <c r="C134" s="66" t="s">
        <v>106</v>
      </c>
      <c r="D134" s="64"/>
      <c r="E134" s="60">
        <f>E130+E133</f>
        <v>33</v>
      </c>
      <c r="F134" s="60">
        <f t="shared" ref="F134:I134" si="84">F130+F133</f>
        <v>33</v>
      </c>
      <c r="G134" s="60">
        <f t="shared" si="84"/>
        <v>33</v>
      </c>
      <c r="H134" s="60">
        <f t="shared" si="84"/>
        <v>33</v>
      </c>
      <c r="I134" s="60">
        <f t="shared" si="84"/>
        <v>33</v>
      </c>
      <c r="J134" s="73" t="s">
        <v>104</v>
      </c>
      <c r="K134" s="73" t="s">
        <v>104</v>
      </c>
      <c r="L134" s="280" t="s">
        <v>104</v>
      </c>
      <c r="M134" s="280" t="s">
        <v>104</v>
      </c>
      <c r="N134" s="194">
        <f>SUM(N130:N133)</f>
        <v>2246017.9530180902</v>
      </c>
      <c r="O134" s="194">
        <f>SUM(O130:O133)</f>
        <v>1502319.7200000002</v>
      </c>
      <c r="P134" s="194">
        <f>SUM(P130:P133)</f>
        <v>345021.98767697992</v>
      </c>
      <c r="Q134" s="194"/>
      <c r="R134" s="194">
        <f t="shared" ref="R134:U134" si="85">SUM(R130:R133)</f>
        <v>398676.24534110999</v>
      </c>
      <c r="S134" s="194"/>
      <c r="T134" s="194">
        <f t="shared" si="85"/>
        <v>2400522.9730180902</v>
      </c>
      <c r="U134" s="194">
        <f t="shared" si="85"/>
        <v>2400522.9730180902</v>
      </c>
    </row>
    <row r="135" spans="1:24" ht="102" customHeight="1">
      <c r="A135" s="310"/>
      <c r="B135" s="137" t="s">
        <v>240</v>
      </c>
      <c r="C135" s="61" t="s">
        <v>187</v>
      </c>
      <c r="D135" s="64" t="s">
        <v>101</v>
      </c>
      <c r="E135" s="60">
        <v>450</v>
      </c>
      <c r="F135" s="60">
        <v>450</v>
      </c>
      <c r="G135" s="60">
        <v>450</v>
      </c>
      <c r="H135" s="60">
        <v>450</v>
      </c>
      <c r="I135" s="60">
        <v>450</v>
      </c>
      <c r="J135" s="75">
        <f>K135</f>
        <v>3268.55</v>
      </c>
      <c r="K135" s="75">
        <v>3268.55</v>
      </c>
      <c r="L135" s="280" t="s">
        <v>104</v>
      </c>
      <c r="M135" s="280" t="s">
        <v>104</v>
      </c>
      <c r="N135" s="280">
        <f>SUM(O135:R135)</f>
        <v>1522304</v>
      </c>
      <c r="O135" s="280">
        <f>G135*K135-0.5+51457</f>
        <v>1522304</v>
      </c>
      <c r="P135" s="280" t="s">
        <v>104</v>
      </c>
      <c r="Q135" s="280"/>
      <c r="R135" s="280" t="s">
        <v>104</v>
      </c>
      <c r="S135" s="280"/>
      <c r="T135" s="46">
        <f>N135</f>
        <v>1522304</v>
      </c>
      <c r="U135" s="46">
        <f t="shared" ref="U135:U142" si="86">T135</f>
        <v>1522304</v>
      </c>
    </row>
    <row r="136" spans="1:24">
      <c r="A136" s="310"/>
      <c r="B136" s="69"/>
      <c r="C136" s="66" t="s">
        <v>106</v>
      </c>
      <c r="D136" s="69"/>
      <c r="E136" s="60">
        <f>SUM(E135:E135)</f>
        <v>450</v>
      </c>
      <c r="F136" s="60">
        <f>SUM(F135:F135)</f>
        <v>450</v>
      </c>
      <c r="G136" s="60">
        <f>SUM(G135:G135)</f>
        <v>450</v>
      </c>
      <c r="H136" s="60">
        <f>SUM(H135:H135)</f>
        <v>450</v>
      </c>
      <c r="I136" s="60">
        <f>SUM(I135:I135)</f>
        <v>450</v>
      </c>
      <c r="J136" s="73" t="s">
        <v>104</v>
      </c>
      <c r="K136" s="73" t="s">
        <v>104</v>
      </c>
      <c r="L136" s="280" t="s">
        <v>104</v>
      </c>
      <c r="M136" s="194">
        <f t="shared" ref="M136:R136" si="87">SUM(M135:M135)</f>
        <v>0</v>
      </c>
      <c r="N136" s="194">
        <f>SUM(N135:N135)</f>
        <v>1522304</v>
      </c>
      <c r="O136" s="194">
        <f t="shared" si="87"/>
        <v>1522304</v>
      </c>
      <c r="P136" s="194">
        <f t="shared" si="87"/>
        <v>0</v>
      </c>
      <c r="Q136" s="194"/>
      <c r="R136" s="194">
        <f t="shared" si="87"/>
        <v>0</v>
      </c>
      <c r="S136" s="194"/>
      <c r="T136" s="46">
        <f>N136</f>
        <v>1522304</v>
      </c>
      <c r="U136" s="46">
        <f t="shared" si="86"/>
        <v>1522304</v>
      </c>
      <c r="V136" s="85">
        <v>33956659.590000004</v>
      </c>
      <c r="W136" s="85">
        <f>V136-T144</f>
        <v>-1.4465898275375366E-3</v>
      </c>
    </row>
    <row r="137" spans="1:24" hidden="1">
      <c r="A137" s="310"/>
      <c r="B137" s="69" t="s">
        <v>292</v>
      </c>
      <c r="C137" s="183" t="s">
        <v>226</v>
      </c>
      <c r="D137" s="69"/>
      <c r="E137" s="60"/>
      <c r="F137" s="60"/>
      <c r="G137" s="60"/>
      <c r="H137" s="60"/>
      <c r="I137" s="60"/>
      <c r="J137" s="73"/>
      <c r="K137" s="73"/>
      <c r="L137" s="280"/>
      <c r="M137" s="194"/>
      <c r="N137" s="194">
        <f>P137</f>
        <v>0</v>
      </c>
      <c r="O137" s="194"/>
      <c r="P137" s="194"/>
      <c r="Q137" s="194"/>
      <c r="R137" s="194"/>
      <c r="S137" s="194"/>
      <c r="T137" s="46">
        <f>P137</f>
        <v>0</v>
      </c>
      <c r="U137" s="46">
        <f t="shared" si="86"/>
        <v>0</v>
      </c>
      <c r="V137" s="85">
        <f>N120+N129+N134+N136+N137</f>
        <v>32359244.59144659</v>
      </c>
    </row>
    <row r="138" spans="1:24" hidden="1">
      <c r="A138" s="310"/>
      <c r="B138" s="89" t="s">
        <v>225</v>
      </c>
      <c r="C138" s="183" t="s">
        <v>219</v>
      </c>
      <c r="D138" s="64" t="s">
        <v>101</v>
      </c>
      <c r="E138" s="60"/>
      <c r="F138" s="60"/>
      <c r="G138" s="60">
        <v>14</v>
      </c>
      <c r="H138" s="60">
        <v>14</v>
      </c>
      <c r="I138" s="60">
        <v>14</v>
      </c>
      <c r="J138" s="73"/>
      <c r="K138" s="73"/>
      <c r="L138" s="280"/>
      <c r="M138" s="194"/>
      <c r="N138" s="194">
        <f>S138</f>
        <v>0</v>
      </c>
      <c r="O138" s="194"/>
      <c r="P138" s="194"/>
      <c r="Q138" s="194"/>
      <c r="R138" s="194"/>
      <c r="S138" s="194"/>
      <c r="T138" s="46"/>
      <c r="U138" s="46">
        <f t="shared" si="86"/>
        <v>0</v>
      </c>
    </row>
    <row r="139" spans="1:24" hidden="1">
      <c r="A139" s="310"/>
      <c r="B139" s="89" t="s">
        <v>225</v>
      </c>
      <c r="C139" s="183" t="s">
        <v>226</v>
      </c>
      <c r="D139" s="64" t="s">
        <v>101</v>
      </c>
      <c r="E139" s="60"/>
      <c r="F139" s="60"/>
      <c r="G139" s="60"/>
      <c r="H139" s="60"/>
      <c r="I139" s="60"/>
      <c r="J139" s="73"/>
      <c r="K139" s="73"/>
      <c r="L139" s="280"/>
      <c r="M139" s="194"/>
      <c r="N139" s="194">
        <f t="shared" ref="N139:N140" si="88">S139</f>
        <v>0</v>
      </c>
      <c r="O139" s="194"/>
      <c r="P139" s="194"/>
      <c r="Q139" s="194"/>
      <c r="R139" s="194"/>
      <c r="S139" s="194"/>
      <c r="T139" s="46">
        <f>Q139</f>
        <v>0</v>
      </c>
      <c r="U139" s="46">
        <f t="shared" si="86"/>
        <v>0</v>
      </c>
    </row>
    <row r="140" spans="1:24" hidden="1">
      <c r="A140" s="310"/>
      <c r="B140" s="89" t="s">
        <v>291</v>
      </c>
      <c r="C140" s="183" t="s">
        <v>219</v>
      </c>
      <c r="D140" s="64" t="s">
        <v>101</v>
      </c>
      <c r="E140" s="60"/>
      <c r="F140" s="60"/>
      <c r="G140" s="60">
        <v>14</v>
      </c>
      <c r="H140" s="60">
        <v>14</v>
      </c>
      <c r="I140" s="60">
        <v>14</v>
      </c>
      <c r="J140" s="73"/>
      <c r="K140" s="73"/>
      <c r="L140" s="280"/>
      <c r="M140" s="194"/>
      <c r="N140" s="194">
        <f t="shared" si="88"/>
        <v>0</v>
      </c>
      <c r="O140" s="194"/>
      <c r="P140" s="194"/>
      <c r="Q140" s="194"/>
      <c r="R140" s="194"/>
      <c r="S140" s="194"/>
      <c r="T140" s="46"/>
      <c r="U140" s="46"/>
    </row>
    <row r="141" spans="1:24" hidden="1">
      <c r="A141" s="310"/>
      <c r="B141" s="89" t="s">
        <v>307</v>
      </c>
      <c r="C141" s="183" t="s">
        <v>226</v>
      </c>
      <c r="D141" s="64"/>
      <c r="E141" s="60"/>
      <c r="F141" s="60"/>
      <c r="G141" s="60">
        <v>20</v>
      </c>
      <c r="H141" s="60">
        <v>20</v>
      </c>
      <c r="I141" s="60">
        <v>20</v>
      </c>
      <c r="J141" s="73"/>
      <c r="K141" s="73"/>
      <c r="L141" s="280"/>
      <c r="M141" s="194"/>
      <c r="N141" s="194">
        <f>O141</f>
        <v>0</v>
      </c>
      <c r="O141" s="194"/>
      <c r="P141" s="194"/>
      <c r="Q141" s="194"/>
      <c r="R141" s="194"/>
      <c r="S141" s="194"/>
      <c r="T141" s="46"/>
      <c r="U141" s="46">
        <f>T141</f>
        <v>0</v>
      </c>
    </row>
    <row r="142" spans="1:24" hidden="1">
      <c r="A142" s="310"/>
      <c r="B142" s="89" t="s">
        <v>259</v>
      </c>
      <c r="C142" s="183" t="s">
        <v>226</v>
      </c>
      <c r="D142" s="64"/>
      <c r="E142" s="60"/>
      <c r="F142" s="60"/>
      <c r="G142" s="60"/>
      <c r="H142" s="60"/>
      <c r="I142" s="60"/>
      <c r="J142" s="73"/>
      <c r="K142" s="73"/>
      <c r="L142" s="280"/>
      <c r="M142" s="194"/>
      <c r="N142" s="194">
        <f>O142</f>
        <v>0</v>
      </c>
      <c r="O142" s="194"/>
      <c r="P142" s="194"/>
      <c r="Q142" s="194"/>
      <c r="R142" s="194"/>
      <c r="S142" s="194"/>
      <c r="T142" s="46">
        <f>O142</f>
        <v>0</v>
      </c>
      <c r="U142" s="46">
        <f t="shared" si="86"/>
        <v>0</v>
      </c>
    </row>
    <row r="143" spans="1:24" hidden="1">
      <c r="A143" s="310"/>
      <c r="B143" s="89" t="s">
        <v>308</v>
      </c>
      <c r="C143" s="183" t="s">
        <v>226</v>
      </c>
      <c r="D143" s="64"/>
      <c r="E143" s="60"/>
      <c r="F143" s="60"/>
      <c r="G143" s="60"/>
      <c r="H143" s="60"/>
      <c r="I143" s="60"/>
      <c r="J143" s="73"/>
      <c r="K143" s="73"/>
      <c r="L143" s="280"/>
      <c r="M143" s="194"/>
      <c r="N143" s="194">
        <f>P143</f>
        <v>0</v>
      </c>
      <c r="O143" s="194"/>
      <c r="P143" s="194"/>
      <c r="Q143" s="194"/>
      <c r="R143" s="194"/>
      <c r="S143" s="194"/>
      <c r="T143" s="46"/>
      <c r="U143" s="46">
        <f>T143</f>
        <v>0</v>
      </c>
    </row>
    <row r="144" spans="1:24">
      <c r="A144" s="310"/>
      <c r="B144" s="101" t="s">
        <v>112</v>
      </c>
      <c r="C144" s="101"/>
      <c r="D144" s="69"/>
      <c r="E144" s="102">
        <f t="shared" ref="E144:F144" si="89">E120+E129+E134</f>
        <v>483</v>
      </c>
      <c r="F144" s="102">
        <f t="shared" si="89"/>
        <v>483</v>
      </c>
      <c r="G144" s="102">
        <f>G120+G129+G134</f>
        <v>483</v>
      </c>
      <c r="H144" s="102">
        <f t="shared" ref="H144:I144" si="90">H120+H129+H134</f>
        <v>483</v>
      </c>
      <c r="I144" s="102">
        <f t="shared" si="90"/>
        <v>483</v>
      </c>
      <c r="J144" s="104"/>
      <c r="K144" s="104"/>
      <c r="L144" s="138"/>
      <c r="M144" s="138"/>
      <c r="N144" s="138">
        <f>SUM(O144:S144)</f>
        <v>32359244.59144659</v>
      </c>
      <c r="O144" s="223">
        <f>O120+O129+O134+O136+O141+O142</f>
        <v>21474212</v>
      </c>
      <c r="P144" s="138">
        <f>P120+P129+P134+P136+P137+P138+P139+P143</f>
        <v>5049862.0014539789</v>
      </c>
      <c r="Q144" s="138">
        <f t="shared" ref="Q144" si="91">Q120+Q129+Q134+Q136+Q137+Q138+Q139</f>
        <v>0</v>
      </c>
      <c r="R144" s="138">
        <f>R120+R129+R134+R136+R137+R138+R139+R140</f>
        <v>5835170.5899926098</v>
      </c>
      <c r="S144" s="138">
        <f>S120+S129+S134+S136+S137+S138+S139+S140</f>
        <v>0</v>
      </c>
      <c r="T144" s="138">
        <f>T120+T129+T134+T136+T137+T138+T139+T140+T141+T142+T143</f>
        <v>33956659.591446593</v>
      </c>
      <c r="U144" s="138">
        <f>U120+U129+U134+U136+U137+U138+U139+U140+U141+U142+U143</f>
        <v>33956659.591446593</v>
      </c>
      <c r="V144" s="80">
        <v>5835170.5899999999</v>
      </c>
      <c r="W144" s="85">
        <f>V144-R144</f>
        <v>7.390044629573822E-6</v>
      </c>
      <c r="X144" s="80">
        <f>W144/I144</f>
        <v>1.5300299440111431E-8</v>
      </c>
    </row>
    <row r="145" spans="1:26" ht="82.8">
      <c r="A145" s="310" t="s">
        <v>116</v>
      </c>
      <c r="B145" s="312" t="s">
        <v>237</v>
      </c>
      <c r="C145" s="61" t="s">
        <v>100</v>
      </c>
      <c r="D145" s="62" t="s">
        <v>101</v>
      </c>
      <c r="E145" s="59">
        <v>316</v>
      </c>
      <c r="F145" s="59">
        <v>316</v>
      </c>
      <c r="G145" s="59">
        <v>316</v>
      </c>
      <c r="H145" s="59">
        <v>316</v>
      </c>
      <c r="I145" s="59">
        <v>316</v>
      </c>
      <c r="J145" s="107">
        <f>SUM(K145:M145)</f>
        <v>42542.985081119994</v>
      </c>
      <c r="K145" s="107">
        <f>20483.63+1329.32+2182.03</f>
        <v>23994.98</v>
      </c>
      <c r="L145" s="289">
        <f>4001.99*2.411294+803.35</f>
        <v>10453.324475059999</v>
      </c>
      <c r="M145" s="289">
        <f>7790.73-13.0169697+221.21-3.636364+99.39393976</f>
        <v>8094.6806060599993</v>
      </c>
      <c r="N145" s="278">
        <f>SUM(O145:R145)</f>
        <v>13443592.635633919</v>
      </c>
      <c r="O145" s="278">
        <f>G145*K145+7.99</f>
        <v>7582421.6699999999</v>
      </c>
      <c r="P145" s="278">
        <f>G145*L145+0.31</f>
        <v>3303250.8441189597</v>
      </c>
      <c r="Q145" s="278"/>
      <c r="R145" s="46">
        <f>G145*M145+1.05</f>
        <v>2557920.1215149597</v>
      </c>
      <c r="S145" s="46"/>
      <c r="T145" s="46">
        <f>N145+1129246.11-11714</f>
        <v>14561124.745633919</v>
      </c>
      <c r="U145" s="46">
        <f>T145</f>
        <v>14561124.745633919</v>
      </c>
    </row>
    <row r="146" spans="1:26" ht="82.8">
      <c r="A146" s="310"/>
      <c r="B146" s="313"/>
      <c r="C146" s="63" t="s">
        <v>163</v>
      </c>
      <c r="D146" s="64" t="s">
        <v>101</v>
      </c>
      <c r="E146" s="59" t="s">
        <v>104</v>
      </c>
      <c r="F146" s="59" t="s">
        <v>104</v>
      </c>
      <c r="G146" s="59" t="s">
        <v>104</v>
      </c>
      <c r="H146" s="59" t="s">
        <v>104</v>
      </c>
      <c r="I146" s="59" t="s">
        <v>104</v>
      </c>
      <c r="J146" s="59" t="s">
        <v>104</v>
      </c>
      <c r="K146" s="59" t="s">
        <v>104</v>
      </c>
      <c r="L146" s="123" t="s">
        <v>104</v>
      </c>
      <c r="M146" s="123" t="s">
        <v>104</v>
      </c>
      <c r="N146" s="278"/>
      <c r="O146" s="278"/>
      <c r="P146" s="123" t="s">
        <v>104</v>
      </c>
      <c r="Q146" s="123"/>
      <c r="R146" s="123" t="s">
        <v>104</v>
      </c>
      <c r="S146" s="123"/>
      <c r="T146" s="46"/>
      <c r="U146" s="46"/>
    </row>
    <row r="147" spans="1:26">
      <c r="A147" s="310"/>
      <c r="B147" s="313"/>
      <c r="C147" s="63" t="s">
        <v>171</v>
      </c>
      <c r="D147" s="64" t="s">
        <v>101</v>
      </c>
      <c r="E147" s="59">
        <v>1</v>
      </c>
      <c r="F147" s="59">
        <v>1</v>
      </c>
      <c r="G147" s="59">
        <v>1</v>
      </c>
      <c r="H147" s="59">
        <v>1</v>
      </c>
      <c r="I147" s="59">
        <v>1</v>
      </c>
      <c r="J147" s="75">
        <f t="shared" ref="J147:J152" si="92">K147</f>
        <v>69362.66</v>
      </c>
      <c r="K147" s="71">
        <v>69362.66</v>
      </c>
      <c r="L147" s="123"/>
      <c r="M147" s="123"/>
      <c r="N147" s="278">
        <f t="shared" ref="N147:N148" si="93">O147</f>
        <v>69362.66</v>
      </c>
      <c r="O147" s="278">
        <f>G147*K147</f>
        <v>69362.66</v>
      </c>
      <c r="P147" s="123" t="s">
        <v>104</v>
      </c>
      <c r="Q147" s="123"/>
      <c r="R147" s="123"/>
      <c r="S147" s="123"/>
      <c r="T147" s="46">
        <f t="shared" ref="T147:T152" si="94">H147*K147</f>
        <v>69362.66</v>
      </c>
      <c r="U147" s="46">
        <f t="shared" ref="U147:U148" si="95">I147*K147</f>
        <v>69362.66</v>
      </c>
    </row>
    <row r="148" spans="1:26">
      <c r="A148" s="310"/>
      <c r="B148" s="313"/>
      <c r="C148" s="63" t="s">
        <v>169</v>
      </c>
      <c r="D148" s="64" t="s">
        <v>101</v>
      </c>
      <c r="E148" s="59">
        <v>3</v>
      </c>
      <c r="F148" s="59">
        <v>3</v>
      </c>
      <c r="G148" s="59">
        <v>3</v>
      </c>
      <c r="H148" s="59">
        <v>3</v>
      </c>
      <c r="I148" s="59">
        <v>3</v>
      </c>
      <c r="J148" s="75">
        <f t="shared" si="92"/>
        <v>69362.66</v>
      </c>
      <c r="K148" s="71">
        <v>69362.66</v>
      </c>
      <c r="L148" s="123" t="s">
        <v>104</v>
      </c>
      <c r="M148" s="123" t="s">
        <v>104</v>
      </c>
      <c r="N148" s="278">
        <f t="shared" si="93"/>
        <v>208087.98</v>
      </c>
      <c r="O148" s="278">
        <f t="shared" ref="O148:O152" si="96">G148*K148</f>
        <v>208087.98</v>
      </c>
      <c r="P148" s="123" t="s">
        <v>104</v>
      </c>
      <c r="Q148" s="123"/>
      <c r="R148" s="123" t="s">
        <v>104</v>
      </c>
      <c r="S148" s="123"/>
      <c r="T148" s="46">
        <f t="shared" si="94"/>
        <v>208087.98</v>
      </c>
      <c r="U148" s="46">
        <f t="shared" si="95"/>
        <v>208087.98</v>
      </c>
    </row>
    <row r="149" spans="1:26">
      <c r="A149" s="310"/>
      <c r="B149" s="313"/>
      <c r="C149" s="63" t="s">
        <v>166</v>
      </c>
      <c r="D149" s="64" t="s">
        <v>101</v>
      </c>
      <c r="E149" s="59">
        <v>2</v>
      </c>
      <c r="F149" s="59">
        <v>2</v>
      </c>
      <c r="G149" s="59">
        <v>2</v>
      </c>
      <c r="H149" s="59">
        <v>2</v>
      </c>
      <c r="I149" s="59">
        <v>2</v>
      </c>
      <c r="J149" s="75">
        <f t="shared" si="92"/>
        <v>66361.320000000007</v>
      </c>
      <c r="K149" s="75">
        <v>66361.320000000007</v>
      </c>
      <c r="L149" s="123" t="s">
        <v>104</v>
      </c>
      <c r="M149" s="123" t="s">
        <v>104</v>
      </c>
      <c r="N149" s="278">
        <f>O149</f>
        <v>132722.64000000001</v>
      </c>
      <c r="O149" s="278">
        <f t="shared" si="96"/>
        <v>132722.64000000001</v>
      </c>
      <c r="P149" s="123" t="s">
        <v>104</v>
      </c>
      <c r="Q149" s="123"/>
      <c r="R149" s="123" t="s">
        <v>104</v>
      </c>
      <c r="S149" s="123"/>
      <c r="T149" s="46">
        <f t="shared" si="94"/>
        <v>132722.64000000001</v>
      </c>
      <c r="U149" s="46">
        <f>I149*K149</f>
        <v>132722.64000000001</v>
      </c>
    </row>
    <row r="150" spans="1:26">
      <c r="A150" s="310"/>
      <c r="B150" s="313"/>
      <c r="C150" s="63" t="s">
        <v>190</v>
      </c>
      <c r="D150" s="64" t="s">
        <v>101</v>
      </c>
      <c r="E150" s="59">
        <v>1</v>
      </c>
      <c r="F150" s="59">
        <v>1</v>
      </c>
      <c r="G150" s="59">
        <v>1</v>
      </c>
      <c r="H150" s="59">
        <v>1</v>
      </c>
      <c r="I150" s="59">
        <v>1</v>
      </c>
      <c r="J150" s="75">
        <f t="shared" si="92"/>
        <v>178794.98</v>
      </c>
      <c r="K150" s="75">
        <v>178794.98</v>
      </c>
      <c r="L150" s="123" t="s">
        <v>104</v>
      </c>
      <c r="M150" s="123" t="s">
        <v>104</v>
      </c>
      <c r="N150" s="278">
        <f>O150</f>
        <v>178794.98</v>
      </c>
      <c r="O150" s="278">
        <f t="shared" si="96"/>
        <v>178794.98</v>
      </c>
      <c r="P150" s="123" t="s">
        <v>104</v>
      </c>
      <c r="Q150" s="123"/>
      <c r="R150" s="123" t="s">
        <v>104</v>
      </c>
      <c r="S150" s="123"/>
      <c r="T150" s="46">
        <f t="shared" si="94"/>
        <v>178794.98</v>
      </c>
      <c r="U150" s="46">
        <f>I150*K150</f>
        <v>178794.98</v>
      </c>
    </row>
    <row r="151" spans="1:26">
      <c r="A151" s="310"/>
      <c r="B151" s="313"/>
      <c r="C151" s="63" t="s">
        <v>170</v>
      </c>
      <c r="D151" s="64" t="s">
        <v>101</v>
      </c>
      <c r="E151" s="59"/>
      <c r="F151" s="59"/>
      <c r="G151" s="59"/>
      <c r="H151" s="59"/>
      <c r="I151" s="59"/>
      <c r="J151" s="75">
        <f t="shared" si="92"/>
        <v>99648.29</v>
      </c>
      <c r="K151" s="75">
        <v>99648.29</v>
      </c>
      <c r="L151" s="123" t="s">
        <v>104</v>
      </c>
      <c r="M151" s="123" t="s">
        <v>104</v>
      </c>
      <c r="N151" s="278">
        <f>O151</f>
        <v>0</v>
      </c>
      <c r="O151" s="278">
        <f t="shared" si="96"/>
        <v>0</v>
      </c>
      <c r="P151" s="123" t="s">
        <v>104</v>
      </c>
      <c r="Q151" s="123"/>
      <c r="R151" s="123" t="s">
        <v>104</v>
      </c>
      <c r="S151" s="123"/>
      <c r="T151" s="46">
        <f t="shared" si="94"/>
        <v>0</v>
      </c>
      <c r="U151" s="46">
        <f>I151*K151</f>
        <v>0</v>
      </c>
    </row>
    <row r="152" spans="1:26">
      <c r="A152" s="310"/>
      <c r="B152" s="313"/>
      <c r="C152" s="63" t="s">
        <v>168</v>
      </c>
      <c r="D152" s="64" t="s">
        <v>101</v>
      </c>
      <c r="E152" s="59"/>
      <c r="F152" s="59"/>
      <c r="G152" s="59"/>
      <c r="H152" s="59"/>
      <c r="I152" s="59"/>
      <c r="J152" s="75">
        <f t="shared" si="92"/>
        <v>23553.439999999999</v>
      </c>
      <c r="K152" s="75">
        <v>23553.439999999999</v>
      </c>
      <c r="L152" s="123" t="s">
        <v>104</v>
      </c>
      <c r="M152" s="123" t="s">
        <v>104</v>
      </c>
      <c r="N152" s="278">
        <f>O152</f>
        <v>0</v>
      </c>
      <c r="O152" s="278">
        <f t="shared" si="96"/>
        <v>0</v>
      </c>
      <c r="P152" s="123" t="s">
        <v>104</v>
      </c>
      <c r="Q152" s="123"/>
      <c r="R152" s="123" t="s">
        <v>104</v>
      </c>
      <c r="S152" s="123"/>
      <c r="T152" s="46">
        <f t="shared" si="94"/>
        <v>0</v>
      </c>
      <c r="U152" s="46">
        <f>I152*K152</f>
        <v>0</v>
      </c>
    </row>
    <row r="153" spans="1:26" ht="96.6">
      <c r="A153" s="310"/>
      <c r="B153" s="313"/>
      <c r="C153" s="61" t="s">
        <v>105</v>
      </c>
      <c r="D153" s="64" t="s">
        <v>101</v>
      </c>
      <c r="E153" s="59">
        <v>2</v>
      </c>
      <c r="F153" s="59">
        <v>2</v>
      </c>
      <c r="G153" s="59">
        <v>2</v>
      </c>
      <c r="H153" s="59">
        <v>2</v>
      </c>
      <c r="I153" s="59">
        <v>2</v>
      </c>
      <c r="J153" s="75">
        <f>SUM(K153:M153)</f>
        <v>143472.27508111999</v>
      </c>
      <c r="K153" s="75">
        <f>121412.92+1329.32+2182.03</f>
        <v>124924.27</v>
      </c>
      <c r="L153" s="193">
        <f>4001.99*2.411294+803.35</f>
        <v>10453.324475059999</v>
      </c>
      <c r="M153" s="289">
        <f>7790.73-13.0169697+221.21-3.636364+99.39393976</f>
        <v>8094.6806060599993</v>
      </c>
      <c r="N153" s="278">
        <f>SUM(O153:R153)</f>
        <v>286944.55016223999</v>
      </c>
      <c r="O153" s="278">
        <f>G153*K153</f>
        <v>249848.54</v>
      </c>
      <c r="P153" s="278">
        <f>G153*L153</f>
        <v>20906.648950119998</v>
      </c>
      <c r="Q153" s="278"/>
      <c r="R153" s="46">
        <f>G153*M153</f>
        <v>16189.361212119999</v>
      </c>
      <c r="S153" s="46"/>
      <c r="T153" s="46">
        <f>N153+7147.13-11714</f>
        <v>282377.68016223999</v>
      </c>
      <c r="U153" s="46">
        <f>T153</f>
        <v>282377.68016223999</v>
      </c>
    </row>
    <row r="154" spans="1:26" ht="96.6">
      <c r="A154" s="310"/>
      <c r="B154" s="313"/>
      <c r="C154" s="61" t="s">
        <v>117</v>
      </c>
      <c r="D154" s="64" t="s">
        <v>101</v>
      </c>
      <c r="E154" s="59">
        <v>0</v>
      </c>
      <c r="F154" s="59">
        <v>0</v>
      </c>
      <c r="G154" s="157">
        <f t="shared" ref="G154:G169" si="97">((E154*8)+(F154*4))/12</f>
        <v>0</v>
      </c>
      <c r="H154" s="59">
        <v>0</v>
      </c>
      <c r="I154" s="59">
        <v>0</v>
      </c>
      <c r="J154" s="75">
        <f>K154</f>
        <v>21480.1</v>
      </c>
      <c r="K154" s="75">
        <v>21480.1</v>
      </c>
      <c r="L154" s="193" t="s">
        <v>104</v>
      </c>
      <c r="M154" s="193" t="s">
        <v>104</v>
      </c>
      <c r="N154" s="278">
        <f>SUM(O154:R154)</f>
        <v>0</v>
      </c>
      <c r="O154" s="278">
        <f>G154*K154</f>
        <v>0</v>
      </c>
      <c r="P154" s="278"/>
      <c r="Q154" s="278"/>
      <c r="R154" s="278"/>
      <c r="S154" s="278"/>
      <c r="T154" s="46">
        <f t="shared" ref="T154:T169" si="98">H154*J154</f>
        <v>0</v>
      </c>
      <c r="U154" s="46">
        <f t="shared" ref="U154:U169" si="99">I154*J154</f>
        <v>0</v>
      </c>
    </row>
    <row r="155" spans="1:26">
      <c r="A155" s="310"/>
      <c r="B155" s="314"/>
      <c r="C155" s="66" t="s">
        <v>106</v>
      </c>
      <c r="D155" s="67"/>
      <c r="E155" s="59">
        <f>E145+E153</f>
        <v>318</v>
      </c>
      <c r="F155" s="59">
        <f>F145+F153</f>
        <v>318</v>
      </c>
      <c r="G155" s="59">
        <f>G145+G153</f>
        <v>318</v>
      </c>
      <c r="H155" s="59">
        <f>H145+H153</f>
        <v>318</v>
      </c>
      <c r="I155" s="59">
        <f>I145+I153</f>
        <v>318</v>
      </c>
      <c r="J155" s="71" t="s">
        <v>104</v>
      </c>
      <c r="K155" s="71" t="s">
        <v>104</v>
      </c>
      <c r="L155" s="278" t="s">
        <v>104</v>
      </c>
      <c r="M155" s="278" t="s">
        <v>104</v>
      </c>
      <c r="N155" s="278">
        <f>SUM(N145:N154)</f>
        <v>14319505.445796162</v>
      </c>
      <c r="O155" s="278">
        <f>SUM(O145:O154)</f>
        <v>8421238.4700000007</v>
      </c>
      <c r="P155" s="278">
        <f>SUM(P145:P154)</f>
        <v>3324157.4930690797</v>
      </c>
      <c r="Q155" s="278"/>
      <c r="R155" s="278">
        <f>SUM(R145:R154)</f>
        <v>2574109.4827270797</v>
      </c>
      <c r="S155" s="278"/>
      <c r="T155" s="278">
        <f>SUM(T145:T154)</f>
        <v>15432470.68579616</v>
      </c>
      <c r="U155" s="278">
        <f>SUM(U145:U154)</f>
        <v>15432470.68579616</v>
      </c>
      <c r="Z155" s="85"/>
    </row>
    <row r="156" spans="1:26" ht="82.8">
      <c r="A156" s="310"/>
      <c r="B156" s="312" t="s">
        <v>238</v>
      </c>
      <c r="C156" s="61" t="s">
        <v>100</v>
      </c>
      <c r="D156" s="62" t="s">
        <v>101</v>
      </c>
      <c r="E156" s="59">
        <v>196</v>
      </c>
      <c r="F156" s="59">
        <v>196</v>
      </c>
      <c r="G156" s="59">
        <v>196</v>
      </c>
      <c r="H156" s="59">
        <v>196</v>
      </c>
      <c r="I156" s="59">
        <v>196</v>
      </c>
      <c r="J156" s="107">
        <f>SUM(K156:M156)</f>
        <v>56698.505081119998</v>
      </c>
      <c r="K156" s="107">
        <f>34346.05+1622.42+2182.03</f>
        <v>38150.5</v>
      </c>
      <c r="L156" s="289">
        <f>4001.99*2.411294+803.35</f>
        <v>10453.324475059999</v>
      </c>
      <c r="M156" s="289">
        <f>7790.73-13.0169697+221.21-3.636364+99.39393976</f>
        <v>8094.6806060599993</v>
      </c>
      <c r="N156" s="278">
        <f>SUM(O156:R156)</f>
        <v>11112906.995899519</v>
      </c>
      <c r="O156" s="278">
        <f>G156*K156</f>
        <v>7477498</v>
      </c>
      <c r="P156" s="278">
        <f>G156*L156</f>
        <v>2048851.5971117597</v>
      </c>
      <c r="Q156" s="278"/>
      <c r="R156" s="46">
        <f>G156*M156</f>
        <v>1586557.3987877599</v>
      </c>
      <c r="S156" s="46"/>
      <c r="T156" s="46">
        <f>N156+700418.47-11714</f>
        <v>11801611.46589952</v>
      </c>
      <c r="U156" s="46">
        <f>T156</f>
        <v>11801611.46589952</v>
      </c>
    </row>
    <row r="157" spans="1:26" ht="96.6">
      <c r="A157" s="310"/>
      <c r="B157" s="313"/>
      <c r="C157" s="61" t="s">
        <v>118</v>
      </c>
      <c r="D157" s="62" t="s">
        <v>101</v>
      </c>
      <c r="E157" s="59">
        <v>206</v>
      </c>
      <c r="F157" s="59">
        <v>206</v>
      </c>
      <c r="G157" s="59">
        <v>206</v>
      </c>
      <c r="H157" s="59">
        <v>206</v>
      </c>
      <c r="I157" s="59">
        <v>206</v>
      </c>
      <c r="J157" s="107">
        <f>SUM(K157:M157)</f>
        <v>60135.315081119996</v>
      </c>
      <c r="K157" s="107">
        <f>37782.86+1622.42+2182.03</f>
        <v>41587.31</v>
      </c>
      <c r="L157" s="289">
        <f>4001.99*2.411294+803.35</f>
        <v>10453.324475059999</v>
      </c>
      <c r="M157" s="289">
        <f>7790.73-13.0169697+221.21-3.636364+99.39393976</f>
        <v>8094.6806060599993</v>
      </c>
      <c r="N157" s="278">
        <f>SUM(O157:R157)</f>
        <v>12387874.90671072</v>
      </c>
      <c r="O157" s="278">
        <f>G157*K157</f>
        <v>8566985.8599999994</v>
      </c>
      <c r="P157" s="278">
        <f>G157*L157</f>
        <v>2153384.8418623595</v>
      </c>
      <c r="Q157" s="278"/>
      <c r="R157" s="46">
        <f>G157*M157</f>
        <v>1667504.2048483598</v>
      </c>
      <c r="S157" s="46"/>
      <c r="T157" s="46">
        <f>N157+736154.11-410043-11714</f>
        <v>12702272.016710719</v>
      </c>
      <c r="U157" s="46">
        <f>T157</f>
        <v>12702272.016710719</v>
      </c>
    </row>
    <row r="158" spans="1:26" ht="82.8">
      <c r="A158" s="310"/>
      <c r="B158" s="313"/>
      <c r="C158" s="63" t="s">
        <v>102</v>
      </c>
      <c r="D158" s="64" t="s">
        <v>101</v>
      </c>
      <c r="E158" s="59" t="s">
        <v>104</v>
      </c>
      <c r="F158" s="59" t="s">
        <v>104</v>
      </c>
      <c r="G158" s="59" t="s">
        <v>104</v>
      </c>
      <c r="H158" s="59" t="s">
        <v>104</v>
      </c>
      <c r="I158" s="59" t="s">
        <v>104</v>
      </c>
      <c r="J158" s="59" t="s">
        <v>104</v>
      </c>
      <c r="K158" s="59" t="s">
        <v>104</v>
      </c>
      <c r="L158" s="123" t="s">
        <v>104</v>
      </c>
      <c r="M158" s="123" t="s">
        <v>104</v>
      </c>
      <c r="N158" s="278"/>
      <c r="O158" s="278"/>
      <c r="P158" s="123" t="s">
        <v>104</v>
      </c>
      <c r="Q158" s="123"/>
      <c r="R158" s="123" t="s">
        <v>104</v>
      </c>
      <c r="S158" s="123"/>
      <c r="T158" s="46"/>
      <c r="U158" s="46"/>
    </row>
    <row r="159" spans="1:26">
      <c r="A159" s="310"/>
      <c r="B159" s="313"/>
      <c r="C159" s="63" t="s">
        <v>171</v>
      </c>
      <c r="D159" s="64" t="s">
        <v>101</v>
      </c>
      <c r="E159" s="60">
        <v>1</v>
      </c>
      <c r="F159" s="60">
        <v>1</v>
      </c>
      <c r="G159" s="60">
        <v>1</v>
      </c>
      <c r="H159" s="60">
        <v>1</v>
      </c>
      <c r="I159" s="60">
        <v>1</v>
      </c>
      <c r="J159" s="75">
        <f>K159</f>
        <v>69362.66</v>
      </c>
      <c r="K159" s="75">
        <v>69362.66</v>
      </c>
      <c r="L159" s="123" t="s">
        <v>104</v>
      </c>
      <c r="M159" s="123" t="s">
        <v>104</v>
      </c>
      <c r="N159" s="278">
        <f>O159</f>
        <v>69362.66</v>
      </c>
      <c r="O159" s="278">
        <f>G159*K159</f>
        <v>69362.66</v>
      </c>
      <c r="P159" s="123" t="s">
        <v>104</v>
      </c>
      <c r="Q159" s="123"/>
      <c r="R159" s="123" t="s">
        <v>104</v>
      </c>
      <c r="S159" s="123"/>
      <c r="T159" s="46">
        <f>H159*K159</f>
        <v>69362.66</v>
      </c>
      <c r="U159" s="46">
        <f>I159*K159</f>
        <v>69362.66</v>
      </c>
    </row>
    <row r="160" spans="1:26">
      <c r="A160" s="310"/>
      <c r="B160" s="313"/>
      <c r="C160" s="63" t="s">
        <v>164</v>
      </c>
      <c r="D160" s="64" t="s">
        <v>101</v>
      </c>
      <c r="E160" s="60"/>
      <c r="F160" s="60"/>
      <c r="G160" s="59"/>
      <c r="H160" s="60"/>
      <c r="I160" s="60"/>
      <c r="J160" s="75">
        <f>K160</f>
        <v>25589.72</v>
      </c>
      <c r="K160" s="75">
        <v>25589.72</v>
      </c>
      <c r="L160" s="123" t="s">
        <v>104</v>
      </c>
      <c r="M160" s="123" t="s">
        <v>104</v>
      </c>
      <c r="N160" s="278">
        <f>O160</f>
        <v>0</v>
      </c>
      <c r="O160" s="278">
        <f t="shared" ref="O160:O161" si="100">G160*K160</f>
        <v>0</v>
      </c>
      <c r="P160" s="123" t="s">
        <v>104</v>
      </c>
      <c r="Q160" s="123"/>
      <c r="R160" s="123" t="s">
        <v>104</v>
      </c>
      <c r="S160" s="123"/>
      <c r="T160" s="46">
        <f>H160*K160</f>
        <v>0</v>
      </c>
      <c r="U160" s="46">
        <f>I160*K160</f>
        <v>0</v>
      </c>
    </row>
    <row r="161" spans="1:26">
      <c r="A161" s="310"/>
      <c r="B161" s="313"/>
      <c r="C161" s="63" t="s">
        <v>168</v>
      </c>
      <c r="D161" s="64" t="s">
        <v>101</v>
      </c>
      <c r="E161" s="60">
        <v>3</v>
      </c>
      <c r="F161" s="60">
        <v>3</v>
      </c>
      <c r="G161" s="60">
        <v>3</v>
      </c>
      <c r="H161" s="60">
        <v>3</v>
      </c>
      <c r="I161" s="60">
        <v>3</v>
      </c>
      <c r="J161" s="75">
        <f>K161</f>
        <v>23553.439999999999</v>
      </c>
      <c r="K161" s="75">
        <v>23553.439999999999</v>
      </c>
      <c r="L161" s="123" t="s">
        <v>104</v>
      </c>
      <c r="M161" s="123" t="s">
        <v>104</v>
      </c>
      <c r="N161" s="278">
        <f>O161</f>
        <v>70660.319999999992</v>
      </c>
      <c r="O161" s="278">
        <f t="shared" si="100"/>
        <v>70660.319999999992</v>
      </c>
      <c r="P161" s="123" t="s">
        <v>104</v>
      </c>
      <c r="Q161" s="123"/>
      <c r="R161" s="123" t="s">
        <v>104</v>
      </c>
      <c r="S161" s="123"/>
      <c r="T161" s="46">
        <f>H161*K161</f>
        <v>70660.319999999992</v>
      </c>
      <c r="U161" s="46">
        <f>I161*K161</f>
        <v>70660.319999999992</v>
      </c>
    </row>
    <row r="162" spans="1:26" ht="82.8">
      <c r="A162" s="310"/>
      <c r="B162" s="313"/>
      <c r="C162" s="61" t="s">
        <v>105</v>
      </c>
      <c r="D162" s="64" t="s">
        <v>101</v>
      </c>
      <c r="E162" s="60">
        <v>1</v>
      </c>
      <c r="F162" s="60">
        <v>1</v>
      </c>
      <c r="G162" s="60">
        <v>1</v>
      </c>
      <c r="H162" s="60">
        <v>1</v>
      </c>
      <c r="I162" s="60">
        <v>1</v>
      </c>
      <c r="J162" s="75">
        <f>SUM(K162:M162)</f>
        <v>173760.08508111999</v>
      </c>
      <c r="K162" s="75">
        <f>151407.63+1622.42+2182.03</f>
        <v>155212.08000000002</v>
      </c>
      <c r="L162" s="193">
        <f>4001.99*2.411294+803.35</f>
        <v>10453.324475059999</v>
      </c>
      <c r="M162" s="289">
        <f>7790.73-13.0169697+221.21-3.636364+99.39393976</f>
        <v>8094.6806060599993</v>
      </c>
      <c r="N162" s="280">
        <f>SUM(O162:R162)</f>
        <v>173760.08508111999</v>
      </c>
      <c r="O162" s="280">
        <f>G162*K162</f>
        <v>155212.08000000002</v>
      </c>
      <c r="P162" s="280">
        <f>G162*L162</f>
        <v>10453.324475059999</v>
      </c>
      <c r="Q162" s="280"/>
      <c r="R162" s="280">
        <f>E162*M162</f>
        <v>8094.6806060599993</v>
      </c>
      <c r="S162" s="280"/>
      <c r="T162" s="46">
        <f>N162+3573.56-11714</f>
        <v>165619.64508111999</v>
      </c>
      <c r="U162" s="46">
        <f>T162</f>
        <v>165619.64508111999</v>
      </c>
    </row>
    <row r="163" spans="1:26" ht="82.8">
      <c r="A163" s="310"/>
      <c r="B163" s="313"/>
      <c r="C163" s="61" t="s">
        <v>117</v>
      </c>
      <c r="D163" s="64" t="s">
        <v>101</v>
      </c>
      <c r="E163" s="60">
        <v>0</v>
      </c>
      <c r="F163" s="60">
        <v>0</v>
      </c>
      <c r="G163" s="59">
        <f t="shared" si="97"/>
        <v>0</v>
      </c>
      <c r="H163" s="60">
        <v>0</v>
      </c>
      <c r="I163" s="60">
        <v>0</v>
      </c>
      <c r="J163" s="75">
        <f>K163</f>
        <v>34010.129999999997</v>
      </c>
      <c r="K163" s="75">
        <v>34010.129999999997</v>
      </c>
      <c r="L163" s="193" t="s">
        <v>104</v>
      </c>
      <c r="M163" s="193" t="s">
        <v>104</v>
      </c>
      <c r="N163" s="280">
        <f>SUM(O163:R163)</f>
        <v>0</v>
      </c>
      <c r="O163" s="280">
        <f>G163*K163</f>
        <v>0</v>
      </c>
      <c r="P163" s="280"/>
      <c r="Q163" s="280"/>
      <c r="R163" s="280"/>
      <c r="S163" s="280"/>
      <c r="T163" s="46">
        <f t="shared" si="98"/>
        <v>0</v>
      </c>
      <c r="U163" s="46">
        <f t="shared" si="99"/>
        <v>0</v>
      </c>
    </row>
    <row r="164" spans="1:26">
      <c r="A164" s="310"/>
      <c r="B164" s="314"/>
      <c r="C164" s="66" t="s">
        <v>106</v>
      </c>
      <c r="D164" s="64"/>
      <c r="E164" s="60">
        <f>E156++E157+E162</f>
        <v>403</v>
      </c>
      <c r="F164" s="60">
        <f>F156++F157+F162</f>
        <v>403</v>
      </c>
      <c r="G164" s="60">
        <f>G156++G157+G162</f>
        <v>403</v>
      </c>
      <c r="H164" s="60">
        <f>H156++H157+H162</f>
        <v>403</v>
      </c>
      <c r="I164" s="60">
        <f>I156++I157+I162</f>
        <v>403</v>
      </c>
      <c r="J164" s="73" t="s">
        <v>104</v>
      </c>
      <c r="K164" s="73" t="s">
        <v>104</v>
      </c>
      <c r="L164" s="194" t="s">
        <v>104</v>
      </c>
      <c r="M164" s="194" t="s">
        <v>104</v>
      </c>
      <c r="N164" s="194">
        <f>SUM(N156:N163)</f>
        <v>23814564.967691358</v>
      </c>
      <c r="O164" s="194">
        <f t="shared" ref="O164:U164" si="101">SUM(O156:O163)</f>
        <v>16339718.92</v>
      </c>
      <c r="P164" s="194">
        <f t="shared" si="101"/>
        <v>4212689.7634491799</v>
      </c>
      <c r="Q164" s="194"/>
      <c r="R164" s="194">
        <f t="shared" si="101"/>
        <v>3262156.2842421797</v>
      </c>
      <c r="S164" s="194"/>
      <c r="T164" s="194">
        <f t="shared" si="101"/>
        <v>24809526.107691363</v>
      </c>
      <c r="U164" s="194">
        <f t="shared" si="101"/>
        <v>24809526.107691363</v>
      </c>
      <c r="Z164" s="85"/>
    </row>
    <row r="165" spans="1:26" ht="82.8">
      <c r="A165" s="310"/>
      <c r="B165" s="312" t="s">
        <v>239</v>
      </c>
      <c r="C165" s="61" t="s">
        <v>100</v>
      </c>
      <c r="D165" s="62" t="s">
        <v>101</v>
      </c>
      <c r="E165" s="60">
        <v>51</v>
      </c>
      <c r="F165" s="60">
        <v>51</v>
      </c>
      <c r="G165" s="60">
        <v>51</v>
      </c>
      <c r="H165" s="60">
        <v>51</v>
      </c>
      <c r="I165" s="60">
        <v>51</v>
      </c>
      <c r="J165" s="107">
        <f>SUM(K165:M165)</f>
        <v>63800.94508112</v>
      </c>
      <c r="K165" s="107">
        <f>41105.12+1965.79+2182.03</f>
        <v>45252.94</v>
      </c>
      <c r="L165" s="289">
        <f>4001.99*2.411294+803.35</f>
        <v>10453.324475059999</v>
      </c>
      <c r="M165" s="289">
        <f>7790.73-13.0169697+221.21-3.636364+99.39393976</f>
        <v>8094.6806060599993</v>
      </c>
      <c r="N165" s="280">
        <f>SUM(O165:R165)</f>
        <v>3253848.1991371196</v>
      </c>
      <c r="O165" s="280">
        <f>G165*K165</f>
        <v>2307899.94</v>
      </c>
      <c r="P165" s="280">
        <f>G165*L165</f>
        <v>533119.5482280599</v>
      </c>
      <c r="Q165" s="280"/>
      <c r="R165" s="46">
        <f>G165*M165</f>
        <v>412828.71090905997</v>
      </c>
      <c r="S165" s="46"/>
      <c r="T165" s="46">
        <f>N165+182251.75-11714</f>
        <v>3424385.9491371196</v>
      </c>
      <c r="U165" s="46">
        <f>T165</f>
        <v>3424385.9491371196</v>
      </c>
    </row>
    <row r="166" spans="1:26" ht="96.6">
      <c r="A166" s="310"/>
      <c r="B166" s="313"/>
      <c r="C166" s="61" t="s">
        <v>172</v>
      </c>
      <c r="D166" s="62" t="s">
        <v>101</v>
      </c>
      <c r="E166" s="60">
        <v>53</v>
      </c>
      <c r="F166" s="60">
        <v>53</v>
      </c>
      <c r="G166" s="60">
        <v>53</v>
      </c>
      <c r="H166" s="60">
        <v>53</v>
      </c>
      <c r="I166" s="60">
        <v>53</v>
      </c>
      <c r="J166" s="107">
        <f>SUM(K166:M166)</f>
        <v>106096.39508111999</v>
      </c>
      <c r="K166" s="107">
        <f>83400.57+1965.79+2182.03</f>
        <v>87548.39</v>
      </c>
      <c r="L166" s="289">
        <f>4001.99*2.411294+803.35</f>
        <v>10453.324475059999</v>
      </c>
      <c r="M166" s="289">
        <f>7790.73-13.0169697+221.21-3.636364+99.39393976</f>
        <v>8094.6806060599993</v>
      </c>
      <c r="N166" s="280">
        <f>SUM(O166:R166)</f>
        <v>5623108.9392993599</v>
      </c>
      <c r="O166" s="280">
        <f>G166*K166</f>
        <v>4640064.67</v>
      </c>
      <c r="P166" s="280">
        <f>G166*L166</f>
        <v>554026.19717817998</v>
      </c>
      <c r="Q166" s="280"/>
      <c r="R166" s="46">
        <f>G166*M166</f>
        <v>429018.07212117995</v>
      </c>
      <c r="S166" s="46"/>
      <c r="T166" s="46">
        <f>N166+189398.87+3000-11716</f>
        <v>5803791.80929936</v>
      </c>
      <c r="U166" s="46">
        <f>T166</f>
        <v>5803791.80929936</v>
      </c>
    </row>
    <row r="167" spans="1:26" ht="82.8">
      <c r="A167" s="310"/>
      <c r="B167" s="313"/>
      <c r="C167" s="63" t="s">
        <v>102</v>
      </c>
      <c r="D167" s="64" t="s">
        <v>101</v>
      </c>
      <c r="E167" s="59" t="s">
        <v>104</v>
      </c>
      <c r="F167" s="59" t="s">
        <v>104</v>
      </c>
      <c r="G167" s="59" t="s">
        <v>104</v>
      </c>
      <c r="H167" s="59" t="s">
        <v>104</v>
      </c>
      <c r="I167" s="59" t="s">
        <v>104</v>
      </c>
      <c r="J167" s="59" t="s">
        <v>104</v>
      </c>
      <c r="K167" s="59" t="s">
        <v>104</v>
      </c>
      <c r="L167" s="123" t="s">
        <v>104</v>
      </c>
      <c r="M167" s="123" t="s">
        <v>104</v>
      </c>
      <c r="N167" s="278"/>
      <c r="O167" s="278"/>
      <c r="P167" s="123" t="s">
        <v>104</v>
      </c>
      <c r="Q167" s="123"/>
      <c r="R167" s="123" t="s">
        <v>104</v>
      </c>
      <c r="S167" s="123"/>
      <c r="T167" s="46"/>
      <c r="U167" s="46"/>
    </row>
    <row r="168" spans="1:26">
      <c r="A168" s="310"/>
      <c r="B168" s="313"/>
      <c r="C168" s="63" t="s">
        <v>168</v>
      </c>
      <c r="D168" s="64" t="s">
        <v>101</v>
      </c>
      <c r="E168" s="60"/>
      <c r="F168" s="60"/>
      <c r="G168" s="59">
        <f t="shared" si="97"/>
        <v>0</v>
      </c>
      <c r="H168" s="60"/>
      <c r="I168" s="60"/>
      <c r="J168" s="75">
        <f>K168</f>
        <v>23553.439999999999</v>
      </c>
      <c r="K168" s="75">
        <v>23553.439999999999</v>
      </c>
      <c r="L168" s="123" t="s">
        <v>104</v>
      </c>
      <c r="M168" s="123" t="s">
        <v>104</v>
      </c>
      <c r="N168" s="278">
        <f>O168</f>
        <v>0</v>
      </c>
      <c r="O168" s="278">
        <f>G168*K168</f>
        <v>0</v>
      </c>
      <c r="P168" s="123" t="s">
        <v>104</v>
      </c>
      <c r="Q168" s="123"/>
      <c r="R168" s="123" t="s">
        <v>104</v>
      </c>
      <c r="S168" s="123"/>
      <c r="T168" s="46">
        <f>H168*K168</f>
        <v>0</v>
      </c>
      <c r="U168" s="46">
        <f>I168*K168</f>
        <v>0</v>
      </c>
    </row>
    <row r="169" spans="1:26" ht="82.8">
      <c r="A169" s="310"/>
      <c r="B169" s="313"/>
      <c r="C169" s="61" t="s">
        <v>105</v>
      </c>
      <c r="D169" s="64" t="s">
        <v>101</v>
      </c>
      <c r="E169" s="60"/>
      <c r="F169" s="60"/>
      <c r="G169" s="59">
        <f t="shared" si="97"/>
        <v>0</v>
      </c>
      <c r="H169" s="60"/>
      <c r="I169" s="60"/>
      <c r="J169" s="75">
        <f>SUM(K169:M169)</f>
        <v>204098.17508112002</v>
      </c>
      <c r="K169" s="75">
        <f>181402.35+1965.79+2182.03</f>
        <v>185550.17</v>
      </c>
      <c r="L169" s="193">
        <f>4001.99*2.411294+803.35</f>
        <v>10453.324475059999</v>
      </c>
      <c r="M169" s="289">
        <f>7790.73-13.0169697+221.21-3.636364+99.39393976</f>
        <v>8094.6806060599993</v>
      </c>
      <c r="N169" s="280"/>
      <c r="O169" s="280"/>
      <c r="P169" s="280"/>
      <c r="Q169" s="280"/>
      <c r="R169" s="280"/>
      <c r="S169" s="280"/>
      <c r="T169" s="46">
        <f t="shared" si="98"/>
        <v>0</v>
      </c>
      <c r="U169" s="46">
        <f t="shared" si="99"/>
        <v>0</v>
      </c>
    </row>
    <row r="170" spans="1:26">
      <c r="A170" s="310"/>
      <c r="B170" s="314"/>
      <c r="C170" s="66" t="s">
        <v>106</v>
      </c>
      <c r="D170" s="64"/>
      <c r="E170" s="60">
        <f t="shared" ref="E170:F170" si="102">E165+E169+E166</f>
        <v>104</v>
      </c>
      <c r="F170" s="60">
        <f t="shared" si="102"/>
        <v>104</v>
      </c>
      <c r="G170" s="60">
        <f>G165+G169+G166</f>
        <v>104</v>
      </c>
      <c r="H170" s="60">
        <f t="shared" ref="H170:I170" si="103">H165+H169+H166</f>
        <v>104</v>
      </c>
      <c r="I170" s="60">
        <f t="shared" si="103"/>
        <v>104</v>
      </c>
      <c r="J170" s="73" t="s">
        <v>104</v>
      </c>
      <c r="K170" s="73" t="s">
        <v>104</v>
      </c>
      <c r="L170" s="194" t="s">
        <v>104</v>
      </c>
      <c r="M170" s="194" t="s">
        <v>104</v>
      </c>
      <c r="N170" s="194">
        <f>SUM(N165:N169)</f>
        <v>8876957.1384364795</v>
      </c>
      <c r="O170" s="194">
        <f t="shared" ref="O170:U170" si="104">SUM(O165:O169)</f>
        <v>6947964.6099999994</v>
      </c>
      <c r="P170" s="194">
        <f t="shared" si="104"/>
        <v>1087145.7454062398</v>
      </c>
      <c r="Q170" s="194"/>
      <c r="R170" s="194">
        <f t="shared" si="104"/>
        <v>841846.78303023987</v>
      </c>
      <c r="S170" s="194"/>
      <c r="T170" s="194">
        <f>SUM(T165:T169)</f>
        <v>9228177.7584364787</v>
      </c>
      <c r="U170" s="194">
        <f t="shared" si="104"/>
        <v>9228177.7584364787</v>
      </c>
      <c r="V170" s="85">
        <f>N173+N170+N164+N155+N175</f>
        <v>54533158.001924001</v>
      </c>
      <c r="W170" s="85">
        <f>V170-N181</f>
        <v>0</v>
      </c>
      <c r="Z170" s="85"/>
    </row>
    <row r="171" spans="1:26" ht="102" customHeight="1">
      <c r="A171" s="310"/>
      <c r="B171" s="137" t="s">
        <v>240</v>
      </c>
      <c r="C171" s="61" t="s">
        <v>257</v>
      </c>
      <c r="D171" s="64" t="s">
        <v>101</v>
      </c>
      <c r="E171" s="60">
        <v>1439</v>
      </c>
      <c r="F171" s="60">
        <v>1439</v>
      </c>
      <c r="G171" s="60">
        <v>1439</v>
      </c>
      <c r="H171" s="60">
        <v>1439</v>
      </c>
      <c r="I171" s="60">
        <v>1439</v>
      </c>
      <c r="J171" s="75">
        <f>K171</f>
        <v>3268.55</v>
      </c>
      <c r="K171" s="75">
        <v>3268.55</v>
      </c>
      <c r="L171" s="193" t="s">
        <v>104</v>
      </c>
      <c r="M171" s="193" t="s">
        <v>104</v>
      </c>
      <c r="N171" s="280">
        <f>SUM(O171:R171)</f>
        <v>4838582</v>
      </c>
      <c r="O171" s="280">
        <f>G171*K171-0.45+135139</f>
        <v>4838582</v>
      </c>
      <c r="P171" s="280" t="s">
        <v>104</v>
      </c>
      <c r="Q171" s="280"/>
      <c r="R171" s="280" t="s">
        <v>104</v>
      </c>
      <c r="S171" s="280"/>
      <c r="T171" s="46">
        <f>N171</f>
        <v>4838582</v>
      </c>
      <c r="U171" s="46">
        <f t="shared" ref="U171:U176" si="105">T171</f>
        <v>4838582</v>
      </c>
      <c r="V171" s="80">
        <v>56992305</v>
      </c>
      <c r="W171" s="85">
        <f>V171-T181</f>
        <v>-1.9240006804466248E-3</v>
      </c>
      <c r="X171" s="191">
        <f>G155+G164+G170</f>
        <v>825</v>
      </c>
    </row>
    <row r="172" spans="1:26" ht="128.4" customHeight="1">
      <c r="A172" s="310"/>
      <c r="B172" s="137"/>
      <c r="C172" s="166" t="s">
        <v>256</v>
      </c>
      <c r="D172" s="167" t="s">
        <v>101</v>
      </c>
      <c r="E172" s="168"/>
      <c r="F172" s="168"/>
      <c r="G172" s="59">
        <v>495</v>
      </c>
      <c r="H172" s="59">
        <v>495</v>
      </c>
      <c r="I172" s="59">
        <v>495</v>
      </c>
      <c r="J172" s="73" t="s">
        <v>104</v>
      </c>
      <c r="K172" s="73" t="s">
        <v>104</v>
      </c>
      <c r="L172" s="194" t="s">
        <v>104</v>
      </c>
      <c r="M172" s="279">
        <v>5421.31</v>
      </c>
      <c r="N172" s="280">
        <f>R172</f>
        <v>2683548.4500000002</v>
      </c>
      <c r="O172" s="280"/>
      <c r="P172" s="280"/>
      <c r="Q172" s="280"/>
      <c r="R172" s="280">
        <f>G172*M172</f>
        <v>2683548.4500000002</v>
      </c>
      <c r="S172" s="280"/>
      <c r="T172" s="46">
        <f>N172</f>
        <v>2683548.4500000002</v>
      </c>
      <c r="U172" s="46">
        <f t="shared" si="105"/>
        <v>2683548.4500000002</v>
      </c>
      <c r="X172" s="85">
        <f>V181-R172</f>
        <v>6678112.5499999998</v>
      </c>
      <c r="Y172" s="80">
        <f>X172/G181</f>
        <v>8094.6818787878783</v>
      </c>
      <c r="Z172" s="80">
        <f>Y172*X171</f>
        <v>6678112.5499999998</v>
      </c>
    </row>
    <row r="173" spans="1:26">
      <c r="A173" s="310"/>
      <c r="B173" s="69"/>
      <c r="C173" s="66" t="s">
        <v>106</v>
      </c>
      <c r="D173" s="69"/>
      <c r="E173" s="60">
        <f>SUM(E171:E171)</f>
        <v>1439</v>
      </c>
      <c r="F173" s="60">
        <f>SUM(F171:F171)</f>
        <v>1439</v>
      </c>
      <c r="G173" s="60">
        <f>SUM(G171:G171)</f>
        <v>1439</v>
      </c>
      <c r="H173" s="60">
        <f>SUM(H171:H171)</f>
        <v>1439</v>
      </c>
      <c r="I173" s="60">
        <f>SUM(I171:I171)</f>
        <v>1439</v>
      </c>
      <c r="J173" s="73" t="s">
        <v>104</v>
      </c>
      <c r="K173" s="73" t="s">
        <v>104</v>
      </c>
      <c r="L173" s="194" t="s">
        <v>104</v>
      </c>
      <c r="M173" s="194">
        <f t="shared" ref="M173:P173" si="106">SUM(M171:M171)</f>
        <v>0</v>
      </c>
      <c r="N173" s="194">
        <f>SUM(N171:N172)</f>
        <v>7522130.4500000002</v>
      </c>
      <c r="O173" s="194">
        <f t="shared" si="106"/>
        <v>4838582</v>
      </c>
      <c r="P173" s="194">
        <f t="shared" si="106"/>
        <v>0</v>
      </c>
      <c r="Q173" s="194"/>
      <c r="R173" s="194">
        <f>SUM(R171:R172)</f>
        <v>2683548.4500000002</v>
      </c>
      <c r="S173" s="194"/>
      <c r="T173" s="194">
        <f>SUM(T171:T172)</f>
        <v>7522130.4500000002</v>
      </c>
      <c r="U173" s="46">
        <f t="shared" si="105"/>
        <v>7522130.4500000002</v>
      </c>
      <c r="Z173" s="85">
        <f>Z172+R172</f>
        <v>9361661</v>
      </c>
    </row>
    <row r="174" spans="1:26" hidden="1">
      <c r="A174" s="310"/>
      <c r="B174" s="69" t="s">
        <v>292</v>
      </c>
      <c r="C174" s="66" t="s">
        <v>226</v>
      </c>
      <c r="D174" s="69"/>
      <c r="E174" s="60"/>
      <c r="F174" s="60"/>
      <c r="G174" s="60"/>
      <c r="H174" s="60"/>
      <c r="I174" s="60"/>
      <c r="J174" s="73"/>
      <c r="K174" s="73"/>
      <c r="L174" s="194"/>
      <c r="M174" s="194"/>
      <c r="N174" s="194">
        <f>P174</f>
        <v>0</v>
      </c>
      <c r="O174" s="194"/>
      <c r="P174" s="194"/>
      <c r="Q174" s="194"/>
      <c r="R174" s="194"/>
      <c r="S174" s="194"/>
      <c r="T174" s="46">
        <f>P174</f>
        <v>0</v>
      </c>
      <c r="U174" s="46">
        <f t="shared" si="105"/>
        <v>0</v>
      </c>
      <c r="Z174" s="85"/>
    </row>
    <row r="175" spans="1:26" hidden="1">
      <c r="A175" s="310"/>
      <c r="B175" s="89" t="s">
        <v>225</v>
      </c>
      <c r="C175" s="183" t="s">
        <v>219</v>
      </c>
      <c r="D175" s="64" t="s">
        <v>101</v>
      </c>
      <c r="E175" s="60"/>
      <c r="F175" s="60"/>
      <c r="G175" s="60">
        <v>4</v>
      </c>
      <c r="H175" s="60">
        <v>4</v>
      </c>
      <c r="I175" s="60">
        <v>4</v>
      </c>
      <c r="J175" s="73"/>
      <c r="K175" s="73"/>
      <c r="L175" s="194"/>
      <c r="M175" s="194"/>
      <c r="N175" s="194">
        <f>S175</f>
        <v>0</v>
      </c>
      <c r="O175" s="194"/>
      <c r="P175" s="194"/>
      <c r="Q175" s="194"/>
      <c r="R175" s="194"/>
      <c r="S175" s="194"/>
      <c r="T175" s="46">
        <f>S175</f>
        <v>0</v>
      </c>
      <c r="U175" s="46">
        <f t="shared" si="105"/>
        <v>0</v>
      </c>
      <c r="V175" s="85"/>
    </row>
    <row r="176" spans="1:26" hidden="1">
      <c r="A176" s="310"/>
      <c r="B176" s="89" t="s">
        <v>225</v>
      </c>
      <c r="C176" s="183" t="s">
        <v>226</v>
      </c>
      <c r="D176" s="64" t="s">
        <v>101</v>
      </c>
      <c r="E176" s="60"/>
      <c r="F176" s="60"/>
      <c r="G176" s="60"/>
      <c r="H176" s="60"/>
      <c r="I176" s="60"/>
      <c r="J176" s="73"/>
      <c r="K176" s="73"/>
      <c r="L176" s="194"/>
      <c r="M176" s="194"/>
      <c r="N176" s="194">
        <f t="shared" ref="N176:N177" si="107">S176</f>
        <v>0</v>
      </c>
      <c r="O176" s="194"/>
      <c r="P176" s="194"/>
      <c r="Q176" s="194"/>
      <c r="R176" s="194"/>
      <c r="S176" s="194"/>
      <c r="T176" s="46">
        <f>Q176</f>
        <v>0</v>
      </c>
      <c r="U176" s="46">
        <f t="shared" si="105"/>
        <v>0</v>
      </c>
      <c r="V176" s="85"/>
    </row>
    <row r="177" spans="1:26" hidden="1">
      <c r="A177" s="310"/>
      <c r="B177" s="89" t="s">
        <v>291</v>
      </c>
      <c r="C177" s="183" t="s">
        <v>219</v>
      </c>
      <c r="D177" s="64"/>
      <c r="E177" s="60"/>
      <c r="F177" s="60"/>
      <c r="G177" s="60"/>
      <c r="H177" s="60"/>
      <c r="I177" s="60"/>
      <c r="J177" s="73"/>
      <c r="K177" s="73"/>
      <c r="L177" s="194"/>
      <c r="M177" s="194"/>
      <c r="N177" s="194">
        <f t="shared" si="107"/>
        <v>0</v>
      </c>
      <c r="O177" s="194"/>
      <c r="P177" s="194"/>
      <c r="Q177" s="194"/>
      <c r="R177" s="194"/>
      <c r="S177" s="194"/>
      <c r="T177" s="46"/>
      <c r="U177" s="46"/>
      <c r="V177" s="85"/>
    </row>
    <row r="178" spans="1:26" hidden="1">
      <c r="A178" s="310"/>
      <c r="B178" s="89" t="s">
        <v>307</v>
      </c>
      <c r="C178" s="183" t="s">
        <v>226</v>
      </c>
      <c r="D178" s="64"/>
      <c r="E178" s="60"/>
      <c r="F178" s="60"/>
      <c r="G178" s="60">
        <v>31</v>
      </c>
      <c r="H178" s="60">
        <v>31</v>
      </c>
      <c r="I178" s="60">
        <v>31</v>
      </c>
      <c r="J178" s="73"/>
      <c r="K178" s="73"/>
      <c r="L178" s="194"/>
      <c r="M178" s="194"/>
      <c r="N178" s="194">
        <f>O178</f>
        <v>0</v>
      </c>
      <c r="O178" s="194"/>
      <c r="P178" s="194"/>
      <c r="Q178" s="194"/>
      <c r="R178" s="194"/>
      <c r="S178" s="194"/>
      <c r="T178" s="46"/>
      <c r="U178" s="46">
        <f>T178</f>
        <v>0</v>
      </c>
      <c r="V178" s="85"/>
    </row>
    <row r="179" spans="1:26" hidden="1">
      <c r="A179" s="310"/>
      <c r="B179" s="89" t="s">
        <v>259</v>
      </c>
      <c r="C179" s="183" t="s">
        <v>226</v>
      </c>
      <c r="D179" s="64"/>
      <c r="E179" s="60"/>
      <c r="F179" s="60"/>
      <c r="G179" s="60"/>
      <c r="H179" s="60"/>
      <c r="I179" s="60"/>
      <c r="J179" s="73"/>
      <c r="K179" s="73"/>
      <c r="L179" s="194"/>
      <c r="M179" s="194"/>
      <c r="N179" s="194">
        <f>O179</f>
        <v>0</v>
      </c>
      <c r="O179" s="194"/>
      <c r="P179" s="194"/>
      <c r="Q179" s="194"/>
      <c r="R179" s="194"/>
      <c r="S179" s="194"/>
      <c r="T179" s="46">
        <f>O179</f>
        <v>0</v>
      </c>
      <c r="U179" s="46">
        <f>T179</f>
        <v>0</v>
      </c>
    </row>
    <row r="180" spans="1:26" hidden="1">
      <c r="A180" s="310"/>
      <c r="B180" s="89" t="s">
        <v>308</v>
      </c>
      <c r="C180" s="183" t="s">
        <v>226</v>
      </c>
      <c r="D180" s="64"/>
      <c r="E180" s="60"/>
      <c r="F180" s="60"/>
      <c r="G180" s="60"/>
      <c r="H180" s="60"/>
      <c r="I180" s="60"/>
      <c r="J180" s="73"/>
      <c r="K180" s="73"/>
      <c r="L180" s="194"/>
      <c r="M180" s="194"/>
      <c r="N180" s="194">
        <f>P180</f>
        <v>0</v>
      </c>
      <c r="O180" s="194"/>
      <c r="P180" s="194"/>
      <c r="Q180" s="194"/>
      <c r="R180" s="194"/>
      <c r="S180" s="194"/>
      <c r="T180" s="46"/>
      <c r="U180" s="46">
        <f>T180</f>
        <v>0</v>
      </c>
    </row>
    <row r="181" spans="1:26">
      <c r="A181" s="310"/>
      <c r="B181" s="101" t="s">
        <v>112</v>
      </c>
      <c r="C181" s="101"/>
      <c r="D181" s="69"/>
      <c r="E181" s="102">
        <f t="shared" ref="E181:F181" si="108">E155+E164+E170</f>
        <v>825</v>
      </c>
      <c r="F181" s="102">
        <f t="shared" si="108"/>
        <v>825</v>
      </c>
      <c r="G181" s="102">
        <f>G155+G164+G170</f>
        <v>825</v>
      </c>
      <c r="H181" s="102">
        <f>H155+H164+H170</f>
        <v>825</v>
      </c>
      <c r="I181" s="102">
        <f>I155+I164+I170</f>
        <v>825</v>
      </c>
      <c r="J181" s="104"/>
      <c r="K181" s="104"/>
      <c r="L181" s="138"/>
      <c r="M181" s="138"/>
      <c r="N181" s="138">
        <f>SUM(O181:S181)</f>
        <v>54533158.001924001</v>
      </c>
      <c r="O181" s="138">
        <f>O155+O164+O170+O173+O178+O179</f>
        <v>36547504</v>
      </c>
      <c r="P181" s="138">
        <f>P155+P164+P170+P173+P174+P175+P176+P180</f>
        <v>8623993.0019244999</v>
      </c>
      <c r="Q181" s="138">
        <f t="shared" ref="Q181" si="109">Q155+Q164+Q170+Q173+Q174+Q175+Q176</f>
        <v>0</v>
      </c>
      <c r="R181" s="138">
        <f>R155+R164+R170+R173+R174+R175+R176+R177</f>
        <v>9361660.9999995008</v>
      </c>
      <c r="S181" s="293">
        <f>S155+S164+S170+S173+S174+S175+S176+S177</f>
        <v>0</v>
      </c>
      <c r="T181" s="138">
        <f>T155+T164+T170+T173+T174+T175+T176+T177+T178+T179+T180</f>
        <v>56992305.001924001</v>
      </c>
      <c r="U181" s="138">
        <f>U155+U164+U170+U173+U174+U175+U176+U177+U178+U179+U180</f>
        <v>56992305.001924001</v>
      </c>
      <c r="V181" s="80">
        <v>9361661</v>
      </c>
      <c r="W181" s="85">
        <f>V181-R181</f>
        <v>4.9918889999389648E-7</v>
      </c>
      <c r="X181" s="80">
        <f>W181/I181</f>
        <v>6.0507745453805631E-10</v>
      </c>
      <c r="Z181" s="85">
        <f>N181-T181</f>
        <v>-2459147</v>
      </c>
    </row>
    <row r="182" spans="1:26" ht="193.2">
      <c r="A182" s="310" t="s">
        <v>119</v>
      </c>
      <c r="B182" s="311" t="s">
        <v>237</v>
      </c>
      <c r="C182" s="61" t="s">
        <v>120</v>
      </c>
      <c r="D182" s="62" t="s">
        <v>121</v>
      </c>
      <c r="E182" s="121" t="s">
        <v>192</v>
      </c>
      <c r="F182" s="121" t="s">
        <v>192</v>
      </c>
      <c r="G182" s="121" t="s">
        <v>192</v>
      </c>
      <c r="H182" s="121" t="s">
        <v>192</v>
      </c>
      <c r="I182" s="121" t="s">
        <v>192</v>
      </c>
      <c r="J182" s="107" t="s">
        <v>327</v>
      </c>
      <c r="K182" s="107" t="s">
        <v>322</v>
      </c>
      <c r="L182" s="289" t="s">
        <v>321</v>
      </c>
      <c r="M182" s="289" t="s">
        <v>347</v>
      </c>
      <c r="N182" s="278">
        <f>SUM(O182:R182)</f>
        <v>4379991.2958490197</v>
      </c>
      <c r="O182" s="278">
        <f>(668575.57*3)+((1329.32*67)/12*8+(1329.32*67)/12*4)+(2488.36*67)+0.38</f>
        <v>2261511.65</v>
      </c>
      <c r="P182" s="278">
        <f>((4001.99*2.411294*67)/12*8)+((4001.99*2.411294*67)/12*4)+(898.87*67)-1.1</f>
        <v>706771.47982901998</v>
      </c>
      <c r="Q182" s="278"/>
      <c r="R182" s="46">
        <f>((11601.11606*67)/12*8)+((11601.11606*67)/12*4)+2+(9469.11*67)+1.02</f>
        <v>1411708.1660199999</v>
      </c>
      <c r="S182" s="46"/>
      <c r="T182" s="46">
        <f>N182+274261.43-9617-33000</f>
        <v>4611635.7258490194</v>
      </c>
      <c r="U182" s="46">
        <f>T182</f>
        <v>4611635.7258490194</v>
      </c>
      <c r="V182" s="80">
        <f>N182/3</f>
        <v>1459997.09861634</v>
      </c>
      <c r="W182" s="80">
        <f>12300.53*67</f>
        <v>824135.51</v>
      </c>
      <c r="X182" s="80">
        <f>1342.39+12011.78+(4001.99*2.3654)</f>
        <v>22820.477146000001</v>
      </c>
      <c r="Y182" s="80">
        <f>4001.99*2.3654</f>
        <v>9466.307146000001</v>
      </c>
    </row>
    <row r="183" spans="1:26" ht="179.4">
      <c r="A183" s="310"/>
      <c r="B183" s="311"/>
      <c r="C183" s="61" t="s">
        <v>128</v>
      </c>
      <c r="D183" s="62" t="s">
        <v>121</v>
      </c>
      <c r="E183" s="121" t="s">
        <v>293</v>
      </c>
      <c r="F183" s="121" t="s">
        <v>293</v>
      </c>
      <c r="G183" s="121" t="s">
        <v>293</v>
      </c>
      <c r="H183" s="121" t="s">
        <v>293</v>
      </c>
      <c r="I183" s="121" t="s">
        <v>293</v>
      </c>
      <c r="J183" s="107" t="s">
        <v>328</v>
      </c>
      <c r="K183" s="107" t="s">
        <v>323</v>
      </c>
      <c r="L183" s="289" t="s">
        <v>321</v>
      </c>
      <c r="M183" s="289" t="s">
        <v>347</v>
      </c>
      <c r="N183" s="278">
        <f>SUM(O183:R183)</f>
        <v>1231338.9190960201</v>
      </c>
      <c r="O183" s="278">
        <f>(((628912.16*1)/12*8+(628912.16*1)/12*4)+((1329.32*17)/12*8+(1329.32*17)/12*4))+(2488.36*17)</f>
        <v>693812.72</v>
      </c>
      <c r="P183" s="278">
        <f>((4001.99*2.411294*17)/12*8)+((4001.99*2.411294*17)/12*4)+(898.87*17)</f>
        <v>179330.35607601999</v>
      </c>
      <c r="Q183" s="278"/>
      <c r="R183" s="46">
        <f>((11601.11606*17)/12*8)+((11601.11606*17)/12*4)+2+(9469.11*17)</f>
        <v>358195.84302000003</v>
      </c>
      <c r="S183" s="46"/>
      <c r="T183" s="46">
        <f>N183+69588.72</f>
        <v>1300927.63909602</v>
      </c>
      <c r="U183" s="46">
        <f>T183</f>
        <v>1300927.63909602</v>
      </c>
      <c r="W183" s="80">
        <f>12300.53*19</f>
        <v>233710.07</v>
      </c>
    </row>
    <row r="184" spans="1:26" ht="82.8">
      <c r="A184" s="310"/>
      <c r="B184" s="311"/>
      <c r="C184" s="63" t="s">
        <v>102</v>
      </c>
      <c r="D184" s="64" t="s">
        <v>101</v>
      </c>
      <c r="E184" s="65"/>
      <c r="F184" s="65"/>
      <c r="G184" s="65"/>
      <c r="H184" s="65"/>
      <c r="I184" s="65"/>
      <c r="J184" s="150" t="s">
        <v>103</v>
      </c>
      <c r="K184" s="150" t="s">
        <v>103</v>
      </c>
      <c r="L184" s="281" t="s">
        <v>103</v>
      </c>
      <c r="M184" s="281" t="s">
        <v>103</v>
      </c>
      <c r="N184" s="278">
        <f t="shared" ref="N184:N188" si="110">SUM(O184:R184)</f>
        <v>0</v>
      </c>
      <c r="O184" s="281" t="s">
        <v>103</v>
      </c>
      <c r="P184" s="281" t="s">
        <v>103</v>
      </c>
      <c r="Q184" s="281"/>
      <c r="R184" s="281" t="s">
        <v>103</v>
      </c>
      <c r="S184" s="281"/>
      <c r="T184" s="46">
        <f t="shared" ref="T184:T188" si="111">N184</f>
        <v>0</v>
      </c>
      <c r="U184" s="46">
        <f t="shared" ref="U184:U188" si="112">T184</f>
        <v>0</v>
      </c>
    </row>
    <row r="185" spans="1:26">
      <c r="A185" s="310"/>
      <c r="B185" s="311"/>
      <c r="C185" s="63" t="s">
        <v>166</v>
      </c>
      <c r="D185" s="64" t="s">
        <v>101</v>
      </c>
      <c r="E185" s="59">
        <v>5</v>
      </c>
      <c r="F185" s="59">
        <v>5</v>
      </c>
      <c r="G185" s="59">
        <v>5</v>
      </c>
      <c r="H185" s="59">
        <v>5</v>
      </c>
      <c r="I185" s="59">
        <v>5</v>
      </c>
      <c r="J185" s="75">
        <f>K185</f>
        <v>80183.77</v>
      </c>
      <c r="K185" s="75">
        <v>80183.77</v>
      </c>
      <c r="L185" s="193"/>
      <c r="M185" s="193"/>
      <c r="N185" s="278">
        <f t="shared" si="110"/>
        <v>400918.85000000003</v>
      </c>
      <c r="O185" s="278">
        <f>G185*K185</f>
        <v>400918.85000000003</v>
      </c>
      <c r="P185" s="278"/>
      <c r="Q185" s="278"/>
      <c r="R185" s="282"/>
      <c r="S185" s="282"/>
      <c r="T185" s="46">
        <f t="shared" si="111"/>
        <v>400918.85000000003</v>
      </c>
      <c r="U185" s="46">
        <f t="shared" si="112"/>
        <v>400918.85000000003</v>
      </c>
    </row>
    <row r="186" spans="1:26">
      <c r="A186" s="310"/>
      <c r="B186" s="311"/>
      <c r="C186" s="63" t="s">
        <v>168</v>
      </c>
      <c r="D186" s="64" t="s">
        <v>101</v>
      </c>
      <c r="E186" s="59">
        <v>1</v>
      </c>
      <c r="F186" s="59">
        <v>1</v>
      </c>
      <c r="G186" s="59">
        <v>1</v>
      </c>
      <c r="H186" s="59">
        <v>1</v>
      </c>
      <c r="I186" s="59">
        <v>1</v>
      </c>
      <c r="J186" s="75">
        <f>K186</f>
        <v>28342.92</v>
      </c>
      <c r="K186" s="75">
        <v>28342.92</v>
      </c>
      <c r="L186" s="193"/>
      <c r="M186" s="193"/>
      <c r="N186" s="278">
        <f t="shared" si="110"/>
        <v>28342.92</v>
      </c>
      <c r="O186" s="278">
        <f>G186*K186</f>
        <v>28342.92</v>
      </c>
      <c r="P186" s="278"/>
      <c r="Q186" s="278"/>
      <c r="R186" s="282"/>
      <c r="S186" s="282"/>
      <c r="T186" s="46">
        <f t="shared" si="111"/>
        <v>28342.92</v>
      </c>
      <c r="U186" s="46">
        <f t="shared" si="112"/>
        <v>28342.92</v>
      </c>
    </row>
    <row r="187" spans="1:26" ht="96.6">
      <c r="A187" s="310"/>
      <c r="B187" s="311"/>
      <c r="C187" s="61" t="s">
        <v>173</v>
      </c>
      <c r="D187" s="64" t="s">
        <v>101</v>
      </c>
      <c r="E187" s="59">
        <v>1</v>
      </c>
      <c r="F187" s="59">
        <v>1</v>
      </c>
      <c r="G187" s="59">
        <v>1</v>
      </c>
      <c r="H187" s="59">
        <v>1</v>
      </c>
      <c r="I187" s="59">
        <v>1</v>
      </c>
      <c r="J187" s="75">
        <f>K187</f>
        <v>184833</v>
      </c>
      <c r="K187" s="75">
        <f>181015.32+1329.32+2488.36</f>
        <v>184833</v>
      </c>
      <c r="L187" s="289" t="s">
        <v>321</v>
      </c>
      <c r="M187" s="289" t="s">
        <v>347</v>
      </c>
      <c r="N187" s="278">
        <f t="shared" si="110"/>
        <v>216454.07053506002</v>
      </c>
      <c r="O187" s="278">
        <f>G187*K187</f>
        <v>184833</v>
      </c>
      <c r="P187" s="278">
        <f>G187*4001.99*2.411294+898.87</f>
        <v>10548.844475059999</v>
      </c>
      <c r="Q187" s="278"/>
      <c r="R187" s="278">
        <f>G187*11601.11606+2+9469.11</f>
        <v>21072.226060000001</v>
      </c>
      <c r="S187" s="282"/>
      <c r="T187" s="46">
        <f>N187+4093.45</f>
        <v>220547.52053506003</v>
      </c>
      <c r="U187" s="46">
        <f t="shared" si="112"/>
        <v>220547.52053506003</v>
      </c>
    </row>
    <row r="188" spans="1:26" ht="96.6">
      <c r="A188" s="310"/>
      <c r="B188" s="311"/>
      <c r="C188" s="61" t="s">
        <v>174</v>
      </c>
      <c r="D188" s="64" t="s">
        <v>101</v>
      </c>
      <c r="E188" s="59"/>
      <c r="F188" s="59"/>
      <c r="G188" s="59">
        <f t="shared" ref="G188" si="113">((E188*8)+(F188*4))/12</f>
        <v>0</v>
      </c>
      <c r="H188" s="59"/>
      <c r="I188" s="59"/>
      <c r="J188" s="75">
        <f>K188</f>
        <v>25930.91</v>
      </c>
      <c r="K188" s="75">
        <v>25930.91</v>
      </c>
      <c r="L188" s="278" t="s">
        <v>104</v>
      </c>
      <c r="M188" s="278" t="s">
        <v>104</v>
      </c>
      <c r="N188" s="278">
        <f t="shared" si="110"/>
        <v>0</v>
      </c>
      <c r="O188" s="278">
        <f>G188*K188</f>
        <v>0</v>
      </c>
      <c r="P188" s="278" t="s">
        <v>104</v>
      </c>
      <c r="Q188" s="278"/>
      <c r="R188" s="282" t="s">
        <v>104</v>
      </c>
      <c r="S188" s="282"/>
      <c r="T188" s="46">
        <f t="shared" si="111"/>
        <v>0</v>
      </c>
      <c r="U188" s="46">
        <f t="shared" si="112"/>
        <v>0</v>
      </c>
    </row>
    <row r="189" spans="1:26">
      <c r="A189" s="310"/>
      <c r="B189" s="311"/>
      <c r="C189" s="66" t="s">
        <v>106</v>
      </c>
      <c r="D189" s="67"/>
      <c r="E189" s="121" t="s">
        <v>294</v>
      </c>
      <c r="F189" s="121" t="s">
        <v>294</v>
      </c>
      <c r="G189" s="121" t="s">
        <v>294</v>
      </c>
      <c r="H189" s="121" t="s">
        <v>294</v>
      </c>
      <c r="I189" s="121" t="s">
        <v>294</v>
      </c>
      <c r="J189" s="71" t="s">
        <v>104</v>
      </c>
      <c r="K189" s="71" t="s">
        <v>104</v>
      </c>
      <c r="L189" s="278" t="s">
        <v>104</v>
      </c>
      <c r="M189" s="278" t="s">
        <v>104</v>
      </c>
      <c r="N189" s="278">
        <f>SUM(O189:R189)</f>
        <v>6257046.0554801002</v>
      </c>
      <c r="O189" s="278">
        <f>SUM(O182:O188)</f>
        <v>3569419.14</v>
      </c>
      <c r="P189" s="278">
        <f>SUM(P182:P188)</f>
        <v>896650.68038009992</v>
      </c>
      <c r="Q189" s="278"/>
      <c r="R189" s="278">
        <f t="shared" ref="R189:U189" si="114">SUM(R182:R188)</f>
        <v>1790976.2350999999</v>
      </c>
      <c r="S189" s="278"/>
      <c r="T189" s="278">
        <f>SUM(T182:T188)</f>
        <v>6562372.6554800989</v>
      </c>
      <c r="U189" s="278">
        <f t="shared" si="114"/>
        <v>6562372.6554800989</v>
      </c>
    </row>
    <row r="190" spans="1:26" ht="193.2">
      <c r="A190" s="310"/>
      <c r="B190" s="311" t="s">
        <v>238</v>
      </c>
      <c r="C190" s="61" t="s">
        <v>120</v>
      </c>
      <c r="D190" s="62" t="s">
        <v>121</v>
      </c>
      <c r="E190" s="121" t="s">
        <v>295</v>
      </c>
      <c r="F190" s="121" t="s">
        <v>295</v>
      </c>
      <c r="G190" s="121" t="s">
        <v>295</v>
      </c>
      <c r="H190" s="121" t="s">
        <v>295</v>
      </c>
      <c r="I190" s="121" t="s">
        <v>295</v>
      </c>
      <c r="J190" s="107" t="s">
        <v>329</v>
      </c>
      <c r="K190" s="107" t="s">
        <v>324</v>
      </c>
      <c r="L190" s="289" t="s">
        <v>321</v>
      </c>
      <c r="M190" s="289" t="s">
        <v>347</v>
      </c>
      <c r="N190" s="278">
        <f t="shared" ref="N190:N191" si="115">SUM(O190:R190)</f>
        <v>5212611.2385243196</v>
      </c>
      <c r="O190" s="278">
        <f>(((880020*3)/12*8+(880020*3)/12*4)+((1622.42*72)/12*8+(1622.42*72)/12*4))+(2488.36*72)</f>
        <v>2936036.16</v>
      </c>
      <c r="P190" s="278">
        <f>((4001.99*2.411294*72)/12*8)+((4001.99*2.411294*72)/12*4)+(898.87*72)</f>
        <v>759516.80220431986</v>
      </c>
      <c r="Q190" s="278"/>
      <c r="R190" s="278">
        <f>((11601.11606*72)/12*8)+((11601.11606*72)/12*4)+2+(9469.11*72)</f>
        <v>1517058.2763200002</v>
      </c>
      <c r="S190" s="278"/>
      <c r="T190" s="46">
        <f>N190+294728.7</f>
        <v>5507339.9385243198</v>
      </c>
      <c r="U190" s="46">
        <f>T190</f>
        <v>5507339.9385243198</v>
      </c>
      <c r="V190" s="124"/>
      <c r="W190" s="80">
        <f>12300.53*86</f>
        <v>1057845.58</v>
      </c>
    </row>
    <row r="191" spans="1:26" ht="179.4">
      <c r="A191" s="310"/>
      <c r="B191" s="311"/>
      <c r="C191" s="61" t="s">
        <v>128</v>
      </c>
      <c r="D191" s="62" t="s">
        <v>121</v>
      </c>
      <c r="E191" s="79" t="s">
        <v>296</v>
      </c>
      <c r="F191" s="79" t="s">
        <v>296</v>
      </c>
      <c r="G191" s="79" t="s">
        <v>296</v>
      </c>
      <c r="H191" s="79" t="s">
        <v>296</v>
      </c>
      <c r="I191" s="79" t="s">
        <v>296</v>
      </c>
      <c r="J191" s="107" t="s">
        <v>330</v>
      </c>
      <c r="K191" s="107" t="s">
        <v>325</v>
      </c>
      <c r="L191" s="289" t="s">
        <v>321</v>
      </c>
      <c r="M191" s="289" t="s">
        <v>347</v>
      </c>
      <c r="N191" s="278">
        <f t="shared" si="115"/>
        <v>3934055.2635426391</v>
      </c>
      <c r="O191" s="278">
        <f>(((787313.28*3)/12*8+(787313.28*3)/12*4)+((1622.42*44)/12*8+(1622.42*44)/12*4))+(2488.36*44)</f>
        <v>2542814.1599999997</v>
      </c>
      <c r="P191" s="278">
        <f>((4001.99*2.411294*44)/12*8)+((4001.99*2.411294*44)/12*4)+(898.87*44)</f>
        <v>464149.15690263989</v>
      </c>
      <c r="Q191" s="278"/>
      <c r="R191" s="278">
        <f>((11601.11606*44)/12*8)+((11601.11606*44)/12*4)+2+(9469.11*44)</f>
        <v>927091.94663999998</v>
      </c>
      <c r="S191" s="278"/>
      <c r="T191" s="46">
        <f>N191+180111.98</f>
        <v>4114167.2435426391</v>
      </c>
      <c r="U191" s="46">
        <f>T191</f>
        <v>4114167.2435426391</v>
      </c>
      <c r="W191" s="80">
        <f>12300.53*29</f>
        <v>356715.37</v>
      </c>
      <c r="X191" s="80">
        <f>1638.38+12011.78+(4001.99*2.3654)</f>
        <v>23116.467146000003</v>
      </c>
    </row>
    <row r="192" spans="1:26" ht="82.8">
      <c r="A192" s="310"/>
      <c r="B192" s="311"/>
      <c r="C192" s="63" t="s">
        <v>163</v>
      </c>
      <c r="D192" s="64" t="s">
        <v>101</v>
      </c>
      <c r="E192" s="59" t="s">
        <v>104</v>
      </c>
      <c r="F192" s="59" t="s">
        <v>104</v>
      </c>
      <c r="G192" s="59" t="s">
        <v>104</v>
      </c>
      <c r="H192" s="59" t="s">
        <v>104</v>
      </c>
      <c r="I192" s="59" t="s">
        <v>104</v>
      </c>
      <c r="J192" s="59" t="s">
        <v>104</v>
      </c>
      <c r="K192" s="59" t="s">
        <v>104</v>
      </c>
      <c r="L192" s="123" t="s">
        <v>104</v>
      </c>
      <c r="M192" s="123" t="s">
        <v>104</v>
      </c>
      <c r="N192" s="278"/>
      <c r="O192" s="278"/>
      <c r="P192" s="123" t="s">
        <v>104</v>
      </c>
      <c r="Q192" s="123"/>
      <c r="R192" s="123" t="s">
        <v>104</v>
      </c>
      <c r="S192" s="123"/>
      <c r="T192" s="46"/>
      <c r="U192" s="46"/>
    </row>
    <row r="193" spans="1:23">
      <c r="A193" s="310"/>
      <c r="B193" s="187"/>
      <c r="C193" s="63" t="s">
        <v>165</v>
      </c>
      <c r="D193" s="64"/>
      <c r="E193" s="60">
        <v>1</v>
      </c>
      <c r="F193" s="60">
        <v>1</v>
      </c>
      <c r="G193" s="60">
        <v>1</v>
      </c>
      <c r="H193" s="60">
        <v>1</v>
      </c>
      <c r="I193" s="60">
        <v>1</v>
      </c>
      <c r="J193" s="75">
        <f>K193</f>
        <v>112063.65</v>
      </c>
      <c r="K193" s="75">
        <v>112063.65</v>
      </c>
      <c r="L193" s="123" t="s">
        <v>104</v>
      </c>
      <c r="M193" s="123" t="s">
        <v>104</v>
      </c>
      <c r="N193" s="278">
        <f>O193</f>
        <v>112063.65</v>
      </c>
      <c r="O193" s="280">
        <f>G193*K193</f>
        <v>112063.65</v>
      </c>
      <c r="P193" s="123" t="s">
        <v>104</v>
      </c>
      <c r="Q193" s="123"/>
      <c r="R193" s="123" t="s">
        <v>104</v>
      </c>
      <c r="S193" s="123"/>
      <c r="T193" s="46">
        <f>H193*K193</f>
        <v>112063.65</v>
      </c>
      <c r="U193" s="46">
        <f>I193*K193</f>
        <v>112063.65</v>
      </c>
    </row>
    <row r="194" spans="1:23">
      <c r="A194" s="310"/>
      <c r="B194" s="187"/>
      <c r="C194" s="63" t="s">
        <v>168</v>
      </c>
      <c r="D194" s="64"/>
      <c r="E194" s="60">
        <v>1</v>
      </c>
      <c r="F194" s="60">
        <v>1</v>
      </c>
      <c r="G194" s="60">
        <v>1</v>
      </c>
      <c r="H194" s="60">
        <v>1</v>
      </c>
      <c r="I194" s="60">
        <v>1</v>
      </c>
      <c r="J194" s="75">
        <f>K194</f>
        <v>28342.92</v>
      </c>
      <c r="K194" s="75">
        <v>28342.92</v>
      </c>
      <c r="L194" s="291" t="s">
        <v>104</v>
      </c>
      <c r="M194" s="123" t="s">
        <v>104</v>
      </c>
      <c r="N194" s="278">
        <f>O194</f>
        <v>28342.92</v>
      </c>
      <c r="O194" s="280">
        <f>G194*K194</f>
        <v>28342.92</v>
      </c>
      <c r="P194" s="123" t="s">
        <v>104</v>
      </c>
      <c r="Q194" s="123"/>
      <c r="R194" s="123" t="s">
        <v>104</v>
      </c>
      <c r="S194" s="123"/>
      <c r="T194" s="46">
        <f>H194*K194</f>
        <v>28342.92</v>
      </c>
      <c r="U194" s="46">
        <f>I194*K194</f>
        <v>28342.92</v>
      </c>
    </row>
    <row r="195" spans="1:23" ht="82.8">
      <c r="A195" s="310"/>
      <c r="B195" s="187"/>
      <c r="C195" s="76" t="s">
        <v>173</v>
      </c>
      <c r="D195" s="64" t="s">
        <v>101</v>
      </c>
      <c r="E195" s="79"/>
      <c r="F195" s="79"/>
      <c r="G195" s="59"/>
      <c r="H195" s="79"/>
      <c r="I195" s="79"/>
      <c r="J195" s="75">
        <f>SUM(K195:M195)</f>
        <v>230021.4</v>
      </c>
      <c r="K195" s="75">
        <f>225910.62+1622.42+2488.36</f>
        <v>230021.4</v>
      </c>
      <c r="L195" s="289" t="s">
        <v>321</v>
      </c>
      <c r="M195" s="289" t="s">
        <v>346</v>
      </c>
      <c r="N195" s="280">
        <f>SUM(O195:R195)</f>
        <v>0</v>
      </c>
      <c r="O195" s="280">
        <f>G195*K195</f>
        <v>0</v>
      </c>
      <c r="P195" s="280">
        <f>G195*4001.99*2.3654</f>
        <v>0</v>
      </c>
      <c r="Q195" s="280"/>
      <c r="R195" s="280"/>
      <c r="S195" s="280"/>
      <c r="T195" s="46">
        <f>N195</f>
        <v>0</v>
      </c>
      <c r="U195" s="46">
        <f>T195</f>
        <v>0</v>
      </c>
    </row>
    <row r="196" spans="1:23" ht="82.8">
      <c r="A196" s="310"/>
      <c r="B196" s="187"/>
      <c r="C196" s="61" t="s">
        <v>174</v>
      </c>
      <c r="D196" s="64" t="s">
        <v>101</v>
      </c>
      <c r="E196" s="79">
        <v>2</v>
      </c>
      <c r="F196" s="79">
        <v>2</v>
      </c>
      <c r="G196" s="79">
        <v>2</v>
      </c>
      <c r="H196" s="79">
        <v>2</v>
      </c>
      <c r="I196" s="79">
        <v>2</v>
      </c>
      <c r="J196" s="75">
        <f>K196</f>
        <v>41057.29</v>
      </c>
      <c r="K196" s="75">
        <f>41057.29</f>
        <v>41057.29</v>
      </c>
      <c r="L196" s="194"/>
      <c r="M196" s="194"/>
      <c r="N196" s="280">
        <f>O196</f>
        <v>82114.58</v>
      </c>
      <c r="O196" s="280">
        <f>G196*K196</f>
        <v>82114.58</v>
      </c>
      <c r="P196" s="280"/>
      <c r="Q196" s="280"/>
      <c r="R196" s="280"/>
      <c r="S196" s="280"/>
      <c r="T196" s="46">
        <f>H196*K196</f>
        <v>82114.58</v>
      </c>
      <c r="U196" s="46">
        <f>I196*K196</f>
        <v>82114.58</v>
      </c>
    </row>
    <row r="197" spans="1:23">
      <c r="A197" s="310"/>
      <c r="B197" s="187"/>
      <c r="C197" s="66" t="s">
        <v>106</v>
      </c>
      <c r="D197" s="64"/>
      <c r="E197" s="77" t="s">
        <v>202</v>
      </c>
      <c r="F197" s="77" t="s">
        <v>202</v>
      </c>
      <c r="G197" s="77" t="s">
        <v>202</v>
      </c>
      <c r="H197" s="77" t="s">
        <v>202</v>
      </c>
      <c r="I197" s="77" t="s">
        <v>202</v>
      </c>
      <c r="J197" s="73" t="s">
        <v>104</v>
      </c>
      <c r="K197" s="73" t="s">
        <v>104</v>
      </c>
      <c r="L197" s="194" t="s">
        <v>104</v>
      </c>
      <c r="M197" s="194" t="s">
        <v>104</v>
      </c>
      <c r="N197" s="194">
        <f>SUM(O197:R197)</f>
        <v>9369187.6520669609</v>
      </c>
      <c r="O197" s="194">
        <f>SUM(O190:O196)</f>
        <v>5701371.4700000007</v>
      </c>
      <c r="P197" s="194">
        <f>SUM(P190:P196)</f>
        <v>1223665.9591069599</v>
      </c>
      <c r="Q197" s="194"/>
      <c r="R197" s="194">
        <f t="shared" ref="R197" si="116">SUM(R190:R196)</f>
        <v>2444150.2229599999</v>
      </c>
      <c r="S197" s="194"/>
      <c r="T197" s="278">
        <f>SUM(T190:T196)</f>
        <v>9844028.3320669588</v>
      </c>
      <c r="U197" s="194">
        <f>T197</f>
        <v>9844028.3320669588</v>
      </c>
    </row>
    <row r="198" spans="1:23" ht="179.4">
      <c r="A198" s="310"/>
      <c r="B198" s="189" t="s">
        <v>239</v>
      </c>
      <c r="C198" s="61" t="s">
        <v>128</v>
      </c>
      <c r="D198" s="62" t="s">
        <v>121</v>
      </c>
      <c r="E198" s="121" t="s">
        <v>149</v>
      </c>
      <c r="F198" s="121" t="s">
        <v>149</v>
      </c>
      <c r="G198" s="121" t="s">
        <v>149</v>
      </c>
      <c r="H198" s="121" t="s">
        <v>149</v>
      </c>
      <c r="I198" s="121" t="s">
        <v>149</v>
      </c>
      <c r="J198" s="107" t="s">
        <v>331</v>
      </c>
      <c r="K198" s="107" t="s">
        <v>326</v>
      </c>
      <c r="L198" s="289" t="s">
        <v>321</v>
      </c>
      <c r="M198" s="289" t="s">
        <v>347</v>
      </c>
      <c r="N198" s="280">
        <f>SUM(O198:R198)</f>
        <v>2295544.6890960201</v>
      </c>
      <c r="O198" s="278">
        <f>(841148.96*2)+((1965.79*17)/12*8+(1965.79*17)/12*4)+(2488.36*17)</f>
        <v>1758018.47</v>
      </c>
      <c r="P198" s="280">
        <f>((17*4001.99*2.411294)/12*8)+((17*4001.99*2.411294)/12*4)+(898.87*17)</f>
        <v>179330.35607601999</v>
      </c>
      <c r="Q198" s="280"/>
      <c r="R198" s="46">
        <f>11601.11606*17+2+(9469.11*17)+0.02</f>
        <v>358195.86302000005</v>
      </c>
      <c r="S198" s="46"/>
      <c r="T198" s="46">
        <f>N198+69588.72</f>
        <v>2365133.4090960203</v>
      </c>
      <c r="U198" s="46">
        <f>T198</f>
        <v>2365133.4090960203</v>
      </c>
    </row>
    <row r="199" spans="1:23" ht="82.8">
      <c r="A199" s="310"/>
      <c r="B199" s="187"/>
      <c r="C199" s="63" t="s">
        <v>163</v>
      </c>
      <c r="D199" s="64" t="s">
        <v>101</v>
      </c>
      <c r="E199" s="121"/>
      <c r="F199" s="121"/>
      <c r="G199" s="121"/>
      <c r="H199" s="121"/>
      <c r="I199" s="121"/>
      <c r="J199" s="107"/>
      <c r="K199" s="107"/>
      <c r="L199" s="289"/>
      <c r="M199" s="289"/>
      <c r="N199" s="280"/>
      <c r="O199" s="278"/>
      <c r="P199" s="280"/>
      <c r="Q199" s="280"/>
      <c r="R199" s="46"/>
      <c r="S199" s="46"/>
      <c r="T199" s="46"/>
      <c r="U199" s="46"/>
    </row>
    <row r="200" spans="1:23">
      <c r="A200" s="310"/>
      <c r="B200" s="187"/>
      <c r="C200" s="63" t="s">
        <v>165</v>
      </c>
      <c r="D200" s="64" t="s">
        <v>101</v>
      </c>
      <c r="E200" s="121"/>
      <c r="F200" s="121"/>
      <c r="G200" s="59"/>
      <c r="H200" s="121"/>
      <c r="I200" s="121"/>
      <c r="J200" s="107">
        <f>K200</f>
        <v>112063.65</v>
      </c>
      <c r="K200" s="107">
        <v>112063.65</v>
      </c>
      <c r="L200" s="289"/>
      <c r="M200" s="289"/>
      <c r="N200" s="280">
        <f>O200</f>
        <v>0</v>
      </c>
      <c r="O200" s="278">
        <f>K200*G200</f>
        <v>0</v>
      </c>
      <c r="P200" s="280"/>
      <c r="Q200" s="280"/>
      <c r="R200" s="46"/>
      <c r="S200" s="46"/>
      <c r="T200" s="46">
        <f>G200*K200</f>
        <v>0</v>
      </c>
      <c r="U200" s="46">
        <f>T200</f>
        <v>0</v>
      </c>
    </row>
    <row r="201" spans="1:23">
      <c r="A201" s="310"/>
      <c r="B201" s="187"/>
      <c r="C201" s="63" t="s">
        <v>168</v>
      </c>
      <c r="D201" s="64" t="s">
        <v>101</v>
      </c>
      <c r="E201" s="121">
        <v>1</v>
      </c>
      <c r="F201" s="121">
        <v>1</v>
      </c>
      <c r="G201" s="121">
        <v>1</v>
      </c>
      <c r="H201" s="121">
        <v>1</v>
      </c>
      <c r="I201" s="121">
        <v>1</v>
      </c>
      <c r="J201" s="107">
        <f>K201</f>
        <v>28342.92</v>
      </c>
      <c r="K201" s="107">
        <v>28342.92</v>
      </c>
      <c r="L201" s="289"/>
      <c r="M201" s="289"/>
      <c r="N201" s="280">
        <f>O201</f>
        <v>28342.92</v>
      </c>
      <c r="O201" s="278">
        <f>K201*G201</f>
        <v>28342.92</v>
      </c>
      <c r="P201" s="280"/>
      <c r="Q201" s="280"/>
      <c r="R201" s="46"/>
      <c r="S201" s="46"/>
      <c r="T201" s="46">
        <f>G201*K201</f>
        <v>28342.92</v>
      </c>
      <c r="U201" s="46">
        <f>T201</f>
        <v>28342.92</v>
      </c>
    </row>
    <row r="202" spans="1:23">
      <c r="A202" s="310"/>
      <c r="B202" s="187"/>
      <c r="C202" s="66" t="s">
        <v>106</v>
      </c>
      <c r="D202" s="64"/>
      <c r="E202" s="121" t="str">
        <f>E198</f>
        <v>2\17</v>
      </c>
      <c r="F202" s="121" t="str">
        <f>F198</f>
        <v>2\17</v>
      </c>
      <c r="G202" s="121" t="str">
        <f>G198</f>
        <v>2\17</v>
      </c>
      <c r="H202" s="121" t="str">
        <f>H198</f>
        <v>2\17</v>
      </c>
      <c r="I202" s="121" t="str">
        <f>I198</f>
        <v>2\17</v>
      </c>
      <c r="J202" s="73" t="s">
        <v>104</v>
      </c>
      <c r="K202" s="73" t="s">
        <v>104</v>
      </c>
      <c r="L202" s="194" t="s">
        <v>104</v>
      </c>
      <c r="M202" s="194" t="s">
        <v>104</v>
      </c>
      <c r="N202" s="194">
        <f>SUM(N198:N201)</f>
        <v>2323887.60909602</v>
      </c>
      <c r="O202" s="194">
        <f>SUM(O198:O201)</f>
        <v>1786361.39</v>
      </c>
      <c r="P202" s="194">
        <f t="shared" ref="P202:U202" si="117">SUM(P198:P201)</f>
        <v>179330.35607601999</v>
      </c>
      <c r="Q202" s="194"/>
      <c r="R202" s="194">
        <f>SUM(R198:R201)</f>
        <v>358195.86302000005</v>
      </c>
      <c r="S202" s="194"/>
      <c r="T202" s="194">
        <f>SUM(T198:T201)</f>
        <v>2393476.3290960202</v>
      </c>
      <c r="U202" s="194">
        <f t="shared" si="117"/>
        <v>2393476.3290960202</v>
      </c>
    </row>
    <row r="203" spans="1:23" ht="102" customHeight="1">
      <c r="A203" s="310"/>
      <c r="B203" s="137" t="s">
        <v>240</v>
      </c>
      <c r="C203" s="61" t="s">
        <v>186</v>
      </c>
      <c r="D203" s="64" t="s">
        <v>101</v>
      </c>
      <c r="E203" s="60">
        <v>299</v>
      </c>
      <c r="F203" s="60">
        <v>299</v>
      </c>
      <c r="G203" s="60">
        <v>299</v>
      </c>
      <c r="H203" s="60">
        <v>299</v>
      </c>
      <c r="I203" s="60">
        <v>299</v>
      </c>
      <c r="J203" s="75">
        <f>K203</f>
        <v>4982.75</v>
      </c>
      <c r="K203" s="75">
        <v>4982.75</v>
      </c>
      <c r="L203" s="193" t="s">
        <v>104</v>
      </c>
      <c r="M203" s="193" t="s">
        <v>104</v>
      </c>
      <c r="N203" s="280">
        <f>SUM(O203:R203)</f>
        <v>1495847</v>
      </c>
      <c r="O203" s="280">
        <f>K203*G203+0.75+6004</f>
        <v>1495847</v>
      </c>
      <c r="P203" s="280" t="s">
        <v>104</v>
      </c>
      <c r="Q203" s="280"/>
      <c r="R203" s="280" t="s">
        <v>104</v>
      </c>
      <c r="S203" s="280"/>
      <c r="T203" s="46">
        <f>N203</f>
        <v>1495847</v>
      </c>
      <c r="U203" s="46">
        <f t="shared" ref="U203:U210" si="118">T203</f>
        <v>1495847</v>
      </c>
      <c r="V203" s="80">
        <v>20295724.32</v>
      </c>
      <c r="W203" s="85">
        <f>T212-V203</f>
        <v>-3.3569224178791046E-3</v>
      </c>
    </row>
    <row r="204" spans="1:23">
      <c r="A204" s="310"/>
      <c r="B204" s="69"/>
      <c r="C204" s="66" t="s">
        <v>106</v>
      </c>
      <c r="D204" s="69"/>
      <c r="E204" s="60">
        <f>SUM(E203:E203)</f>
        <v>299</v>
      </c>
      <c r="F204" s="60">
        <f>SUM(F203:F203)</f>
        <v>299</v>
      </c>
      <c r="G204" s="60">
        <f>SUM(G203:G203)</f>
        <v>299</v>
      </c>
      <c r="H204" s="60">
        <f>SUM(H203:H203)</f>
        <v>299</v>
      </c>
      <c r="I204" s="60">
        <f>SUM(I203:I203)</f>
        <v>299</v>
      </c>
      <c r="J204" s="74" t="s">
        <v>104</v>
      </c>
      <c r="K204" s="74" t="s">
        <v>104</v>
      </c>
      <c r="L204" s="194" t="s">
        <v>104</v>
      </c>
      <c r="M204" s="194">
        <f t="shared" ref="M204:R204" si="119">SUM(M203:M203)</f>
        <v>0</v>
      </c>
      <c r="N204" s="194">
        <f t="shared" si="119"/>
        <v>1495847</v>
      </c>
      <c r="O204" s="194">
        <f t="shared" si="119"/>
        <v>1495847</v>
      </c>
      <c r="P204" s="194">
        <f t="shared" si="119"/>
        <v>0</v>
      </c>
      <c r="Q204" s="194"/>
      <c r="R204" s="194">
        <f t="shared" si="119"/>
        <v>0</v>
      </c>
      <c r="S204" s="194"/>
      <c r="T204" s="194">
        <f>N204</f>
        <v>1495847</v>
      </c>
      <c r="U204" s="46">
        <f t="shared" si="118"/>
        <v>1495847</v>
      </c>
    </row>
    <row r="205" spans="1:23" hidden="1">
      <c r="A205" s="310"/>
      <c r="B205" s="69" t="s">
        <v>292</v>
      </c>
      <c r="C205" s="66" t="s">
        <v>226</v>
      </c>
      <c r="D205" s="69"/>
      <c r="E205" s="60"/>
      <c r="F205" s="60"/>
      <c r="G205" s="60"/>
      <c r="H205" s="60"/>
      <c r="I205" s="60"/>
      <c r="J205" s="74"/>
      <c r="K205" s="74"/>
      <c r="L205" s="194"/>
      <c r="M205" s="194"/>
      <c r="N205" s="194">
        <f>P205</f>
        <v>0</v>
      </c>
      <c r="O205" s="194"/>
      <c r="P205" s="194"/>
      <c r="Q205" s="194"/>
      <c r="R205" s="194"/>
      <c r="S205" s="194"/>
      <c r="T205" s="194">
        <f>P205</f>
        <v>0</v>
      </c>
      <c r="U205" s="194">
        <f t="shared" si="118"/>
        <v>0</v>
      </c>
    </row>
    <row r="206" spans="1:23" hidden="1">
      <c r="A206" s="310"/>
      <c r="B206" s="89" t="s">
        <v>225</v>
      </c>
      <c r="C206" s="183" t="s">
        <v>219</v>
      </c>
      <c r="D206" s="64" t="s">
        <v>101</v>
      </c>
      <c r="E206" s="60">
        <v>11</v>
      </c>
      <c r="F206" s="60">
        <v>11</v>
      </c>
      <c r="G206" s="60">
        <v>11</v>
      </c>
      <c r="H206" s="60">
        <v>11</v>
      </c>
      <c r="I206" s="60">
        <v>11</v>
      </c>
      <c r="J206" s="74"/>
      <c r="K206" s="74"/>
      <c r="L206" s="194"/>
      <c r="M206" s="194"/>
      <c r="N206" s="194">
        <f>S206</f>
        <v>0</v>
      </c>
      <c r="O206" s="194"/>
      <c r="P206" s="194"/>
      <c r="Q206" s="194"/>
      <c r="R206" s="194"/>
      <c r="S206" s="194"/>
      <c r="T206" s="194">
        <f>S206</f>
        <v>0</v>
      </c>
      <c r="U206" s="194">
        <f t="shared" si="118"/>
        <v>0</v>
      </c>
    </row>
    <row r="207" spans="1:23" hidden="1">
      <c r="A207" s="310"/>
      <c r="B207" s="89" t="s">
        <v>225</v>
      </c>
      <c r="C207" s="183" t="s">
        <v>226</v>
      </c>
      <c r="D207" s="64" t="s">
        <v>101</v>
      </c>
      <c r="E207" s="60"/>
      <c r="F207" s="60"/>
      <c r="G207" s="60"/>
      <c r="H207" s="60"/>
      <c r="I207" s="60"/>
      <c r="J207" s="74"/>
      <c r="K207" s="74"/>
      <c r="L207" s="194"/>
      <c r="M207" s="194"/>
      <c r="N207" s="194">
        <f>Q207</f>
        <v>0</v>
      </c>
      <c r="O207" s="194"/>
      <c r="P207" s="194"/>
      <c r="Q207" s="194"/>
      <c r="R207" s="194"/>
      <c r="S207" s="194"/>
      <c r="T207" s="194"/>
      <c r="U207" s="194"/>
    </row>
    <row r="208" spans="1:23" hidden="1">
      <c r="A208" s="310"/>
      <c r="B208" s="89" t="s">
        <v>291</v>
      </c>
      <c r="C208" s="183" t="s">
        <v>219</v>
      </c>
      <c r="D208" s="64"/>
      <c r="E208" s="60"/>
      <c r="F208" s="60"/>
      <c r="G208" s="60"/>
      <c r="H208" s="60"/>
      <c r="I208" s="60"/>
      <c r="J208" s="74"/>
      <c r="K208" s="74"/>
      <c r="L208" s="194"/>
      <c r="M208" s="194"/>
      <c r="N208" s="194">
        <f t="shared" ref="N208" si="120">S208</f>
        <v>0</v>
      </c>
      <c r="O208" s="194"/>
      <c r="P208" s="194"/>
      <c r="Q208" s="194"/>
      <c r="R208" s="194"/>
      <c r="S208" s="194"/>
      <c r="T208" s="194"/>
      <c r="U208" s="194"/>
    </row>
    <row r="209" spans="1:24" hidden="1">
      <c r="A209" s="310"/>
      <c r="B209" s="89" t="s">
        <v>307</v>
      </c>
      <c r="C209" s="183" t="s">
        <v>226</v>
      </c>
      <c r="D209" s="64"/>
      <c r="E209" s="60"/>
      <c r="F209" s="60"/>
      <c r="G209" s="60">
        <v>12</v>
      </c>
      <c r="H209" s="60">
        <v>12</v>
      </c>
      <c r="I209" s="60">
        <v>12</v>
      </c>
      <c r="J209" s="74"/>
      <c r="K209" s="74"/>
      <c r="L209" s="194"/>
      <c r="M209" s="194"/>
      <c r="N209" s="194">
        <f>O209</f>
        <v>0</v>
      </c>
      <c r="O209" s="194"/>
      <c r="P209" s="194"/>
      <c r="Q209" s="194"/>
      <c r="R209" s="194"/>
      <c r="S209" s="194"/>
      <c r="T209" s="194"/>
      <c r="U209" s="194">
        <f>T209</f>
        <v>0</v>
      </c>
    </row>
    <row r="210" spans="1:24" hidden="1">
      <c r="A210" s="310"/>
      <c r="B210" s="89" t="s">
        <v>259</v>
      </c>
      <c r="C210" s="183" t="s">
        <v>226</v>
      </c>
      <c r="D210" s="64"/>
      <c r="E210" s="60"/>
      <c r="F210" s="60"/>
      <c r="G210" s="60"/>
      <c r="H210" s="60"/>
      <c r="I210" s="60"/>
      <c r="J210" s="74"/>
      <c r="K210" s="74"/>
      <c r="L210" s="194"/>
      <c r="M210" s="194"/>
      <c r="N210" s="194">
        <f>O210</f>
        <v>0</v>
      </c>
      <c r="O210" s="194"/>
      <c r="P210" s="194"/>
      <c r="Q210" s="194"/>
      <c r="R210" s="194"/>
      <c r="S210" s="194"/>
      <c r="T210" s="194">
        <f>O210</f>
        <v>0</v>
      </c>
      <c r="U210" s="194">
        <f t="shared" si="118"/>
        <v>0</v>
      </c>
    </row>
    <row r="211" spans="1:24" hidden="1">
      <c r="A211" s="310"/>
      <c r="B211" s="89" t="s">
        <v>308</v>
      </c>
      <c r="C211" s="183" t="s">
        <v>226</v>
      </c>
      <c r="D211" s="64"/>
      <c r="E211" s="60"/>
      <c r="F211" s="60"/>
      <c r="G211" s="60"/>
      <c r="H211" s="60"/>
      <c r="I211" s="60"/>
      <c r="J211" s="74"/>
      <c r="K211" s="74"/>
      <c r="L211" s="194"/>
      <c r="M211" s="194"/>
      <c r="N211" s="194">
        <f>P211</f>
        <v>0</v>
      </c>
      <c r="O211" s="194"/>
      <c r="P211" s="194"/>
      <c r="Q211" s="194"/>
      <c r="R211" s="194"/>
      <c r="S211" s="194"/>
      <c r="T211" s="194"/>
      <c r="U211" s="194">
        <f>T211</f>
        <v>0</v>
      </c>
    </row>
    <row r="212" spans="1:24">
      <c r="A212" s="310"/>
      <c r="B212" s="101" t="s">
        <v>112</v>
      </c>
      <c r="C212" s="101"/>
      <c r="D212" s="69"/>
      <c r="E212" s="103"/>
      <c r="F212" s="103"/>
      <c r="G212" s="102">
        <f>85+116+17</f>
        <v>218</v>
      </c>
      <c r="H212" s="102">
        <f>85+116+17</f>
        <v>218</v>
      </c>
      <c r="I212" s="102">
        <f>85+116+17</f>
        <v>218</v>
      </c>
      <c r="J212" s="103"/>
      <c r="K212" s="103"/>
      <c r="L212" s="138"/>
      <c r="M212" s="138"/>
      <c r="N212" s="138">
        <f>SUM(O212:S212)</f>
        <v>19445968.316643082</v>
      </c>
      <c r="O212" s="138">
        <f>O189+O197+O202+O204+O209+O210</f>
        <v>12552999.000000002</v>
      </c>
      <c r="P212" s="138">
        <f>P189+P197+P202+P204+P205+P206+P207+P211</f>
        <v>2299646.9955630796</v>
      </c>
      <c r="Q212" s="138">
        <f t="shared" ref="Q212" si="121">Q189+Q197+Q202+Q204+Q205+Q206+Q207</f>
        <v>0</v>
      </c>
      <c r="R212" s="138">
        <f>R189+R197+R202+R204+R205+R206+R207+R208</f>
        <v>4593322.3210800001</v>
      </c>
      <c r="S212" s="138">
        <f>S189+S197+S202+S204+S205+S206+S207+S208</f>
        <v>0</v>
      </c>
      <c r="T212" s="138">
        <f>T189+T197+T202+T204+T205+T206+T207+T208+T209+T210+T211</f>
        <v>20295724.316643078</v>
      </c>
      <c r="U212" s="138">
        <f>U189+U197+U202+U204+U205+U206+U207+U208+U209+U210+U211</f>
        <v>20295724.316643078</v>
      </c>
      <c r="V212" s="80">
        <v>2496055.3199999998</v>
      </c>
      <c r="W212" s="85">
        <f>V212-R212</f>
        <v>-2097267.0010800003</v>
      </c>
      <c r="X212" s="80">
        <f>W212/I212</f>
        <v>-9620.4908306422039</v>
      </c>
    </row>
    <row r="213" spans="1:24" ht="27" customHeight="1">
      <c r="B213" s="335" t="s">
        <v>231</v>
      </c>
      <c r="C213" s="336"/>
      <c r="D213" s="336"/>
      <c r="E213" s="336"/>
      <c r="F213" s="336"/>
      <c r="G213" s="336"/>
      <c r="H213" s="336"/>
      <c r="I213" s="336"/>
      <c r="J213" s="336"/>
      <c r="K213" s="336"/>
      <c r="L213" s="336"/>
      <c r="M213" s="337"/>
      <c r="N213" s="283">
        <f>N212+N181+N144+N109+N77+N46-0.01</f>
        <v>220662493.85577577</v>
      </c>
      <c r="O213" s="283">
        <f t="shared" ref="O213:S213" si="122">O212+O181+O144+O109+O77+O46</f>
        <v>143276434</v>
      </c>
      <c r="P213" s="283">
        <f t="shared" si="122"/>
        <v>34675370.004669458</v>
      </c>
      <c r="Q213" s="283">
        <f t="shared" si="122"/>
        <v>0</v>
      </c>
      <c r="R213" s="283">
        <f t="shared" si="122"/>
        <v>42710689.861106284</v>
      </c>
      <c r="S213" s="283">
        <f t="shared" si="122"/>
        <v>0</v>
      </c>
      <c r="T213" s="283">
        <f>T212+T181+T144+T109+T77+T46-0.01</f>
        <v>229831453.85577577</v>
      </c>
      <c r="U213" s="283">
        <f>U212+U181+U144+U109+U77+U46-0.01</f>
        <v>229831453.85577577</v>
      </c>
      <c r="X213" s="70" t="s">
        <v>252</v>
      </c>
    </row>
    <row r="214" spans="1:24">
      <c r="A214" s="80" t="s">
        <v>233</v>
      </c>
      <c r="T214" s="284"/>
      <c r="U214" s="284"/>
    </row>
    <row r="215" spans="1:24">
      <c r="A215" s="80" t="s">
        <v>178</v>
      </c>
      <c r="O215" s="196"/>
      <c r="T215" s="196"/>
    </row>
    <row r="216" spans="1:24">
      <c r="O216" s="196"/>
      <c r="T216" s="196"/>
      <c r="U216" s="196"/>
      <c r="X216" s="80">
        <f>12601.84959-590.0704652-587.990779</f>
        <v>11423.7883458</v>
      </c>
    </row>
    <row r="217" spans="1:24">
      <c r="O217" s="196"/>
      <c r="R217" s="196"/>
      <c r="S217" s="196"/>
      <c r="V217" s="85"/>
    </row>
    <row r="218" spans="1:24">
      <c r="O218" s="196"/>
      <c r="P218" s="196"/>
      <c r="R218" s="196"/>
    </row>
    <row r="219" spans="1:24">
      <c r="O219" s="196"/>
      <c r="P219" s="196"/>
      <c r="R219" s="196"/>
      <c r="T219" s="196"/>
    </row>
    <row r="220" spans="1:24">
      <c r="O220" s="196"/>
      <c r="P220" s="196"/>
    </row>
    <row r="221" spans="1:24">
      <c r="O221" s="196"/>
      <c r="P221" s="196"/>
    </row>
    <row r="222" spans="1:24">
      <c r="O222" s="196"/>
      <c r="P222" s="196"/>
    </row>
    <row r="223" spans="1:24">
      <c r="O223" s="196"/>
      <c r="P223" s="196"/>
    </row>
    <row r="224" spans="1:24">
      <c r="O224" s="196"/>
      <c r="P224" s="196"/>
    </row>
    <row r="225" spans="15:18">
      <c r="O225" s="196"/>
      <c r="P225" s="196"/>
    </row>
    <row r="226" spans="15:18">
      <c r="O226" s="196"/>
      <c r="P226" s="196"/>
    </row>
    <row r="227" spans="15:18">
      <c r="O227" s="196"/>
      <c r="P227" s="196"/>
    </row>
    <row r="228" spans="15:18">
      <c r="O228" s="196"/>
      <c r="P228" s="196"/>
    </row>
    <row r="229" spans="15:18">
      <c r="O229" s="196"/>
      <c r="P229" s="196"/>
    </row>
    <row r="230" spans="15:18">
      <c r="O230" s="196"/>
      <c r="P230" s="196"/>
    </row>
    <row r="231" spans="15:18">
      <c r="O231" s="196"/>
      <c r="P231" s="196"/>
    </row>
    <row r="232" spans="15:18">
      <c r="R232" s="196"/>
    </row>
    <row r="233" spans="15:18">
      <c r="R233" s="196"/>
    </row>
    <row r="234" spans="15:18">
      <c r="O234" s="196"/>
      <c r="R234" s="196"/>
    </row>
    <row r="255" spans="15:17">
      <c r="O255" s="196"/>
      <c r="P255" s="196"/>
      <c r="Q255" s="196"/>
    </row>
    <row r="256" spans="15:17">
      <c r="O256" s="196"/>
      <c r="P256" s="196"/>
      <c r="Q256" s="196"/>
    </row>
    <row r="257" spans="1:17">
      <c r="O257" s="196"/>
      <c r="P257" s="196"/>
      <c r="Q257" s="196"/>
    </row>
    <row r="260" spans="1:17">
      <c r="O260" s="196"/>
    </row>
    <row r="262" spans="1:17">
      <c r="H262" s="80">
        <v>2</v>
      </c>
    </row>
    <row r="263" spans="1:17" hidden="1">
      <c r="C263" s="184"/>
      <c r="D263" s="180">
        <v>286</v>
      </c>
      <c r="E263" s="180"/>
      <c r="F263" s="180"/>
      <c r="G263" s="180">
        <v>3</v>
      </c>
      <c r="H263" s="180">
        <v>244</v>
      </c>
      <c r="I263" s="180">
        <v>46</v>
      </c>
      <c r="J263" s="180">
        <v>69</v>
      </c>
      <c r="K263" s="180">
        <f>D263+G263+H263+I263+J263</f>
        <v>648</v>
      </c>
      <c r="L263" s="192" t="s">
        <v>313</v>
      </c>
      <c r="M263" s="192" t="s">
        <v>314</v>
      </c>
      <c r="N263" s="192" t="s">
        <v>315</v>
      </c>
    </row>
    <row r="264" spans="1:17" ht="27.6" hidden="1">
      <c r="A264" s="80" t="s">
        <v>312</v>
      </c>
      <c r="B264" s="214" t="s">
        <v>292</v>
      </c>
      <c r="C264" s="235">
        <v>118131</v>
      </c>
      <c r="D264" s="236"/>
      <c r="E264" s="234"/>
      <c r="F264" s="234"/>
      <c r="G264" s="234"/>
      <c r="H264" s="234"/>
      <c r="I264" s="234"/>
      <c r="J264" s="234"/>
      <c r="K264" s="234"/>
      <c r="L264" s="196">
        <f>(C264+C270)</f>
        <v>522719</v>
      </c>
      <c r="M264" s="196">
        <f>(C268+C269)</f>
        <v>1356154</v>
      </c>
      <c r="N264" s="196">
        <f>(C265+C267)</f>
        <v>3584396</v>
      </c>
      <c r="O264" s="196">
        <f>L264+M264+N264</f>
        <v>5463269</v>
      </c>
    </row>
    <row r="265" spans="1:17" hidden="1">
      <c r="B265" s="89" t="s">
        <v>225</v>
      </c>
      <c r="C265" s="235">
        <v>3308494</v>
      </c>
      <c r="D265" s="236"/>
      <c r="E265" s="234"/>
      <c r="F265" s="234"/>
      <c r="G265" s="234"/>
      <c r="H265" s="234"/>
      <c r="I265" s="234"/>
      <c r="J265" s="234"/>
      <c r="K265" s="234"/>
      <c r="L265" s="196">
        <f>L264/K263</f>
        <v>806.66512345679007</v>
      </c>
      <c r="M265" s="196">
        <f>M264/K263</f>
        <v>2092.8302469135801</v>
      </c>
      <c r="N265" s="196">
        <f>N264/K263</f>
        <v>5531.4753086419751</v>
      </c>
    </row>
    <row r="266" spans="1:17" hidden="1">
      <c r="B266" s="89" t="s">
        <v>225</v>
      </c>
      <c r="C266" s="235"/>
      <c r="D266" s="236"/>
      <c r="E266" s="234"/>
      <c r="F266" s="234"/>
      <c r="G266" s="234"/>
      <c r="H266" s="234"/>
      <c r="I266" s="234"/>
      <c r="J266" s="234"/>
      <c r="K266" s="234"/>
      <c r="L266" s="196"/>
    </row>
    <row r="267" spans="1:17" hidden="1">
      <c r="B267" s="89" t="s">
        <v>291</v>
      </c>
      <c r="C267" s="235">
        <v>275902</v>
      </c>
      <c r="D267" s="236"/>
      <c r="E267" s="234"/>
      <c r="F267" s="234"/>
      <c r="G267" s="234"/>
      <c r="H267" s="234"/>
      <c r="I267" s="234"/>
      <c r="J267" s="234"/>
      <c r="K267" s="234"/>
      <c r="L267" s="196">
        <f>C264+691346</f>
        <v>809477</v>
      </c>
      <c r="M267" s="196">
        <f>C269+3249792</f>
        <v>3522682</v>
      </c>
      <c r="N267" s="196">
        <f>C265</f>
        <v>3308494</v>
      </c>
    </row>
    <row r="268" spans="1:17" hidden="1">
      <c r="B268" s="89" t="s">
        <v>307</v>
      </c>
      <c r="C268" s="235">
        <v>1083264</v>
      </c>
      <c r="D268" s="234"/>
      <c r="E268" s="234"/>
      <c r="F268" s="234"/>
      <c r="G268" s="234"/>
      <c r="H268" s="234"/>
      <c r="I268" s="234"/>
      <c r="J268" s="234"/>
      <c r="K268" s="234"/>
      <c r="L268" s="196">
        <f>L267-L264</f>
        <v>286758</v>
      </c>
      <c r="M268" s="196">
        <f>M267-M264</f>
        <v>2166528</v>
      </c>
      <c r="N268" s="196">
        <f>N267-N264</f>
        <v>-275902</v>
      </c>
    </row>
    <row r="269" spans="1:17" hidden="1">
      <c r="B269" s="89" t="s">
        <v>259</v>
      </c>
      <c r="C269" s="235">
        <v>272890</v>
      </c>
      <c r="D269" s="234"/>
      <c r="E269" s="234"/>
      <c r="F269" s="234"/>
      <c r="G269" s="234"/>
      <c r="H269" s="234"/>
      <c r="I269" s="234"/>
      <c r="J269" s="234"/>
      <c r="K269" s="234"/>
      <c r="L269" s="196">
        <f>L268/K263</f>
        <v>442.52777777777777</v>
      </c>
      <c r="M269" s="196">
        <f>M268/K263</f>
        <v>3343.4074074074074</v>
      </c>
      <c r="N269" s="196">
        <f>N268/K263</f>
        <v>-425.77469135802471</v>
      </c>
    </row>
    <row r="270" spans="1:17" hidden="1">
      <c r="B270" s="89" t="s">
        <v>308</v>
      </c>
      <c r="C270" s="235">
        <v>404588</v>
      </c>
      <c r="D270" s="234"/>
      <c r="E270" s="234"/>
      <c r="F270" s="234"/>
      <c r="G270" s="234"/>
      <c r="H270" s="234"/>
      <c r="I270" s="234"/>
      <c r="J270" s="234"/>
      <c r="K270" s="234"/>
      <c r="L270" s="196">
        <f>D263*L269</f>
        <v>126562.94444444444</v>
      </c>
      <c r="M270" s="196">
        <f>D263*M269</f>
        <v>956214.51851851854</v>
      </c>
      <c r="N270" s="196">
        <f>D263*N269</f>
        <v>-121771.56172839507</v>
      </c>
      <c r="O270" s="196">
        <f>L270+M270+N270</f>
        <v>961005.90123456786</v>
      </c>
    </row>
    <row r="271" spans="1:17" hidden="1">
      <c r="B271" s="101" t="s">
        <v>112</v>
      </c>
      <c r="C271" s="235">
        <f>SUM(C264:C270)</f>
        <v>5463269</v>
      </c>
      <c r="D271" s="234"/>
      <c r="E271" s="234"/>
      <c r="F271" s="234"/>
      <c r="G271" s="234"/>
      <c r="H271" s="234"/>
      <c r="I271" s="234"/>
      <c r="J271" s="234"/>
      <c r="K271" s="234"/>
      <c r="L271" s="196">
        <f>G263*L269</f>
        <v>1327.5833333333333</v>
      </c>
      <c r="M271" s="196">
        <f>G263*M269</f>
        <v>10030.222222222223</v>
      </c>
      <c r="N271" s="196">
        <f>G263*N269</f>
        <v>-1277.3240740740741</v>
      </c>
      <c r="O271" s="196">
        <f t="shared" ref="O271:O275" si="123">L271+M271+N271</f>
        <v>10080.481481481482</v>
      </c>
    </row>
    <row r="272" spans="1:17" hidden="1">
      <c r="L272" s="196">
        <f>242*L269</f>
        <v>107091.72222222222</v>
      </c>
      <c r="M272" s="196">
        <f>242*M269</f>
        <v>809104.59259259258</v>
      </c>
      <c r="N272" s="196">
        <f>242*N269</f>
        <v>-103037.47530864198</v>
      </c>
      <c r="O272" s="196">
        <f t="shared" si="123"/>
        <v>813158.83950617281</v>
      </c>
    </row>
    <row r="273" spans="1:15" hidden="1">
      <c r="D273" s="232"/>
      <c r="L273" s="196">
        <f>2*L269</f>
        <v>885.05555555555554</v>
      </c>
      <c r="M273" s="196">
        <f>2*M269</f>
        <v>6686.8148148148148</v>
      </c>
      <c r="N273" s="196">
        <f>2*N269</f>
        <v>-851.54938271604942</v>
      </c>
      <c r="O273" s="196">
        <f t="shared" si="123"/>
        <v>6720.3209876543206</v>
      </c>
    </row>
    <row r="274" spans="1:15" hidden="1">
      <c r="D274" s="233"/>
      <c r="L274" s="196">
        <f>I263*L269</f>
        <v>20356.277777777777</v>
      </c>
      <c r="M274" s="196">
        <f>I263*M269</f>
        <v>153796.74074074073</v>
      </c>
      <c r="N274" s="196">
        <f>I263*N269</f>
        <v>-19585.635802469136</v>
      </c>
      <c r="O274" s="196">
        <f t="shared" si="123"/>
        <v>154567.38271604938</v>
      </c>
    </row>
    <row r="275" spans="1:15" hidden="1">
      <c r="D275" s="233"/>
      <c r="L275" s="196">
        <f>J263*L269</f>
        <v>30534.416666666668</v>
      </c>
      <c r="M275" s="196">
        <f>J263*M269</f>
        <v>230695.11111111112</v>
      </c>
      <c r="N275" s="196">
        <f>J263*N269</f>
        <v>-29378.453703703704</v>
      </c>
      <c r="O275" s="196">
        <f t="shared" si="123"/>
        <v>231851.07407407407</v>
      </c>
    </row>
    <row r="276" spans="1:15" hidden="1">
      <c r="D276" s="233"/>
    </row>
    <row r="277" spans="1:15" hidden="1">
      <c r="D277" s="233"/>
    </row>
    <row r="278" spans="1:15" hidden="1">
      <c r="D278" s="233"/>
    </row>
    <row r="279" spans="1:15" hidden="1">
      <c r="C279" s="184"/>
      <c r="D279" s="180">
        <v>261</v>
      </c>
      <c r="E279" s="180"/>
      <c r="F279" s="180"/>
      <c r="G279" s="180">
        <v>2</v>
      </c>
      <c r="H279" s="180">
        <v>219</v>
      </c>
      <c r="I279" s="180">
        <v>2</v>
      </c>
      <c r="J279" s="180">
        <v>44</v>
      </c>
      <c r="K279" s="180">
        <f>D279+G279+H279+I279+J279</f>
        <v>528</v>
      </c>
      <c r="L279" s="192" t="s">
        <v>313</v>
      </c>
      <c r="M279" s="192" t="s">
        <v>314</v>
      </c>
      <c r="N279" s="192" t="s">
        <v>315</v>
      </c>
    </row>
    <row r="280" spans="1:15" ht="27.6" hidden="1">
      <c r="A280" s="80" t="s">
        <v>316</v>
      </c>
      <c r="B280" s="214" t="s">
        <v>292</v>
      </c>
      <c r="C280" s="235">
        <v>96255</v>
      </c>
      <c r="D280" s="236"/>
      <c r="E280" s="234"/>
      <c r="F280" s="234"/>
      <c r="G280" s="234"/>
      <c r="H280" s="234"/>
      <c r="I280" s="234"/>
      <c r="J280" s="234"/>
      <c r="K280" s="234"/>
      <c r="L280" s="196">
        <f>C280+C282+C286</f>
        <v>1031146</v>
      </c>
      <c r="M280" s="196">
        <f>C284+C285</f>
        <v>1027677</v>
      </c>
      <c r="N280" s="196">
        <f>C281+C283</f>
        <v>4122597</v>
      </c>
      <c r="O280" s="196">
        <f>L280+M280+N280</f>
        <v>6181420</v>
      </c>
    </row>
    <row r="281" spans="1:15" hidden="1">
      <c r="B281" s="89" t="s">
        <v>225</v>
      </c>
      <c r="C281" s="235">
        <v>3813252</v>
      </c>
      <c r="D281" s="236"/>
      <c r="E281" s="234"/>
      <c r="F281" s="234"/>
      <c r="G281" s="234"/>
      <c r="H281" s="234"/>
      <c r="I281" s="234"/>
      <c r="J281" s="234"/>
      <c r="K281" s="234"/>
      <c r="L281" s="196">
        <f>L280/K279</f>
        <v>1952.9280303030303</v>
      </c>
      <c r="M281" s="196">
        <f>M280/K279</f>
        <v>1946.3579545454545</v>
      </c>
      <c r="N281" s="196">
        <f>N280/K279</f>
        <v>7807.948863636364</v>
      </c>
    </row>
    <row r="282" spans="1:15" hidden="1">
      <c r="B282" s="89" t="s">
        <v>225</v>
      </c>
      <c r="C282" s="235">
        <v>606031</v>
      </c>
      <c r="D282" s="236"/>
      <c r="E282" s="234"/>
      <c r="F282" s="234"/>
      <c r="G282" s="234"/>
      <c r="H282" s="234"/>
      <c r="I282" s="234"/>
      <c r="J282" s="234"/>
      <c r="K282" s="234"/>
    </row>
    <row r="283" spans="1:15" hidden="1">
      <c r="B283" s="89" t="s">
        <v>291</v>
      </c>
      <c r="C283" s="235">
        <v>309345</v>
      </c>
      <c r="D283" s="236"/>
      <c r="E283" s="234"/>
      <c r="F283" s="234"/>
      <c r="G283" s="234"/>
      <c r="H283" s="234"/>
      <c r="I283" s="234"/>
      <c r="J283" s="234"/>
      <c r="K283" s="234"/>
      <c r="L283" s="196">
        <f>C280+C282+563319</f>
        <v>1265605</v>
      </c>
      <c r="M283" s="196">
        <f>C285+2624832</f>
        <v>2777565</v>
      </c>
      <c r="N283" s="196">
        <f>C281</f>
        <v>3813252</v>
      </c>
    </row>
    <row r="284" spans="1:15" hidden="1">
      <c r="B284" s="89" t="s">
        <v>307</v>
      </c>
      <c r="C284" s="235">
        <v>874944</v>
      </c>
      <c r="D284" s="234"/>
      <c r="E284" s="234"/>
      <c r="F284" s="234"/>
      <c r="G284" s="234"/>
      <c r="H284" s="234"/>
      <c r="I284" s="234"/>
      <c r="J284" s="234"/>
      <c r="K284" s="234"/>
      <c r="L284" s="196">
        <f>L283-L280</f>
        <v>234459</v>
      </c>
      <c r="M284" s="196">
        <f>M283-M280</f>
        <v>1749888</v>
      </c>
      <c r="N284" s="196">
        <f>N283-N280</f>
        <v>-309345</v>
      </c>
    </row>
    <row r="285" spans="1:15" hidden="1">
      <c r="B285" s="89" t="s">
        <v>259</v>
      </c>
      <c r="C285" s="235">
        <v>152733</v>
      </c>
      <c r="D285" s="234"/>
      <c r="E285" s="234"/>
      <c r="F285" s="234"/>
      <c r="G285" s="234"/>
      <c r="H285" s="234"/>
      <c r="I285" s="234"/>
      <c r="J285" s="234"/>
      <c r="K285" s="234"/>
      <c r="L285" s="284">
        <f>L284/K279</f>
        <v>444.05113636363637</v>
      </c>
      <c r="M285" s="284">
        <f>M284/K279</f>
        <v>3314.181818181818</v>
      </c>
      <c r="N285" s="284">
        <f>N284/K279</f>
        <v>-585.88068181818187</v>
      </c>
    </row>
    <row r="286" spans="1:15" hidden="1">
      <c r="B286" s="89" t="s">
        <v>308</v>
      </c>
      <c r="C286" s="235">
        <v>328860</v>
      </c>
      <c r="D286" s="234"/>
      <c r="E286" s="234"/>
      <c r="F286" s="234"/>
      <c r="G286" s="234"/>
      <c r="H286" s="234"/>
      <c r="I286" s="234"/>
      <c r="J286" s="234"/>
      <c r="K286" s="234"/>
      <c r="L286" s="196">
        <f>D279*L285</f>
        <v>115897.34659090909</v>
      </c>
      <c r="M286" s="196">
        <f>M285*D279</f>
        <v>865001.45454545447</v>
      </c>
      <c r="N286" s="196">
        <f>D279*N285</f>
        <v>-152914.85795454547</v>
      </c>
      <c r="O286" s="196">
        <f>L286+M286+N286</f>
        <v>827983.94318181812</v>
      </c>
    </row>
    <row r="287" spans="1:15" hidden="1">
      <c r="B287" s="101" t="s">
        <v>112</v>
      </c>
      <c r="C287" s="235">
        <f>SUM(C280:C286)</f>
        <v>6181420</v>
      </c>
      <c r="D287" s="234"/>
      <c r="E287" s="234"/>
      <c r="F287" s="234"/>
      <c r="G287" s="234"/>
      <c r="H287" s="234"/>
      <c r="I287" s="234"/>
      <c r="J287" s="234"/>
      <c r="K287" s="234"/>
      <c r="L287" s="196">
        <f>G279*L285</f>
        <v>888.10227272727275</v>
      </c>
      <c r="M287" s="196">
        <f>G279*M285</f>
        <v>6628.363636363636</v>
      </c>
      <c r="N287" s="196">
        <f>G279*N285</f>
        <v>-1171.7613636363637</v>
      </c>
      <c r="O287" s="196">
        <f t="shared" ref="O287:O290" si="124">L287+M287+N287</f>
        <v>6344.704545454545</v>
      </c>
    </row>
    <row r="288" spans="1:15" hidden="1">
      <c r="L288" s="196">
        <f>H279*L285</f>
        <v>97247.198863636368</v>
      </c>
      <c r="M288" s="196">
        <f>H279*M285</f>
        <v>725805.81818181812</v>
      </c>
      <c r="N288" s="196">
        <f>H279*N285</f>
        <v>-128307.86931818182</v>
      </c>
      <c r="O288" s="196">
        <f t="shared" si="124"/>
        <v>694745.14772727271</v>
      </c>
    </row>
    <row r="289" spans="1:15" hidden="1">
      <c r="L289" s="196">
        <f>I279*L285</f>
        <v>888.10227272727275</v>
      </c>
      <c r="M289" s="196">
        <f>I279*M285</f>
        <v>6628.363636363636</v>
      </c>
      <c r="N289" s="196">
        <f>I279*N285</f>
        <v>-1171.7613636363637</v>
      </c>
      <c r="O289" s="196">
        <f t="shared" si="124"/>
        <v>6344.704545454545</v>
      </c>
    </row>
    <row r="290" spans="1:15" hidden="1">
      <c r="L290" s="196">
        <f>J279*L285</f>
        <v>19538.25</v>
      </c>
      <c r="M290" s="196">
        <f>J279*M285</f>
        <v>145824</v>
      </c>
      <c r="N290" s="196">
        <f>J279*N285</f>
        <v>-25778.750000000004</v>
      </c>
      <c r="O290" s="196">
        <f t="shared" si="124"/>
        <v>139583.5</v>
      </c>
    </row>
    <row r="291" spans="1:15" hidden="1"/>
    <row r="292" spans="1:15" hidden="1">
      <c r="C292" s="184"/>
      <c r="D292" s="180">
        <v>242</v>
      </c>
      <c r="E292" s="180"/>
      <c r="F292" s="180"/>
      <c r="G292" s="180">
        <v>1</v>
      </c>
      <c r="H292" s="180">
        <v>224</v>
      </c>
      <c r="I292" s="180">
        <v>3</v>
      </c>
      <c r="J292" s="180">
        <v>69</v>
      </c>
      <c r="K292" s="180">
        <f>D292+G292+H292+I292+J292</f>
        <v>539</v>
      </c>
      <c r="L292" s="192" t="s">
        <v>313</v>
      </c>
      <c r="M292" s="192" t="s">
        <v>314</v>
      </c>
      <c r="N292" s="192" t="s">
        <v>315</v>
      </c>
    </row>
    <row r="293" spans="1:15" ht="27.6" hidden="1">
      <c r="A293" s="80" t="s">
        <v>317</v>
      </c>
      <c r="B293" s="214" t="s">
        <v>292</v>
      </c>
      <c r="C293" s="235">
        <v>98261</v>
      </c>
      <c r="D293" s="236"/>
      <c r="E293" s="234"/>
      <c r="F293" s="234"/>
      <c r="G293" s="234"/>
      <c r="H293" s="234"/>
      <c r="I293" s="234"/>
      <c r="J293" s="234"/>
      <c r="K293" s="234"/>
      <c r="L293" s="196">
        <f>C293+C295+C299</f>
        <v>598302</v>
      </c>
      <c r="M293" s="196">
        <f>C297</f>
        <v>874944</v>
      </c>
      <c r="N293" s="196">
        <f>C294+C296</f>
        <v>1479238</v>
      </c>
      <c r="O293" s="196">
        <f>L293+M293+N293</f>
        <v>2952484</v>
      </c>
    </row>
    <row r="294" spans="1:15" hidden="1">
      <c r="B294" s="89" t="s">
        <v>225</v>
      </c>
      <c r="C294" s="235">
        <v>1362189</v>
      </c>
      <c r="D294" s="236"/>
      <c r="E294" s="234"/>
      <c r="F294" s="234"/>
      <c r="G294" s="234"/>
      <c r="H294" s="234"/>
      <c r="I294" s="234"/>
      <c r="J294" s="234"/>
      <c r="K294" s="234"/>
      <c r="L294" s="196">
        <f>L293/K292</f>
        <v>1110.0222634508348</v>
      </c>
      <c r="M294" s="196">
        <f>M293/K292</f>
        <v>1623.2727272727273</v>
      </c>
      <c r="N294" s="196">
        <f>N293/K292</f>
        <v>2744.4118738404454</v>
      </c>
    </row>
    <row r="295" spans="1:15" hidden="1">
      <c r="B295" s="89" t="s">
        <v>225</v>
      </c>
      <c r="C295" s="235">
        <v>164828</v>
      </c>
      <c r="D295" s="236"/>
      <c r="E295" s="234"/>
      <c r="F295" s="234"/>
      <c r="G295" s="234"/>
      <c r="H295" s="234"/>
      <c r="I295" s="234"/>
      <c r="J295" s="234"/>
      <c r="K295" s="234"/>
    </row>
    <row r="296" spans="1:15" hidden="1">
      <c r="B296" s="89" t="s">
        <v>291</v>
      </c>
      <c r="C296" s="235">
        <v>117049</v>
      </c>
      <c r="D296" s="236"/>
      <c r="E296" s="234"/>
      <c r="F296" s="234"/>
      <c r="G296" s="234"/>
      <c r="H296" s="234"/>
      <c r="I296" s="234"/>
      <c r="J296" s="234"/>
      <c r="K296" s="234"/>
      <c r="L296" s="196">
        <f>C293+C295+575056</f>
        <v>838145</v>
      </c>
      <c r="M296" s="196">
        <f>2624832</f>
        <v>2624832</v>
      </c>
      <c r="N296" s="196">
        <f>C294</f>
        <v>1362189</v>
      </c>
    </row>
    <row r="297" spans="1:15" hidden="1">
      <c r="B297" s="89" t="s">
        <v>307</v>
      </c>
      <c r="C297" s="235">
        <v>874944</v>
      </c>
      <c r="D297" s="234"/>
      <c r="E297" s="234"/>
      <c r="F297" s="234"/>
      <c r="G297" s="234"/>
      <c r="H297" s="234"/>
      <c r="I297" s="234"/>
      <c r="J297" s="234"/>
      <c r="K297" s="234"/>
      <c r="L297" s="196">
        <f>L296-L293</f>
        <v>239843</v>
      </c>
      <c r="M297" s="196">
        <f>M296-M293</f>
        <v>1749888</v>
      </c>
      <c r="N297" s="196">
        <f>N296-N293</f>
        <v>-117049</v>
      </c>
    </row>
    <row r="298" spans="1:15" hidden="1">
      <c r="B298" s="89" t="s">
        <v>259</v>
      </c>
      <c r="C298" s="235">
        <v>0</v>
      </c>
      <c r="D298" s="234"/>
      <c r="E298" s="234"/>
      <c r="F298" s="234"/>
      <c r="G298" s="234"/>
      <c r="H298" s="234"/>
      <c r="I298" s="234"/>
      <c r="J298" s="234"/>
      <c r="K298" s="234"/>
      <c r="L298" s="196">
        <f>L297/K292</f>
        <v>444.97773654916512</v>
      </c>
      <c r="M298" s="196">
        <f>M297/K292</f>
        <v>3246.5454545454545</v>
      </c>
      <c r="N298" s="196">
        <f>N297/K292</f>
        <v>-217.1595547309833</v>
      </c>
    </row>
    <row r="299" spans="1:15" hidden="1">
      <c r="B299" s="89" t="s">
        <v>308</v>
      </c>
      <c r="C299" s="235">
        <v>335213</v>
      </c>
      <c r="D299" s="234"/>
      <c r="E299" s="234"/>
      <c r="F299" s="234"/>
      <c r="G299" s="234"/>
      <c r="H299" s="234"/>
      <c r="I299" s="234"/>
      <c r="J299" s="234"/>
      <c r="K299" s="234"/>
      <c r="L299" s="196">
        <f>D292*L298</f>
        <v>107684.61224489796</v>
      </c>
      <c r="M299" s="196">
        <f>D292*M298</f>
        <v>785664</v>
      </c>
      <c r="N299" s="196">
        <f>D292*N298</f>
        <v>-52552.612244897959</v>
      </c>
      <c r="O299" s="196">
        <f>L299+M299+N299</f>
        <v>840796</v>
      </c>
    </row>
    <row r="300" spans="1:15" hidden="1">
      <c r="B300" s="101" t="s">
        <v>112</v>
      </c>
      <c r="C300" s="235">
        <f>SUM(C293:C299)</f>
        <v>2952484</v>
      </c>
      <c r="D300" s="234"/>
      <c r="E300" s="234"/>
      <c r="F300" s="234"/>
      <c r="G300" s="234"/>
      <c r="H300" s="234"/>
      <c r="I300" s="234"/>
      <c r="J300" s="234"/>
      <c r="K300" s="234"/>
      <c r="L300" s="196">
        <f>G292*L298</f>
        <v>444.97773654916512</v>
      </c>
      <c r="M300" s="196">
        <f>G292*M298</f>
        <v>3246.5454545454545</v>
      </c>
      <c r="N300" s="196">
        <f>G292*N298</f>
        <v>-217.1595547309833</v>
      </c>
      <c r="O300" s="196">
        <f t="shared" ref="O300:O303" si="125">L300+M300+N300</f>
        <v>3474.363636363636</v>
      </c>
    </row>
    <row r="301" spans="1:15" hidden="1">
      <c r="L301" s="196">
        <f>H292*L298</f>
        <v>99675.012987012989</v>
      </c>
      <c r="M301" s="196">
        <f>H292*M298</f>
        <v>727226.18181818177</v>
      </c>
      <c r="N301" s="196">
        <f>H292*N298</f>
        <v>-48643.740259740262</v>
      </c>
      <c r="O301" s="196">
        <f t="shared" si="125"/>
        <v>778257.45454545447</v>
      </c>
    </row>
    <row r="302" spans="1:15" hidden="1">
      <c r="L302" s="196">
        <f>I292*L298</f>
        <v>1334.9332096474955</v>
      </c>
      <c r="M302" s="196">
        <f>I292*M298</f>
        <v>9739.636363636364</v>
      </c>
      <c r="N302" s="196">
        <f>I292*N298</f>
        <v>-651.47866419294996</v>
      </c>
      <c r="O302" s="196">
        <f t="shared" si="125"/>
        <v>10423.09090909091</v>
      </c>
    </row>
    <row r="303" spans="1:15" hidden="1">
      <c r="L303" s="196">
        <f>J292*L298</f>
        <v>30703.463821892394</v>
      </c>
      <c r="M303" s="196">
        <f>J292*M298</f>
        <v>224011.63636363635</v>
      </c>
      <c r="N303" s="196">
        <f>J292*N298</f>
        <v>-14984.009276437848</v>
      </c>
      <c r="O303" s="196">
        <f t="shared" si="125"/>
        <v>239731.09090909091</v>
      </c>
    </row>
    <row r="304" spans="1:15" hidden="1"/>
    <row r="305" spans="1:17" hidden="1">
      <c r="C305" s="184"/>
      <c r="D305" s="180">
        <v>206</v>
      </c>
      <c r="E305" s="180"/>
      <c r="F305" s="180"/>
      <c r="G305" s="180">
        <v>5</v>
      </c>
      <c r="H305" s="180">
        <v>238</v>
      </c>
      <c r="I305" s="180">
        <v>1</v>
      </c>
      <c r="J305" s="180">
        <v>33</v>
      </c>
      <c r="K305" s="180">
        <f>D305+G305+H305+I305+J305</f>
        <v>483</v>
      </c>
      <c r="L305" s="192" t="s">
        <v>313</v>
      </c>
      <c r="M305" s="192" t="s">
        <v>314</v>
      </c>
      <c r="N305" s="192" t="s">
        <v>315</v>
      </c>
    </row>
    <row r="306" spans="1:17" ht="27.6" hidden="1">
      <c r="A306" s="80" t="s">
        <v>318</v>
      </c>
      <c r="B306" s="214" t="s">
        <v>292</v>
      </c>
      <c r="C306" s="235">
        <v>88052</v>
      </c>
      <c r="D306" s="236"/>
      <c r="E306" s="234"/>
      <c r="F306" s="234"/>
      <c r="G306" s="234"/>
      <c r="H306" s="234"/>
      <c r="I306" s="234"/>
      <c r="J306" s="234"/>
      <c r="K306" s="234"/>
      <c r="L306" s="196">
        <f>C306+C312</f>
        <v>388924</v>
      </c>
      <c r="M306" s="196">
        <f>C310+C311</f>
        <v>1185246</v>
      </c>
      <c r="N306" s="196">
        <f>C307+C309</f>
        <v>2227002</v>
      </c>
      <c r="O306" s="196">
        <f>L306+M306+N306</f>
        <v>3801172</v>
      </c>
    </row>
    <row r="307" spans="1:17" hidden="1">
      <c r="B307" s="89" t="s">
        <v>225</v>
      </c>
      <c r="C307" s="235">
        <v>2026333</v>
      </c>
      <c r="D307" s="236"/>
      <c r="E307" s="234"/>
      <c r="F307" s="234"/>
      <c r="G307" s="234"/>
      <c r="H307" s="234"/>
      <c r="I307" s="234"/>
      <c r="J307" s="234"/>
      <c r="K307" s="234"/>
      <c r="L307" s="196">
        <f>L306/K305</f>
        <v>805.22567287784682</v>
      </c>
      <c r="M307" s="196">
        <f>M306/K305</f>
        <v>2453.9254658385094</v>
      </c>
      <c r="N307" s="196">
        <f>N306/K305</f>
        <v>4610.7701863354041</v>
      </c>
    </row>
    <row r="308" spans="1:17" hidden="1">
      <c r="B308" s="89" t="s">
        <v>225</v>
      </c>
      <c r="C308" s="235">
        <v>0</v>
      </c>
      <c r="D308" s="236"/>
      <c r="E308" s="234"/>
      <c r="F308" s="234"/>
      <c r="G308" s="234"/>
      <c r="H308" s="234"/>
      <c r="I308" s="234"/>
      <c r="J308" s="234"/>
      <c r="K308" s="234"/>
    </row>
    <row r="309" spans="1:17" hidden="1">
      <c r="B309" s="89" t="s">
        <v>291</v>
      </c>
      <c r="C309" s="235">
        <v>200669</v>
      </c>
      <c r="D309" s="236"/>
      <c r="E309" s="234"/>
      <c r="F309" s="234"/>
      <c r="G309" s="234"/>
      <c r="H309" s="234"/>
      <c r="I309" s="234"/>
      <c r="J309" s="234"/>
      <c r="K309" s="234"/>
      <c r="L309" s="196">
        <f>C306+515309</f>
        <v>603361</v>
      </c>
      <c r="M309" s="196">
        <f>C311+2499840</f>
        <v>2851806</v>
      </c>
      <c r="N309" s="196">
        <f>C307</f>
        <v>2026333</v>
      </c>
    </row>
    <row r="310" spans="1:17" hidden="1">
      <c r="B310" s="89" t="s">
        <v>307</v>
      </c>
      <c r="C310" s="235">
        <v>833280</v>
      </c>
      <c r="D310" s="234"/>
      <c r="E310" s="234"/>
      <c r="F310" s="234"/>
      <c r="G310" s="234"/>
      <c r="H310" s="234"/>
      <c r="I310" s="234"/>
      <c r="J310" s="234"/>
      <c r="K310" s="234"/>
      <c r="L310" s="196">
        <f>L309-L306</f>
        <v>214437</v>
      </c>
      <c r="M310" s="196">
        <f>M309-M306</f>
        <v>1666560</v>
      </c>
      <c r="N310" s="196">
        <f>N309-N306</f>
        <v>-200669</v>
      </c>
    </row>
    <row r="311" spans="1:17" hidden="1">
      <c r="B311" s="89" t="s">
        <v>259</v>
      </c>
      <c r="C311" s="235">
        <v>351966</v>
      </c>
      <c r="D311" s="234"/>
      <c r="E311" s="234"/>
      <c r="F311" s="234"/>
      <c r="G311" s="234"/>
      <c r="H311" s="234"/>
      <c r="I311" s="234"/>
      <c r="J311" s="234"/>
      <c r="K311" s="234"/>
      <c r="L311" s="196">
        <f>L310/K305</f>
        <v>443.96894409937886</v>
      </c>
      <c r="M311" s="196">
        <f>M310/K305</f>
        <v>3450.4347826086955</v>
      </c>
      <c r="N311" s="196">
        <f>N310/K305</f>
        <v>-415.463768115942</v>
      </c>
    </row>
    <row r="312" spans="1:17" hidden="1">
      <c r="B312" s="89" t="s">
        <v>308</v>
      </c>
      <c r="C312" s="235">
        <v>300872</v>
      </c>
      <c r="D312" s="234"/>
      <c r="E312" s="234"/>
      <c r="F312" s="234"/>
      <c r="G312" s="234"/>
      <c r="H312" s="234"/>
      <c r="I312" s="234"/>
      <c r="J312" s="234"/>
      <c r="K312" s="234"/>
      <c r="L312" s="196">
        <f>D305*L311</f>
        <v>91457.602484472038</v>
      </c>
      <c r="M312" s="196">
        <f>M311*D305</f>
        <v>710789.56521739124</v>
      </c>
      <c r="N312" s="196">
        <f>D305*N311</f>
        <v>-85585.536231884049</v>
      </c>
      <c r="O312" s="196">
        <f>L312+M312+N312</f>
        <v>716661.63146997918</v>
      </c>
    </row>
    <row r="313" spans="1:17" hidden="1">
      <c r="B313" s="101" t="s">
        <v>112</v>
      </c>
      <c r="C313" s="235">
        <f>SUM(C306:C312)</f>
        <v>3801172</v>
      </c>
      <c r="D313" s="234"/>
      <c r="E313" s="234"/>
      <c r="F313" s="234"/>
      <c r="G313" s="234"/>
      <c r="H313" s="234"/>
      <c r="I313" s="234"/>
      <c r="J313" s="234"/>
      <c r="K313" s="234"/>
      <c r="L313" s="196">
        <f>G305*L311</f>
        <v>2219.8447204968943</v>
      </c>
      <c r="M313" s="196">
        <f>G305*M311</f>
        <v>17252.173913043476</v>
      </c>
      <c r="N313" s="196">
        <f>G305*N311</f>
        <v>-2077.31884057971</v>
      </c>
      <c r="O313" s="196">
        <f t="shared" ref="O313:O316" si="126">L313+M313+N313</f>
        <v>17394.699792960659</v>
      </c>
    </row>
    <row r="314" spans="1:17" hidden="1">
      <c r="L314" s="196">
        <f>H305*L311</f>
        <v>105664.60869565216</v>
      </c>
      <c r="M314" s="196">
        <f>H305*M311</f>
        <v>821203.47826086951</v>
      </c>
      <c r="N314" s="196">
        <f>H305*N311</f>
        <v>-98880.376811594193</v>
      </c>
      <c r="O314" s="196">
        <f t="shared" si="126"/>
        <v>827987.71014492749</v>
      </c>
    </row>
    <row r="315" spans="1:17" hidden="1">
      <c r="L315" s="196">
        <f>I305*L311</f>
        <v>443.96894409937886</v>
      </c>
      <c r="M315" s="196">
        <f>I305*M311</f>
        <v>3450.4347826086955</v>
      </c>
      <c r="N315" s="196">
        <f>I305*N311</f>
        <v>-415.463768115942</v>
      </c>
      <c r="O315" s="196">
        <f t="shared" si="126"/>
        <v>3478.9399585921324</v>
      </c>
    </row>
    <row r="316" spans="1:17" hidden="1">
      <c r="L316" s="196">
        <f>J305*L311</f>
        <v>14650.975155279502</v>
      </c>
      <c r="M316" s="196">
        <f>J305*M311</f>
        <v>113864.34782608695</v>
      </c>
      <c r="N316" s="196">
        <f>J305*N311</f>
        <v>-13710.304347826086</v>
      </c>
      <c r="O316" s="196">
        <f t="shared" si="126"/>
        <v>114805.01863354037</v>
      </c>
    </row>
    <row r="317" spans="1:17" hidden="1">
      <c r="N317" s="192" t="s">
        <v>313</v>
      </c>
      <c r="O317" s="192" t="s">
        <v>314</v>
      </c>
      <c r="P317" s="192" t="s">
        <v>315</v>
      </c>
    </row>
    <row r="318" spans="1:17" hidden="1">
      <c r="C318" s="184"/>
      <c r="D318" s="180">
        <v>316</v>
      </c>
      <c r="E318" s="180"/>
      <c r="F318" s="180"/>
      <c r="G318" s="180">
        <v>2</v>
      </c>
      <c r="H318" s="180">
        <v>196</v>
      </c>
      <c r="I318" s="180">
        <v>206</v>
      </c>
      <c r="J318" s="180">
        <v>1</v>
      </c>
      <c r="K318" s="180">
        <v>51</v>
      </c>
      <c r="L318" s="247">
        <v>53</v>
      </c>
      <c r="M318" s="247">
        <f>D318+G318+H318+I318+J318+K318+L318</f>
        <v>825</v>
      </c>
    </row>
    <row r="319" spans="1:17" ht="27.6" hidden="1">
      <c r="A319" s="80" t="s">
        <v>319</v>
      </c>
      <c r="B319" s="214" t="s">
        <v>292</v>
      </c>
      <c r="C319" s="194">
        <v>150399</v>
      </c>
      <c r="D319" s="236"/>
      <c r="E319" s="234"/>
      <c r="F319" s="234"/>
      <c r="G319" s="234"/>
      <c r="H319" s="234"/>
      <c r="I319" s="234"/>
      <c r="J319" s="234"/>
      <c r="K319" s="180"/>
      <c r="L319" s="247"/>
      <c r="M319" s="247"/>
      <c r="N319" s="196">
        <f>C319+C325</f>
        <v>662764</v>
      </c>
      <c r="O319" s="196">
        <f>C323+C324</f>
        <v>1800175</v>
      </c>
      <c r="P319" s="196">
        <f>C320+C322</f>
        <v>182500</v>
      </c>
      <c r="Q319" s="196">
        <f>N319+O319+P319</f>
        <v>2645439</v>
      </c>
    </row>
    <row r="320" spans="1:17" hidden="1">
      <c r="B320" s="89" t="s">
        <v>225</v>
      </c>
      <c r="C320" s="194">
        <v>179700</v>
      </c>
      <c r="D320" s="236"/>
      <c r="E320" s="234"/>
      <c r="F320" s="234"/>
      <c r="G320" s="234"/>
      <c r="H320" s="234"/>
      <c r="I320" s="234"/>
      <c r="J320" s="234"/>
      <c r="K320" s="180"/>
      <c r="L320" s="247"/>
      <c r="M320" s="247"/>
      <c r="N320" s="196">
        <f>N319/M318</f>
        <v>803.35030303030305</v>
      </c>
      <c r="O320" s="196">
        <f>O319/M318</f>
        <v>2182.030303030303</v>
      </c>
      <c r="P320" s="196">
        <f>P319/M318</f>
        <v>221.21212121212122</v>
      </c>
    </row>
    <row r="321" spans="1:17" hidden="1">
      <c r="B321" s="89" t="s">
        <v>225</v>
      </c>
      <c r="C321" s="194">
        <v>0</v>
      </c>
      <c r="D321" s="236"/>
      <c r="E321" s="234"/>
      <c r="F321" s="234"/>
      <c r="G321" s="234"/>
      <c r="H321" s="234"/>
      <c r="I321" s="234"/>
      <c r="J321" s="234"/>
      <c r="K321" s="180"/>
      <c r="L321" s="247"/>
      <c r="M321" s="247"/>
    </row>
    <row r="322" spans="1:17" hidden="1">
      <c r="B322" s="89" t="s">
        <v>291</v>
      </c>
      <c r="C322" s="194">
        <v>2800</v>
      </c>
      <c r="D322" s="236"/>
      <c r="E322" s="234"/>
      <c r="F322" s="234"/>
      <c r="G322" s="234"/>
      <c r="H322" s="234"/>
      <c r="I322" s="234"/>
      <c r="J322" s="234"/>
      <c r="K322" s="180"/>
      <c r="L322" s="247"/>
      <c r="M322" s="247"/>
      <c r="N322" s="196">
        <f>C319+880187</f>
        <v>1030586</v>
      </c>
      <c r="O322" s="196">
        <f>C324+3874752</f>
        <v>4383343</v>
      </c>
      <c r="P322" s="196">
        <f>C320</f>
        <v>179700</v>
      </c>
    </row>
    <row r="323" spans="1:17" hidden="1">
      <c r="B323" s="89" t="s">
        <v>307</v>
      </c>
      <c r="C323" s="194">
        <v>1291584</v>
      </c>
      <c r="D323" s="234"/>
      <c r="E323" s="234"/>
      <c r="F323" s="234"/>
      <c r="G323" s="234"/>
      <c r="H323" s="234"/>
      <c r="I323" s="234"/>
      <c r="J323" s="234"/>
      <c r="K323" s="180"/>
      <c r="L323" s="247"/>
      <c r="M323" s="247"/>
      <c r="N323" s="196">
        <f>N322-N319</f>
        <v>367822</v>
      </c>
      <c r="O323" s="196">
        <f>O322-O319</f>
        <v>2583168</v>
      </c>
      <c r="P323" s="196">
        <f>P322-P319</f>
        <v>-2800</v>
      </c>
    </row>
    <row r="324" spans="1:17" hidden="1">
      <c r="B324" s="89" t="s">
        <v>259</v>
      </c>
      <c r="C324" s="194">
        <v>508591</v>
      </c>
      <c r="D324" s="234"/>
      <c r="E324" s="234"/>
      <c r="F324" s="234"/>
      <c r="G324" s="234"/>
      <c r="H324" s="234"/>
      <c r="I324" s="234"/>
      <c r="J324" s="234"/>
      <c r="K324" s="180"/>
      <c r="L324" s="247"/>
      <c r="M324" s="247"/>
      <c r="N324" s="196">
        <f>N323/M318</f>
        <v>445.84484848484851</v>
      </c>
      <c r="O324" s="196">
        <f>O323/M318</f>
        <v>3131.1127272727272</v>
      </c>
      <c r="P324" s="196">
        <f>P323/M318</f>
        <v>-3.393939393939394</v>
      </c>
    </row>
    <row r="325" spans="1:17" hidden="1">
      <c r="B325" s="89" t="s">
        <v>308</v>
      </c>
      <c r="C325" s="194">
        <v>512365</v>
      </c>
      <c r="D325" s="234"/>
      <c r="E325" s="234"/>
      <c r="F325" s="234"/>
      <c r="G325" s="234"/>
      <c r="H325" s="234"/>
      <c r="I325" s="234"/>
      <c r="J325" s="234"/>
      <c r="K325" s="180"/>
      <c r="L325" s="247"/>
      <c r="M325" s="247"/>
      <c r="N325" s="196">
        <f>D318*N324</f>
        <v>140886.97212121214</v>
      </c>
      <c r="O325" s="196">
        <f>D318*O324</f>
        <v>989431.62181818183</v>
      </c>
      <c r="P325" s="196">
        <f>D318*P324</f>
        <v>-1072.4848484848485</v>
      </c>
      <c r="Q325" s="196">
        <f>N325+O325+P325</f>
        <v>1129246.1090909091</v>
      </c>
    </row>
    <row r="326" spans="1:17" hidden="1">
      <c r="B326" s="101" t="s">
        <v>112</v>
      </c>
      <c r="C326" s="235">
        <f>SUM(C319:C325)</f>
        <v>2645439</v>
      </c>
      <c r="D326" s="234"/>
      <c r="E326" s="234"/>
      <c r="F326" s="234"/>
      <c r="G326" s="234"/>
      <c r="H326" s="234"/>
      <c r="I326" s="234"/>
      <c r="J326" s="234"/>
      <c r="K326" s="180"/>
      <c r="L326" s="247"/>
      <c r="M326" s="247"/>
      <c r="N326" s="196">
        <f>G318*N324</f>
        <v>891.68969696969702</v>
      </c>
      <c r="O326" s="196">
        <f>G318*O324</f>
        <v>6262.2254545454543</v>
      </c>
      <c r="P326" s="196">
        <f>G318*P324</f>
        <v>-6.7878787878787881</v>
      </c>
      <c r="Q326" s="196">
        <f t="shared" ref="Q326:Q331" si="127">N326+O326+P326</f>
        <v>7147.1272727272726</v>
      </c>
    </row>
    <row r="327" spans="1:17" hidden="1">
      <c r="N327" s="196">
        <f>H318*N324</f>
        <v>87385.590303030302</v>
      </c>
      <c r="O327" s="196">
        <f>H318*O324</f>
        <v>613698.09454545449</v>
      </c>
      <c r="P327" s="196">
        <f>H318*P324</f>
        <v>-665.21212121212125</v>
      </c>
      <c r="Q327" s="196">
        <f t="shared" si="127"/>
        <v>700418.47272727266</v>
      </c>
    </row>
    <row r="328" spans="1:17" hidden="1">
      <c r="N328" s="196">
        <f>I318*N324</f>
        <v>91844.038787878788</v>
      </c>
      <c r="O328" s="196">
        <f>I318*O324</f>
        <v>645009.2218181818</v>
      </c>
      <c r="P328" s="196">
        <f>I318*P324</f>
        <v>-699.15151515151513</v>
      </c>
      <c r="Q328" s="196">
        <f t="shared" si="127"/>
        <v>736154.10909090913</v>
      </c>
    </row>
    <row r="329" spans="1:17" hidden="1">
      <c r="N329" s="196">
        <f>J318*N324</f>
        <v>445.84484848484851</v>
      </c>
      <c r="O329" s="196">
        <f>J318*O324</f>
        <v>3131.1127272727272</v>
      </c>
      <c r="P329" s="196">
        <f>J318*P324</f>
        <v>-3.393939393939394</v>
      </c>
      <c r="Q329" s="196">
        <f t="shared" si="127"/>
        <v>3573.5636363636363</v>
      </c>
    </row>
    <row r="330" spans="1:17" hidden="1">
      <c r="N330" s="196">
        <f>K318*N324</f>
        <v>22738.087272727273</v>
      </c>
      <c r="O330" s="196">
        <f>K318*O324</f>
        <v>159686.74909090908</v>
      </c>
      <c r="P330" s="196">
        <f>K318*P324</f>
        <v>-173.09090909090909</v>
      </c>
      <c r="Q330" s="196">
        <f t="shared" si="127"/>
        <v>182251.74545454545</v>
      </c>
    </row>
    <row r="331" spans="1:17" hidden="1">
      <c r="N331" s="196">
        <f>L318*N324</f>
        <v>23629.77696969697</v>
      </c>
      <c r="O331" s="196">
        <f>L318*O324</f>
        <v>165948.97454545455</v>
      </c>
      <c r="P331" s="196">
        <f>L318*P324</f>
        <v>-179.87878787878788</v>
      </c>
      <c r="Q331" s="196">
        <f t="shared" si="127"/>
        <v>189398.87272727274</v>
      </c>
    </row>
    <row r="332" spans="1:17" hidden="1">
      <c r="M332" s="192" t="s">
        <v>313</v>
      </c>
      <c r="N332" s="192" t="s">
        <v>314</v>
      </c>
      <c r="O332" s="192" t="s">
        <v>315</v>
      </c>
    </row>
    <row r="333" spans="1:17" hidden="1">
      <c r="C333" s="184"/>
      <c r="D333" s="180">
        <v>67</v>
      </c>
      <c r="E333" s="180"/>
      <c r="F333" s="180"/>
      <c r="G333" s="180">
        <v>17</v>
      </c>
      <c r="H333" s="180">
        <v>1</v>
      </c>
      <c r="I333" s="180">
        <v>72</v>
      </c>
      <c r="J333" s="180">
        <v>44</v>
      </c>
      <c r="K333" s="180">
        <v>17</v>
      </c>
      <c r="L333" s="247">
        <f>D333+G333+H333+I333+J333+K333</f>
        <v>218</v>
      </c>
    </row>
    <row r="334" spans="1:17" ht="27.6" hidden="1">
      <c r="A334" s="80" t="s">
        <v>320</v>
      </c>
      <c r="B334" s="214" t="s">
        <v>292</v>
      </c>
      <c r="C334" s="235">
        <v>39742</v>
      </c>
      <c r="D334" s="236"/>
      <c r="E334" s="234"/>
      <c r="F334" s="234"/>
      <c r="G334" s="234"/>
      <c r="H334" s="234"/>
      <c r="I334" s="234"/>
      <c r="J334" s="234"/>
      <c r="K334" s="234"/>
      <c r="L334" s="251"/>
      <c r="M334" s="196">
        <f>C334+C336+C340</f>
        <v>195953</v>
      </c>
      <c r="N334" s="196">
        <f>C338+C339</f>
        <v>542463</v>
      </c>
      <c r="O334" s="196">
        <f>C335+C337</f>
        <v>2064267</v>
      </c>
      <c r="P334" s="196">
        <f>M334+N334+O334</f>
        <v>2802683</v>
      </c>
    </row>
    <row r="335" spans="1:17" hidden="1">
      <c r="B335" s="89" t="s">
        <v>225</v>
      </c>
      <c r="C335" s="235">
        <v>1880332</v>
      </c>
      <c r="D335" s="236"/>
      <c r="E335" s="234"/>
      <c r="F335" s="234"/>
      <c r="G335" s="234"/>
      <c r="H335" s="234"/>
      <c r="I335" s="234"/>
      <c r="J335" s="234"/>
      <c r="K335" s="234"/>
      <c r="L335" s="247"/>
      <c r="M335" s="196">
        <f>M334/L333</f>
        <v>898.86697247706422</v>
      </c>
      <c r="N335" s="196">
        <f>N334/L333</f>
        <v>2488.3623853211011</v>
      </c>
      <c r="O335" s="196">
        <f>O334/L333</f>
        <v>9469.1146788990827</v>
      </c>
    </row>
    <row r="336" spans="1:17" hidden="1">
      <c r="B336" s="89" t="s">
        <v>225</v>
      </c>
      <c r="C336" s="235">
        <v>21109</v>
      </c>
      <c r="D336" s="236"/>
      <c r="E336" s="234"/>
      <c r="F336" s="234"/>
      <c r="G336" s="234"/>
      <c r="H336" s="234"/>
      <c r="I336" s="234"/>
      <c r="J336" s="234"/>
      <c r="K336" s="234"/>
      <c r="L336" s="247"/>
    </row>
    <row r="337" spans="2:16" hidden="1">
      <c r="B337" s="89" t="s">
        <v>291</v>
      </c>
      <c r="C337" s="235">
        <v>183935</v>
      </c>
      <c r="D337" s="236"/>
      <c r="E337" s="234"/>
      <c r="F337" s="234"/>
      <c r="G337" s="234"/>
      <c r="H337" s="234"/>
      <c r="I337" s="234"/>
      <c r="J337" s="234"/>
      <c r="K337" s="234"/>
      <c r="L337" s="247"/>
      <c r="M337" s="196">
        <f>C334+232583</f>
        <v>272325</v>
      </c>
      <c r="N337" s="196">
        <f>C339+1499904</f>
        <v>1542399</v>
      </c>
      <c r="O337" s="196">
        <f>C335</f>
        <v>1880332</v>
      </c>
    </row>
    <row r="338" spans="2:16" hidden="1">
      <c r="B338" s="89" t="s">
        <v>307</v>
      </c>
      <c r="C338" s="235">
        <v>499968</v>
      </c>
      <c r="D338" s="234"/>
      <c r="E338" s="234"/>
      <c r="F338" s="234"/>
      <c r="G338" s="234"/>
      <c r="H338" s="234"/>
      <c r="I338" s="234"/>
      <c r="J338" s="234"/>
      <c r="K338" s="234"/>
      <c r="L338" s="247"/>
      <c r="M338" s="196">
        <f>M337-M334</f>
        <v>76372</v>
      </c>
      <c r="N338" s="196">
        <f>N337-N334</f>
        <v>999936</v>
      </c>
      <c r="O338" s="196">
        <f>O337-O334</f>
        <v>-183935</v>
      </c>
    </row>
    <row r="339" spans="2:16" hidden="1">
      <c r="B339" s="89" t="s">
        <v>259</v>
      </c>
      <c r="C339" s="235">
        <v>42495</v>
      </c>
      <c r="D339" s="234"/>
      <c r="E339" s="234"/>
      <c r="F339" s="234"/>
      <c r="G339" s="234"/>
      <c r="H339" s="234"/>
      <c r="I339" s="234"/>
      <c r="J339" s="234"/>
      <c r="K339" s="234"/>
      <c r="L339" s="247"/>
      <c r="M339" s="196">
        <f>M338/L333</f>
        <v>350.33027522935782</v>
      </c>
      <c r="N339" s="196">
        <f>N338/L333</f>
        <v>4586.8623853211011</v>
      </c>
      <c r="O339" s="196">
        <f>O338/L333</f>
        <v>-843.7385321100918</v>
      </c>
    </row>
    <row r="340" spans="2:16" hidden="1">
      <c r="B340" s="89" t="s">
        <v>308</v>
      </c>
      <c r="C340" s="235">
        <v>135102</v>
      </c>
      <c r="D340" s="234"/>
      <c r="E340" s="234"/>
      <c r="F340" s="234"/>
      <c r="G340" s="234"/>
      <c r="H340" s="234"/>
      <c r="I340" s="234"/>
      <c r="J340" s="234"/>
      <c r="K340" s="234"/>
      <c r="L340" s="247"/>
      <c r="M340" s="196">
        <f>D333*M339</f>
        <v>23472.128440366974</v>
      </c>
      <c r="N340" s="196">
        <f>D333*N339</f>
        <v>307319.77981651376</v>
      </c>
      <c r="O340" s="196">
        <f>D333*O339</f>
        <v>-56530.481651376147</v>
      </c>
      <c r="P340" s="196">
        <f>M340+N340+O340</f>
        <v>274261.42660550459</v>
      </c>
    </row>
    <row r="341" spans="2:16" hidden="1">
      <c r="B341" s="101" t="s">
        <v>112</v>
      </c>
      <c r="C341" s="235">
        <f>SUM(C334:C340)</f>
        <v>2802683</v>
      </c>
      <c r="D341" s="234"/>
      <c r="E341" s="234"/>
      <c r="F341" s="234"/>
      <c r="G341" s="234"/>
      <c r="H341" s="234"/>
      <c r="I341" s="234"/>
      <c r="J341" s="234"/>
      <c r="K341" s="234"/>
      <c r="L341" s="247"/>
      <c r="M341" s="196">
        <f>G333*M339</f>
        <v>5955.6146788990827</v>
      </c>
      <c r="N341" s="196">
        <f>G333*N339</f>
        <v>77976.660550458721</v>
      </c>
      <c r="O341" s="196">
        <f>G333*O339</f>
        <v>-14343.555045871561</v>
      </c>
      <c r="P341" s="196">
        <f t="shared" ref="P341:P345" si="128">M341+N341+O341</f>
        <v>69588.72018348625</v>
      </c>
    </row>
    <row r="342" spans="2:16" hidden="1">
      <c r="M342" s="196">
        <f>H333*M339</f>
        <v>350.33027522935782</v>
      </c>
      <c r="N342" s="196">
        <f>H333*N339</f>
        <v>4586.8623853211011</v>
      </c>
      <c r="O342" s="196">
        <f>H333*O339</f>
        <v>-843.7385321100918</v>
      </c>
      <c r="P342" s="196">
        <f t="shared" si="128"/>
        <v>4093.4541284403667</v>
      </c>
    </row>
    <row r="343" spans="2:16" hidden="1">
      <c r="M343" s="196">
        <f>I333*M339</f>
        <v>25223.779816513765</v>
      </c>
      <c r="N343" s="196">
        <f>I333*N339</f>
        <v>330254.09174311929</v>
      </c>
      <c r="O343" s="196">
        <f>I333*O339</f>
        <v>-60749.17431192661</v>
      </c>
      <c r="P343" s="196">
        <f t="shared" si="128"/>
        <v>294728.69724770647</v>
      </c>
    </row>
    <row r="344" spans="2:16" hidden="1">
      <c r="M344" s="196">
        <f>J333*M339</f>
        <v>15414.532110091744</v>
      </c>
      <c r="N344" s="196">
        <f>J333*N339</f>
        <v>201821.94495412844</v>
      </c>
      <c r="O344" s="196">
        <f>J333*O339</f>
        <v>-37124.495412844037</v>
      </c>
      <c r="P344" s="196">
        <f t="shared" si="128"/>
        <v>180111.98165137615</v>
      </c>
    </row>
    <row r="345" spans="2:16" hidden="1">
      <c r="M345" s="196">
        <f>K333*M339</f>
        <v>5955.6146788990827</v>
      </c>
      <c r="N345" s="196">
        <f>K333*N339</f>
        <v>77976.660550458721</v>
      </c>
      <c r="O345" s="196">
        <f>K333*O339</f>
        <v>-14343.555045871561</v>
      </c>
      <c r="P345" s="196">
        <f t="shared" si="128"/>
        <v>69588.72018348625</v>
      </c>
    </row>
    <row r="346" spans="2:16" hidden="1"/>
    <row r="347" spans="2:16" hidden="1"/>
    <row r="348" spans="2:16" hidden="1"/>
    <row r="349" spans="2:16" hidden="1"/>
    <row r="350" spans="2:16" hidden="1"/>
    <row r="351" spans="2:16" hidden="1"/>
    <row r="352" spans="2:16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</sheetData>
  <mergeCells count="32">
    <mergeCell ref="B213:M213"/>
    <mergeCell ref="A78:A109"/>
    <mergeCell ref="B78:B86"/>
    <mergeCell ref="B87:B92"/>
    <mergeCell ref="B94:B98"/>
    <mergeCell ref="A182:A212"/>
    <mergeCell ref="B182:B189"/>
    <mergeCell ref="B190:B192"/>
    <mergeCell ref="A110:A144"/>
    <mergeCell ref="B110:B120"/>
    <mergeCell ref="B121:B128"/>
    <mergeCell ref="B130:B133"/>
    <mergeCell ref="A145:A181"/>
    <mergeCell ref="B145:B155"/>
    <mergeCell ref="B156:B164"/>
    <mergeCell ref="B165:B170"/>
    <mergeCell ref="A12:A46"/>
    <mergeCell ref="B12:B23"/>
    <mergeCell ref="B24:B29"/>
    <mergeCell ref="A47:A77"/>
    <mergeCell ref="B47:B55"/>
    <mergeCell ref="B56:B61"/>
    <mergeCell ref="B63:B66"/>
    <mergeCell ref="B31:B35"/>
    <mergeCell ref="A8:C8"/>
    <mergeCell ref="A9:A10"/>
    <mergeCell ref="B9:B10"/>
    <mergeCell ref="D9:D10"/>
    <mergeCell ref="A7:U7"/>
    <mergeCell ref="E9:I9"/>
    <mergeCell ref="J9:M9"/>
    <mergeCell ref="N9:U9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D255"/>
  <sheetViews>
    <sheetView zoomScale="60" zoomScaleNormal="60" workbookViewId="0">
      <pane xSplit="1" ySplit="13" topLeftCell="B112" activePane="bottomRight" state="frozen"/>
      <selection pane="topRight" activeCell="B1" sqref="B1"/>
      <selection pane="bottomLeft" activeCell="A12" sqref="A12"/>
      <selection pane="bottomRight" activeCell="A3" sqref="A3:V123"/>
    </sheetView>
  </sheetViews>
  <sheetFormatPr defaultColWidth="9.109375" defaultRowHeight="13.8"/>
  <cols>
    <col min="1" max="1" width="30.6640625" style="80" customWidth="1"/>
    <col min="2" max="2" width="21.5546875" style="80" customWidth="1"/>
    <col min="3" max="3" width="23.6640625" style="80" customWidth="1"/>
    <col min="4" max="4" width="8.6640625" style="192" customWidth="1"/>
    <col min="5" max="5" width="17.5546875" style="192" hidden="1" customWidth="1"/>
    <col min="6" max="6" width="13.33203125" style="192" hidden="1" customWidth="1"/>
    <col min="7" max="7" width="14" style="192" customWidth="1"/>
    <col min="8" max="9" width="14.109375" style="192" customWidth="1"/>
    <col min="10" max="10" width="17.33203125" style="192" customWidth="1"/>
    <col min="11" max="11" width="17.109375" style="192" customWidth="1"/>
    <col min="12" max="13" width="12.44140625" style="192" customWidth="1"/>
    <col min="14" max="14" width="16.33203125" style="192" customWidth="1"/>
    <col min="15" max="15" width="14.88671875" style="192" customWidth="1"/>
    <col min="16" max="16" width="5.6640625" style="192" hidden="1" customWidth="1"/>
    <col min="17" max="17" width="16.109375" style="192" customWidth="1"/>
    <col min="18" max="18" width="0.44140625" style="192" hidden="1" customWidth="1"/>
    <col min="19" max="19" width="15.33203125" style="192" customWidth="1"/>
    <col min="20" max="20" width="16.5546875" style="192" customWidth="1"/>
    <col min="21" max="21" width="17.33203125" style="192" customWidth="1"/>
    <col min="22" max="22" width="16" style="192" customWidth="1"/>
    <col min="23" max="23" width="15.33203125" style="80" hidden="1" customWidth="1"/>
    <col min="24" max="24" width="13.5546875" style="80" hidden="1" customWidth="1"/>
    <col min="25" max="25" width="18.6640625" style="80" hidden="1" customWidth="1"/>
    <col min="26" max="26" width="9.109375" style="80" hidden="1" customWidth="1"/>
    <col min="27" max="27" width="16.5546875" style="80" hidden="1" customWidth="1"/>
    <col min="28" max="28" width="17.109375" style="80" hidden="1" customWidth="1"/>
    <col min="29" max="29" width="14.33203125" style="80" hidden="1" customWidth="1"/>
    <col min="30" max="30" width="9.109375" style="80" hidden="1" customWidth="1"/>
    <col min="31" max="33" width="9.109375" style="80" customWidth="1"/>
    <col min="34" max="16384" width="9.109375" style="80"/>
  </cols>
  <sheetData>
    <row r="1" spans="1:29" hidden="1">
      <c r="T1" s="195" t="s">
        <v>203</v>
      </c>
    </row>
    <row r="2" spans="1:29" hidden="1">
      <c r="T2" s="195" t="s">
        <v>204</v>
      </c>
    </row>
    <row r="3" spans="1:29">
      <c r="T3" s="195" t="s">
        <v>297</v>
      </c>
    </row>
    <row r="4" spans="1:29">
      <c r="T4" s="195" t="s">
        <v>348</v>
      </c>
    </row>
    <row r="5" spans="1:29">
      <c r="T5" s="195" t="s">
        <v>175</v>
      </c>
    </row>
    <row r="6" spans="1:29">
      <c r="T6" s="195" t="s">
        <v>301</v>
      </c>
    </row>
    <row r="7" spans="1:29">
      <c r="A7" s="347" t="s">
        <v>262</v>
      </c>
      <c r="B7" s="347"/>
      <c r="C7" s="348"/>
      <c r="D7" s="347"/>
      <c r="E7" s="347"/>
      <c r="F7" s="348"/>
      <c r="G7" s="348"/>
      <c r="H7" s="347"/>
      <c r="I7" s="347"/>
      <c r="J7" s="347"/>
      <c r="K7" s="348"/>
      <c r="L7" s="347"/>
      <c r="M7" s="347"/>
      <c r="N7" s="347"/>
      <c r="O7" s="347"/>
      <c r="P7" s="348"/>
      <c r="Q7" s="348"/>
      <c r="R7" s="348"/>
      <c r="S7" s="348"/>
      <c r="T7" s="347"/>
      <c r="U7" s="347"/>
      <c r="V7" s="347"/>
    </row>
    <row r="8" spans="1:29" ht="17.399999999999999">
      <c r="A8" s="224" t="s">
        <v>155</v>
      </c>
    </row>
    <row r="10" spans="1:29" ht="41.4">
      <c r="A10" s="241" t="s">
        <v>3</v>
      </c>
      <c r="B10" s="241" t="s">
        <v>81</v>
      </c>
      <c r="C10" s="241" t="s">
        <v>152</v>
      </c>
      <c r="D10" s="264" t="s">
        <v>4</v>
      </c>
      <c r="E10" s="268" t="s">
        <v>5</v>
      </c>
      <c r="F10" s="215"/>
      <c r="G10" s="215"/>
      <c r="H10" s="215"/>
      <c r="I10" s="216"/>
      <c r="J10" s="349" t="s">
        <v>6</v>
      </c>
      <c r="K10" s="350"/>
      <c r="L10" s="350"/>
      <c r="M10" s="351"/>
      <c r="N10" s="306" t="s">
        <v>7</v>
      </c>
      <c r="O10" s="306"/>
      <c r="P10" s="306"/>
      <c r="Q10" s="306"/>
      <c r="R10" s="306"/>
      <c r="S10" s="306"/>
      <c r="T10" s="306"/>
      <c r="U10" s="306"/>
      <c r="V10" s="306"/>
    </row>
    <row r="11" spans="1:29">
      <c r="A11" s="241"/>
      <c r="B11" s="241"/>
      <c r="C11" s="241"/>
      <c r="D11" s="264"/>
      <c r="E11" s="338"/>
      <c r="F11" s="352"/>
      <c r="G11" s="339"/>
      <c r="H11" s="263"/>
      <c r="I11" s="263"/>
      <c r="J11" s="264"/>
      <c r="K11" s="264"/>
      <c r="L11" s="264"/>
      <c r="M11" s="286"/>
      <c r="N11" s="349"/>
      <c r="O11" s="353"/>
      <c r="P11" s="353"/>
      <c r="Q11" s="353"/>
      <c r="R11" s="353"/>
      <c r="S11" s="353"/>
      <c r="T11" s="354"/>
      <c r="U11" s="286"/>
      <c r="V11" s="286"/>
    </row>
    <row r="12" spans="1:29" ht="75" customHeight="1">
      <c r="A12" s="82"/>
      <c r="B12" s="82"/>
      <c r="C12" s="82"/>
      <c r="D12" s="45"/>
      <c r="E12" s="264" t="s">
        <v>183</v>
      </c>
      <c r="F12" s="217" t="s">
        <v>267</v>
      </c>
      <c r="G12" s="217" t="s">
        <v>264</v>
      </c>
      <c r="H12" s="265" t="s">
        <v>205</v>
      </c>
      <c r="I12" s="265" t="s">
        <v>263</v>
      </c>
      <c r="J12" s="264" t="s">
        <v>79</v>
      </c>
      <c r="K12" s="264" t="s">
        <v>224</v>
      </c>
      <c r="L12" s="264" t="s">
        <v>11</v>
      </c>
      <c r="M12" s="287" t="s">
        <v>12</v>
      </c>
      <c r="N12" s="346" t="s">
        <v>183</v>
      </c>
      <c r="O12" s="346"/>
      <c r="P12" s="346"/>
      <c r="Q12" s="346"/>
      <c r="R12" s="346"/>
      <c r="S12" s="346"/>
      <c r="T12" s="346"/>
      <c r="U12" s="287" t="s">
        <v>211</v>
      </c>
      <c r="V12" s="287" t="s">
        <v>263</v>
      </c>
      <c r="W12" s="85"/>
      <c r="AA12" s="80">
        <v>21722659.059999999</v>
      </c>
      <c r="AB12" s="85">
        <f>AA12+U22</f>
        <v>23184442.439999998</v>
      </c>
    </row>
    <row r="13" spans="1:29" ht="81" customHeight="1">
      <c r="A13" s="83" t="s">
        <v>13</v>
      </c>
      <c r="B13" s="83" t="s">
        <v>14</v>
      </c>
      <c r="C13" s="83"/>
      <c r="D13" s="264" t="s">
        <v>15</v>
      </c>
      <c r="E13" s="42" t="s">
        <v>16</v>
      </c>
      <c r="F13" s="42" t="s">
        <v>16</v>
      </c>
      <c r="G13" s="264" t="s">
        <v>16</v>
      </c>
      <c r="H13" s="264" t="s">
        <v>16</v>
      </c>
      <c r="I13" s="264" t="s">
        <v>16</v>
      </c>
      <c r="J13" s="264" t="s">
        <v>17</v>
      </c>
      <c r="K13" s="264" t="s">
        <v>17</v>
      </c>
      <c r="L13" s="264" t="s">
        <v>17</v>
      </c>
      <c r="M13" s="286" t="s">
        <v>17</v>
      </c>
      <c r="N13" s="286" t="s">
        <v>85</v>
      </c>
      <c r="O13" s="286" t="s">
        <v>83</v>
      </c>
      <c r="P13" s="47" t="s">
        <v>228</v>
      </c>
      <c r="Q13" s="286" t="s">
        <v>84</v>
      </c>
      <c r="R13" s="47" t="s">
        <v>227</v>
      </c>
      <c r="S13" s="47" t="s">
        <v>253</v>
      </c>
      <c r="T13" s="286" t="s">
        <v>12</v>
      </c>
      <c r="U13" s="286" t="s">
        <v>17</v>
      </c>
      <c r="V13" s="286" t="s">
        <v>17</v>
      </c>
      <c r="W13" s="85"/>
      <c r="AA13" s="85">
        <f>U14-AB12</f>
        <v>-3.0060820281505585E-3</v>
      </c>
    </row>
    <row r="14" spans="1:29" ht="21.6" customHeight="1">
      <c r="A14" s="243" t="s">
        <v>18</v>
      </c>
      <c r="B14" s="82"/>
      <c r="C14" s="82"/>
      <c r="D14" s="45"/>
      <c r="E14" s="193"/>
      <c r="F14" s="193"/>
      <c r="G14" s="193"/>
      <c r="H14" s="193"/>
      <c r="I14" s="193"/>
      <c r="J14" s="46"/>
      <c r="K14" s="46"/>
      <c r="L14" s="46"/>
      <c r="M14" s="218"/>
      <c r="N14" s="201">
        <f>N15+N21</f>
        <v>8791850</v>
      </c>
      <c r="O14" s="201">
        <f>O15+O21</f>
        <v>4947990.9978339998</v>
      </c>
      <c r="P14" s="201"/>
      <c r="Q14" s="201">
        <f>Q15+Q21</f>
        <v>8689539.9799499996</v>
      </c>
      <c r="R14" s="201"/>
      <c r="S14" s="201">
        <f>S22</f>
        <v>1461783.38</v>
      </c>
      <c r="T14" s="201">
        <f>T15+T21+T22</f>
        <v>23891164.357783996</v>
      </c>
      <c r="U14" s="201">
        <f>U15+U21+U22</f>
        <v>23184442.436993916</v>
      </c>
      <c r="V14" s="201">
        <f>V15+V21+V22</f>
        <v>23184442.436993916</v>
      </c>
      <c r="W14" s="80">
        <v>8689539.9800000004</v>
      </c>
      <c r="X14" s="85">
        <f>W14-Q14</f>
        <v>5.0000846385955811E-5</v>
      </c>
      <c r="Y14" s="80">
        <f>X14/I21</f>
        <v>3.3333897590637209E-7</v>
      </c>
      <c r="AA14" s="80">
        <v>8719839.9800000004</v>
      </c>
      <c r="AB14" s="85">
        <f>AA14-Q14</f>
        <v>30300.000050000846</v>
      </c>
      <c r="AC14" s="124">
        <f>AB14/I22</f>
        <v>202.00000033333899</v>
      </c>
    </row>
    <row r="15" spans="1:29" ht="85.5" customHeight="1">
      <c r="A15" s="241" t="s">
        <v>247</v>
      </c>
      <c r="B15" s="84" t="s">
        <v>76</v>
      </c>
      <c r="C15" s="84"/>
      <c r="D15" s="45"/>
      <c r="E15" s="193"/>
      <c r="F15" s="193"/>
      <c r="G15" s="193"/>
      <c r="H15" s="193"/>
      <c r="I15" s="193"/>
      <c r="J15" s="46"/>
      <c r="K15" s="46"/>
      <c r="L15" s="46"/>
      <c r="M15" s="46"/>
      <c r="N15" s="46">
        <f>N16+N17+N19+N18+N20</f>
        <v>8791850</v>
      </c>
      <c r="O15" s="46">
        <f t="shared" ref="O15:P15" si="0">O16+O17+O19+O18+O20</f>
        <v>4947990.9978339998</v>
      </c>
      <c r="P15" s="46">
        <f t="shared" si="0"/>
        <v>0</v>
      </c>
      <c r="Q15" s="46">
        <f>Q16+Q17+Q19+Q18+Q20</f>
        <v>7764477.8499499997</v>
      </c>
      <c r="R15" s="46">
        <f t="shared" ref="R15" si="1">R16+R17+R19+R18+R20</f>
        <v>0</v>
      </c>
      <c r="S15" s="46">
        <f t="shared" ref="S15" si="2">S16+S17+S19+S18+S20</f>
        <v>0</v>
      </c>
      <c r="T15" s="46">
        <f>T16+T17+T19+T18+T20</f>
        <v>21504318.847783998</v>
      </c>
      <c r="U15" s="46">
        <f>U16+U17+U19+U18+U20-0.01</f>
        <v>20797596.926993918</v>
      </c>
      <c r="V15" s="46">
        <f>V16+V17+V19+V18+V20-0.01</f>
        <v>20797596.926993918</v>
      </c>
      <c r="W15" s="85">
        <f>T15-U15</f>
        <v>706721.92079007998</v>
      </c>
      <c r="X15" s="85"/>
    </row>
    <row r="16" spans="1:29" ht="15.75" customHeight="1">
      <c r="A16" s="83"/>
      <c r="B16" s="97" t="s">
        <v>272</v>
      </c>
      <c r="C16" s="342" t="s">
        <v>275</v>
      </c>
      <c r="D16" s="44" t="s">
        <v>20</v>
      </c>
      <c r="E16" s="200">
        <v>20</v>
      </c>
      <c r="F16" s="200">
        <v>20</v>
      </c>
      <c r="G16" s="200">
        <v>19</v>
      </c>
      <c r="H16" s="200">
        <v>19</v>
      </c>
      <c r="I16" s="200">
        <v>19</v>
      </c>
      <c r="J16" s="46">
        <f>49378.38+2218.63</f>
        <v>51597.009999999995</v>
      </c>
      <c r="K16" s="46">
        <f>(12142.68*1.802017)+8329.23</f>
        <v>30210.54578556</v>
      </c>
      <c r="L16" s="46">
        <f>50454.5766+0.00627+270+410.666663-4.297066+834.239466-435.333333+233.333333</f>
        <v>51763.191933000002</v>
      </c>
      <c r="M16" s="46">
        <f>J16+K16+L16</f>
        <v>133570.74771855999</v>
      </c>
      <c r="N16" s="46">
        <f>G16*J16-0.22</f>
        <v>980342.97</v>
      </c>
      <c r="O16" s="46">
        <f>G16*K16</f>
        <v>574000.36992563994</v>
      </c>
      <c r="P16" s="46"/>
      <c r="Q16" s="46">
        <f>G16*L16</f>
        <v>983500.64672700001</v>
      </c>
      <c r="R16" s="46"/>
      <c r="S16" s="46">
        <v>0</v>
      </c>
      <c r="T16" s="46">
        <f>SUM(N16:Q16)</f>
        <v>2537843.9866526397</v>
      </c>
      <c r="U16" s="46">
        <v>2490000</v>
      </c>
      <c r="V16" s="46">
        <f t="shared" ref="V16:V21" si="3">U16</f>
        <v>2490000</v>
      </c>
      <c r="X16" s="85"/>
    </row>
    <row r="17" spans="1:29" ht="15.75" customHeight="1">
      <c r="A17" s="88"/>
      <c r="B17" s="97" t="s">
        <v>270</v>
      </c>
      <c r="C17" s="345"/>
      <c r="D17" s="265" t="s">
        <v>20</v>
      </c>
      <c r="E17" s="200">
        <v>61</v>
      </c>
      <c r="F17" s="200">
        <v>61</v>
      </c>
      <c r="G17" s="200">
        <v>60</v>
      </c>
      <c r="H17" s="200">
        <v>60</v>
      </c>
      <c r="I17" s="200">
        <v>60</v>
      </c>
      <c r="J17" s="46">
        <f>39098.57+2218.63</f>
        <v>41317.199999999997</v>
      </c>
      <c r="K17" s="46">
        <f>(12142.68*1.802017)+8329.23</f>
        <v>30210.54578556</v>
      </c>
      <c r="L17" s="46">
        <f t="shared" ref="L17:L20" si="4">50454.5766+0.00627+270+410.666663-4.297066+834.239466-435.333333+233.333333</f>
        <v>51763.191933000002</v>
      </c>
      <c r="M17" s="46">
        <f t="shared" ref="M17:M58" si="5">J17+K17+L17</f>
        <v>123290.93771855999</v>
      </c>
      <c r="N17" s="46">
        <f>G17*J17-0.2</f>
        <v>2479031.7999999998</v>
      </c>
      <c r="O17" s="46">
        <f>G17*K17+0.05</f>
        <v>1812632.7971336001</v>
      </c>
      <c r="P17" s="46"/>
      <c r="Q17" s="46">
        <f>G17*L17</f>
        <v>3105791.5159800001</v>
      </c>
      <c r="R17" s="46"/>
      <c r="S17" s="46">
        <v>0</v>
      </c>
      <c r="T17" s="46">
        <f>SUM(N17:Q17)</f>
        <v>7397456.1131136008</v>
      </c>
      <c r="U17" s="46">
        <f>6879303.84-48983.57+6464</f>
        <v>6836784.2699999996</v>
      </c>
      <c r="V17" s="46">
        <f t="shared" si="3"/>
        <v>6836784.2699999996</v>
      </c>
      <c r="X17" s="85"/>
    </row>
    <row r="18" spans="1:29" ht="120" customHeight="1">
      <c r="A18" s="88"/>
      <c r="B18" s="93" t="s">
        <v>269</v>
      </c>
      <c r="C18" s="344"/>
      <c r="D18" s="265" t="s">
        <v>20</v>
      </c>
      <c r="E18" s="200">
        <v>22</v>
      </c>
      <c r="F18" s="200">
        <v>22</v>
      </c>
      <c r="G18" s="200">
        <v>22</v>
      </c>
      <c r="H18" s="200">
        <v>22</v>
      </c>
      <c r="I18" s="200">
        <v>22</v>
      </c>
      <c r="J18" s="219">
        <f>77037.7+2218.63</f>
        <v>79256.33</v>
      </c>
      <c r="K18" s="46">
        <f>(12142.68*1.802017)+8329.23</f>
        <v>30210.54578556</v>
      </c>
      <c r="L18" s="46">
        <f t="shared" si="4"/>
        <v>51763.191933000002</v>
      </c>
      <c r="M18" s="46">
        <f t="shared" si="5"/>
        <v>161230.06771855999</v>
      </c>
      <c r="N18" s="46">
        <f>G18*J18+0.6</f>
        <v>1743639.86</v>
      </c>
      <c r="O18" s="46">
        <f>G18*K18+0.05</f>
        <v>664632.05728231999</v>
      </c>
      <c r="P18" s="46"/>
      <c r="Q18" s="46">
        <f>G18*L18</f>
        <v>1138790.2225260001</v>
      </c>
      <c r="R18" s="46"/>
      <c r="S18" s="46">
        <v>0</v>
      </c>
      <c r="T18" s="46">
        <f>SUM(N18:Q18)</f>
        <v>3547062.1398083204</v>
      </c>
      <c r="U18" s="46">
        <v>3491663.84</v>
      </c>
      <c r="V18" s="46">
        <f t="shared" si="3"/>
        <v>3491663.84</v>
      </c>
      <c r="X18" s="85"/>
    </row>
    <row r="19" spans="1:29" ht="138.75" customHeight="1">
      <c r="A19" s="88"/>
      <c r="B19" s="97" t="s">
        <v>270</v>
      </c>
      <c r="C19" s="93" t="s">
        <v>274</v>
      </c>
      <c r="D19" s="265" t="s">
        <v>20</v>
      </c>
      <c r="E19" s="200">
        <v>17</v>
      </c>
      <c r="F19" s="200">
        <v>17</v>
      </c>
      <c r="G19" s="200">
        <v>17</v>
      </c>
      <c r="H19" s="200">
        <v>17</v>
      </c>
      <c r="I19" s="200">
        <v>17</v>
      </c>
      <c r="J19" s="220">
        <f>75101.54+2218.63</f>
        <v>77320.17</v>
      </c>
      <c r="K19" s="46">
        <f>(12142.68*1.802017)+8329.23</f>
        <v>30210.54578556</v>
      </c>
      <c r="L19" s="46">
        <f t="shared" si="4"/>
        <v>51763.191933000002</v>
      </c>
      <c r="M19" s="46">
        <f t="shared" si="5"/>
        <v>159293.90771855999</v>
      </c>
      <c r="N19" s="46">
        <f>G19*J19-0.18</f>
        <v>1314442.71</v>
      </c>
      <c r="O19" s="46">
        <f>G19*K19-0.37+0.01</f>
        <v>513578.91835451999</v>
      </c>
      <c r="P19" s="46"/>
      <c r="Q19" s="46">
        <f>G19*L19-0.47</f>
        <v>879973.79286100005</v>
      </c>
      <c r="R19" s="46"/>
      <c r="S19" s="46">
        <v>0</v>
      </c>
      <c r="T19" s="46">
        <f t="shared" ref="T19:T108" si="6">SUM(N19:Q19)</f>
        <v>2707995.4212155202</v>
      </c>
      <c r="U19" s="46">
        <v>2665187.64</v>
      </c>
      <c r="V19" s="46">
        <f t="shared" si="3"/>
        <v>2665187.64</v>
      </c>
      <c r="X19" s="85"/>
    </row>
    <row r="20" spans="1:29" ht="107.25" customHeight="1">
      <c r="A20" s="88"/>
      <c r="B20" s="97" t="s">
        <v>271</v>
      </c>
      <c r="C20" s="93" t="s">
        <v>273</v>
      </c>
      <c r="D20" s="265" t="s">
        <v>31</v>
      </c>
      <c r="E20" s="200">
        <v>3</v>
      </c>
      <c r="F20" s="200">
        <v>3</v>
      </c>
      <c r="G20" s="200">
        <v>32</v>
      </c>
      <c r="H20" s="200">
        <v>32</v>
      </c>
      <c r="I20" s="200">
        <v>32</v>
      </c>
      <c r="J20" s="220">
        <v>758131.11</v>
      </c>
      <c r="K20" s="46">
        <v>43223.34703556</v>
      </c>
      <c r="L20" s="46">
        <f t="shared" si="4"/>
        <v>51763.191933000002</v>
      </c>
      <c r="M20" s="46">
        <v>856310.33297555987</v>
      </c>
      <c r="N20" s="46">
        <f>2274393-0.34</f>
        <v>2274392.66</v>
      </c>
      <c r="O20" s="46">
        <f>1383146.99513792-0.14</f>
        <v>1383146.85513792</v>
      </c>
      <c r="P20" s="46"/>
      <c r="Q20" s="46">
        <f>G20*L20-0.47</f>
        <v>1656421.6718560001</v>
      </c>
      <c r="R20" s="46"/>
      <c r="S20" s="46"/>
      <c r="T20" s="46">
        <f t="shared" si="6"/>
        <v>5313961.1869939202</v>
      </c>
      <c r="U20" s="46">
        <f>T20</f>
        <v>5313961.1869939202</v>
      </c>
      <c r="V20" s="46">
        <f t="shared" si="3"/>
        <v>5313961.1869939202</v>
      </c>
      <c r="X20" s="85"/>
    </row>
    <row r="21" spans="1:29" s="260" customFormat="1" ht="63" customHeight="1">
      <c r="A21" s="258" t="s">
        <v>248</v>
      </c>
      <c r="B21" s="259" t="s">
        <v>28</v>
      </c>
      <c r="C21" s="259" t="s">
        <v>219</v>
      </c>
      <c r="D21" s="45"/>
      <c r="E21" s="200">
        <f>E19+E18+E17+E16</f>
        <v>120</v>
      </c>
      <c r="F21" s="200">
        <f>F19+F18+F17+F16</f>
        <v>120</v>
      </c>
      <c r="G21" s="200">
        <f>G20+G19+G18+G17+G16</f>
        <v>150</v>
      </c>
      <c r="H21" s="200">
        <f>H20+H19+H18+H17+H16</f>
        <v>150</v>
      </c>
      <c r="I21" s="200">
        <f>I20+I19+I18+I17+I16</f>
        <v>150</v>
      </c>
      <c r="J21" s="46">
        <v>0</v>
      </c>
      <c r="K21" s="46"/>
      <c r="L21" s="46">
        <f>Q21/G21</f>
        <v>6167.0808666666671</v>
      </c>
      <c r="M21" s="46">
        <f>J21+K21+L21</f>
        <v>6167.0808666666671</v>
      </c>
      <c r="N21" s="206">
        <f t="shared" ref="N21" si="7">E21*J21</f>
        <v>0</v>
      </c>
      <c r="O21" s="46"/>
      <c r="P21" s="46"/>
      <c r="Q21" s="46">
        <v>925062.13</v>
      </c>
      <c r="R21" s="46"/>
      <c r="S21" s="46">
        <v>0</v>
      </c>
      <c r="T21" s="46">
        <f>SUM(N21:Q21)</f>
        <v>925062.13</v>
      </c>
      <c r="U21" s="46">
        <f>T21</f>
        <v>925062.13</v>
      </c>
      <c r="V21" s="46">
        <f t="shared" si="3"/>
        <v>925062.13</v>
      </c>
      <c r="AA21" s="285">
        <f>18835786.28+U35</f>
        <v>19648621.560000002</v>
      </c>
      <c r="AB21" s="285">
        <f>U25-AA21</f>
        <v>0</v>
      </c>
      <c r="AC21" s="285"/>
    </row>
    <row r="22" spans="1:29" s="192" customFormat="1" ht="17.25" customHeight="1">
      <c r="A22" s="245"/>
      <c r="B22" s="199" t="s">
        <v>28</v>
      </c>
      <c r="C22" s="199" t="s">
        <v>220</v>
      </c>
      <c r="D22" s="45"/>
      <c r="E22" s="200"/>
      <c r="F22" s="200"/>
      <c r="G22" s="200">
        <v>150</v>
      </c>
      <c r="H22" s="200">
        <v>150</v>
      </c>
      <c r="I22" s="200">
        <v>150</v>
      </c>
      <c r="J22" s="46"/>
      <c r="K22" s="46"/>
      <c r="L22" s="46">
        <f>S22/G22</f>
        <v>9745.2225333333317</v>
      </c>
      <c r="M22" s="46">
        <f>J22+K22+L22</f>
        <v>9745.2225333333317</v>
      </c>
      <c r="N22" s="206"/>
      <c r="O22" s="46"/>
      <c r="P22" s="46"/>
      <c r="Q22" s="46"/>
      <c r="R22" s="46"/>
      <c r="S22" s="46">
        <f>1461783.38</f>
        <v>1461783.38</v>
      </c>
      <c r="T22" s="46">
        <f>S22</f>
        <v>1461783.38</v>
      </c>
      <c r="U22" s="46">
        <f>S22</f>
        <v>1461783.38</v>
      </c>
      <c r="V22" s="46">
        <f>S22</f>
        <v>1461783.38</v>
      </c>
    </row>
    <row r="23" spans="1:29" ht="45" hidden="1" customHeight="1">
      <c r="A23" s="242"/>
      <c r="B23" s="128"/>
      <c r="C23" s="127" t="s">
        <v>226</v>
      </c>
      <c r="D23" s="265"/>
      <c r="E23" s="200"/>
      <c r="F23" s="200"/>
      <c r="G23" s="200"/>
      <c r="H23" s="200"/>
      <c r="I23" s="200"/>
      <c r="J23" s="46"/>
      <c r="K23" s="46"/>
      <c r="L23" s="46"/>
      <c r="M23" s="46">
        <f t="shared" si="5"/>
        <v>0</v>
      </c>
      <c r="N23" s="206"/>
      <c r="O23" s="46"/>
      <c r="P23" s="206"/>
      <c r="Q23" s="46"/>
      <c r="R23" s="46"/>
      <c r="S23" s="46"/>
      <c r="T23" s="46">
        <f>N23+O23+P23+Q23</f>
        <v>0</v>
      </c>
      <c r="U23" s="46">
        <f t="shared" ref="U23:V24" si="8">T23</f>
        <v>0</v>
      </c>
      <c r="V23" s="46">
        <f t="shared" si="8"/>
        <v>0</v>
      </c>
    </row>
    <row r="24" spans="1:29" ht="16.5" hidden="1" customHeight="1">
      <c r="A24" s="242"/>
      <c r="B24" s="128"/>
      <c r="C24" s="127"/>
      <c r="D24" s="265"/>
      <c r="E24" s="200"/>
      <c r="F24" s="200"/>
      <c r="G24" s="200"/>
      <c r="H24" s="200"/>
      <c r="I24" s="200"/>
      <c r="J24" s="46"/>
      <c r="K24" s="46"/>
      <c r="L24" s="46"/>
      <c r="M24" s="46">
        <f t="shared" si="5"/>
        <v>0</v>
      </c>
      <c r="N24" s="206"/>
      <c r="O24" s="46"/>
      <c r="P24" s="206"/>
      <c r="Q24" s="46"/>
      <c r="R24" s="46"/>
      <c r="S24" s="46"/>
      <c r="T24" s="46">
        <f>O24</f>
        <v>0</v>
      </c>
      <c r="U24" s="46">
        <f t="shared" si="8"/>
        <v>0</v>
      </c>
      <c r="V24" s="46">
        <f t="shared" si="8"/>
        <v>0</v>
      </c>
    </row>
    <row r="25" spans="1:29" ht="15.75" customHeight="1">
      <c r="A25" s="243" t="s">
        <v>35</v>
      </c>
      <c r="B25" s="242"/>
      <c r="C25" s="127"/>
      <c r="D25" s="204"/>
      <c r="E25" s="222"/>
      <c r="F25" s="222"/>
      <c r="G25" s="222"/>
      <c r="H25" s="222"/>
      <c r="I25" s="222"/>
      <c r="J25" s="201"/>
      <c r="K25" s="201"/>
      <c r="L25" s="218"/>
      <c r="M25" s="46">
        <f t="shared" si="5"/>
        <v>0</v>
      </c>
      <c r="N25" s="201">
        <f>N26+N34</f>
        <v>8911485.9999999981</v>
      </c>
      <c r="O25" s="201">
        <f>O26</f>
        <v>3795470.0021971604</v>
      </c>
      <c r="P25" s="207">
        <f>P26</f>
        <v>0</v>
      </c>
      <c r="Q25" s="201">
        <f>Q26+Q34</f>
        <v>6069886.5500038797</v>
      </c>
      <c r="R25" s="201">
        <f>R26</f>
        <v>0</v>
      </c>
      <c r="S25" s="201">
        <f>S35</f>
        <v>812835.28</v>
      </c>
      <c r="T25" s="201">
        <f>T26+T34+T35</f>
        <v>19589677.832201041</v>
      </c>
      <c r="U25" s="201">
        <f>U26+U34+U35-0.99</f>
        <v>19648621.560000002</v>
      </c>
      <c r="V25" s="201">
        <f>V26+V34+V35-0.99</f>
        <v>19648621.560000002</v>
      </c>
      <c r="W25" s="80">
        <v>6069886.5499999998</v>
      </c>
      <c r="X25" s="85">
        <f>W25-Q25</f>
        <v>-3.8798898458480835E-6</v>
      </c>
      <c r="Y25" s="80">
        <f>X25/111</f>
        <v>-3.4953962575207962E-8</v>
      </c>
      <c r="AA25" s="80">
        <v>6003686.5499999998</v>
      </c>
      <c r="AB25" s="85">
        <f>AA25-Q25</f>
        <v>-66200.00000387989</v>
      </c>
      <c r="AC25" s="80">
        <f>AB25/I34</f>
        <v>-596.39639643135035</v>
      </c>
    </row>
    <row r="26" spans="1:29" ht="84.75" customHeight="1">
      <c r="A26" s="241" t="s">
        <v>247</v>
      </c>
      <c r="B26" s="84" t="s">
        <v>76</v>
      </c>
      <c r="C26" s="128"/>
      <c r="D26" s="45"/>
      <c r="E26" s="221"/>
      <c r="F26" s="221"/>
      <c r="G26" s="221"/>
      <c r="H26" s="221"/>
      <c r="I26" s="221"/>
      <c r="J26" s="46"/>
      <c r="K26" s="46"/>
      <c r="L26" s="46"/>
      <c r="M26" s="46">
        <f t="shared" si="5"/>
        <v>0</v>
      </c>
      <c r="N26" s="46">
        <f>SUM(N27:N35)</f>
        <v>8911485.9999999981</v>
      </c>
      <c r="O26" s="46">
        <f>SUM(O27:O35)</f>
        <v>3795470.0021971604</v>
      </c>
      <c r="P26" s="206"/>
      <c r="Q26" s="46">
        <f t="shared" ref="Q26" si="9">SUM(Q27:Q31)</f>
        <v>5462502.5900038797</v>
      </c>
      <c r="R26" s="46"/>
      <c r="S26" s="46"/>
      <c r="T26" s="46">
        <f>SUM(T27:T33)</f>
        <v>18169458.592201039</v>
      </c>
      <c r="U26" s="46">
        <f>SUM(U27:U33)-0.02</f>
        <v>18228403.309999999</v>
      </c>
      <c r="V26" s="46">
        <f>SUM(V27:V33)-0.02</f>
        <v>18228403.309999999</v>
      </c>
      <c r="W26" s="85">
        <f>T25-U25</f>
        <v>-58943.727798961103</v>
      </c>
      <c r="Y26" s="85"/>
      <c r="AA26" s="85"/>
    </row>
    <row r="27" spans="1:29" ht="52.5" customHeight="1">
      <c r="A27" s="83"/>
      <c r="B27" s="97" t="s">
        <v>272</v>
      </c>
      <c r="C27" s="340" t="s">
        <v>275</v>
      </c>
      <c r="D27" s="265" t="s">
        <v>20</v>
      </c>
      <c r="E27" s="200">
        <v>18</v>
      </c>
      <c r="F27" s="200">
        <v>18</v>
      </c>
      <c r="G27" s="200">
        <v>13</v>
      </c>
      <c r="H27" s="200">
        <v>13</v>
      </c>
      <c r="I27" s="200">
        <v>13</v>
      </c>
      <c r="J27" s="46">
        <f>43138.04+2775.31</f>
        <v>45913.35</v>
      </c>
      <c r="K27" s="46">
        <f>(12142.68*1.802017)+12312.12</f>
        <v>34193.435785560003</v>
      </c>
      <c r="L27" s="46">
        <f>47485.28351+180.1801837+90.09009008+859.7848649+596.3963964</f>
        <v>49211.73504508</v>
      </c>
      <c r="M27" s="46">
        <f t="shared" si="5"/>
        <v>129318.52083064</v>
      </c>
      <c r="N27" s="46">
        <f>G27*J27+0.48</f>
        <v>596874.02999999991</v>
      </c>
      <c r="O27" s="46">
        <f>G27*K27</f>
        <v>444514.66521228006</v>
      </c>
      <c r="P27" s="206"/>
      <c r="Q27" s="46">
        <f>G27*L27</f>
        <v>639752.55558604002</v>
      </c>
      <c r="R27" s="46"/>
      <c r="S27" s="46"/>
      <c r="T27" s="46">
        <f t="shared" si="6"/>
        <v>1681141.2507983199</v>
      </c>
      <c r="U27" s="46">
        <v>1641571.38</v>
      </c>
      <c r="V27" s="46">
        <f t="shared" ref="V27:V30" si="10">U27</f>
        <v>1641571.38</v>
      </c>
    </row>
    <row r="28" spans="1:29" ht="52.5" customHeight="1">
      <c r="A28" s="83"/>
      <c r="B28" s="97" t="s">
        <v>270</v>
      </c>
      <c r="C28" s="341"/>
      <c r="D28" s="265" t="s">
        <v>20</v>
      </c>
      <c r="E28" s="200"/>
      <c r="F28" s="200"/>
      <c r="G28" s="200">
        <v>24</v>
      </c>
      <c r="H28" s="200">
        <v>24</v>
      </c>
      <c r="I28" s="200">
        <v>24</v>
      </c>
      <c r="J28" s="46">
        <f>34198.17+2775.31</f>
        <v>36973.479999999996</v>
      </c>
      <c r="K28" s="46">
        <f>(12142.68*1.802017)+12312.12</f>
        <v>34193.435785560003</v>
      </c>
      <c r="L28" s="46">
        <f t="shared" ref="L28:L31" si="11">47485.28351+180.1801837+90.09009008+859.7848649+596.3963964</f>
        <v>49211.73504508</v>
      </c>
      <c r="M28" s="46">
        <f t="shared" si="5"/>
        <v>120378.65083064001</v>
      </c>
      <c r="N28" s="46">
        <f>G28*J28</f>
        <v>887363.5199999999</v>
      </c>
      <c r="O28" s="46">
        <f>G28*K28</f>
        <v>820642.45885344013</v>
      </c>
      <c r="P28" s="206"/>
      <c r="Q28" s="46">
        <f t="shared" ref="Q28:Q29" si="12">G28*L28</f>
        <v>1181081.6410819199</v>
      </c>
      <c r="R28" s="46"/>
      <c r="S28" s="46"/>
      <c r="T28" s="46">
        <f t="shared" si="6"/>
        <v>2889087.6199353598</v>
      </c>
      <c r="U28" s="46">
        <v>2816035.73</v>
      </c>
      <c r="V28" s="46">
        <f t="shared" si="10"/>
        <v>2816035.73</v>
      </c>
    </row>
    <row r="29" spans="1:29" ht="54.75" customHeight="1">
      <c r="A29" s="83"/>
      <c r="B29" s="97" t="s">
        <v>338</v>
      </c>
      <c r="C29" s="340" t="s">
        <v>276</v>
      </c>
      <c r="D29" s="265" t="s">
        <v>20</v>
      </c>
      <c r="E29" s="200"/>
      <c r="F29" s="200"/>
      <c r="G29" s="200">
        <v>18</v>
      </c>
      <c r="H29" s="200">
        <v>18</v>
      </c>
      <c r="I29" s="200">
        <v>18</v>
      </c>
      <c r="J29" s="46">
        <f>142093.58+2775.31</f>
        <v>144868.88999999998</v>
      </c>
      <c r="K29" s="46">
        <f>(12142.68*1.802017)+12312.12</f>
        <v>34193.435785560003</v>
      </c>
      <c r="L29" s="46">
        <f t="shared" si="11"/>
        <v>49211.73504508</v>
      </c>
      <c r="M29" s="46">
        <f t="shared" si="5"/>
        <v>228274.06083063997</v>
      </c>
      <c r="N29" s="46">
        <f>G29*J29</f>
        <v>2607640.0199999996</v>
      </c>
      <c r="O29" s="46">
        <f>G29*K29</f>
        <v>615481.84414008004</v>
      </c>
      <c r="P29" s="206"/>
      <c r="Q29" s="46">
        <f t="shared" si="12"/>
        <v>885811.23081144004</v>
      </c>
      <c r="R29" s="46"/>
      <c r="S29" s="46"/>
      <c r="T29" s="46">
        <f t="shared" si="6"/>
        <v>4108933.0949515193</v>
      </c>
      <c r="U29" s="46">
        <v>4054144.04</v>
      </c>
      <c r="V29" s="46">
        <f t="shared" si="10"/>
        <v>4054144.04</v>
      </c>
    </row>
    <row r="30" spans="1:29" ht="50.25" customHeight="1">
      <c r="A30" s="83"/>
      <c r="B30" s="97" t="s">
        <v>303</v>
      </c>
      <c r="C30" s="343"/>
      <c r="D30" s="265" t="s">
        <v>20</v>
      </c>
      <c r="E30" s="200">
        <v>30</v>
      </c>
      <c r="F30" s="200">
        <v>30</v>
      </c>
      <c r="G30" s="200">
        <v>13</v>
      </c>
      <c r="H30" s="200">
        <v>13</v>
      </c>
      <c r="I30" s="200">
        <v>13</v>
      </c>
      <c r="J30" s="46">
        <f>142093.58+2775.31</f>
        <v>144868.88999999998</v>
      </c>
      <c r="K30" s="46">
        <f>(12142.68*1.802017)+12312.12</f>
        <v>34193.435785560003</v>
      </c>
      <c r="L30" s="46">
        <f t="shared" si="11"/>
        <v>49211.73504508</v>
      </c>
      <c r="M30" s="46">
        <f t="shared" si="5"/>
        <v>228274.06083063997</v>
      </c>
      <c r="N30" s="46">
        <f>G30*J30+0.46-0.22</f>
        <v>1883295.8099999998</v>
      </c>
      <c r="O30" s="46">
        <f>G30*K30</f>
        <v>444514.66521228006</v>
      </c>
      <c r="P30" s="206"/>
      <c r="Q30" s="46">
        <f>G30*L30</f>
        <v>639752.55558604002</v>
      </c>
      <c r="R30" s="46"/>
      <c r="S30" s="46"/>
      <c r="T30" s="46">
        <f t="shared" si="6"/>
        <v>2967563.0307983197</v>
      </c>
      <c r="U30" s="46">
        <v>2927993.38</v>
      </c>
      <c r="V30" s="46">
        <f t="shared" si="10"/>
        <v>2927993.38</v>
      </c>
    </row>
    <row r="31" spans="1:29" ht="105.75" customHeight="1">
      <c r="A31" s="83"/>
      <c r="B31" s="93" t="s">
        <v>278</v>
      </c>
      <c r="C31" s="93" t="s">
        <v>277</v>
      </c>
      <c r="D31" s="265" t="s">
        <v>20</v>
      </c>
      <c r="E31" s="200">
        <v>67</v>
      </c>
      <c r="F31" s="200">
        <v>67</v>
      </c>
      <c r="G31" s="200">
        <v>43</v>
      </c>
      <c r="H31" s="200">
        <v>43</v>
      </c>
      <c r="I31" s="200">
        <v>43</v>
      </c>
      <c r="J31" s="220">
        <f>65511.03+2775.31</f>
        <v>68286.34</v>
      </c>
      <c r="K31" s="46">
        <f>(12142.68*1.802017)+12312.12</f>
        <v>34193.435785560003</v>
      </c>
      <c r="L31" s="46">
        <f t="shared" si="11"/>
        <v>49211.73504508</v>
      </c>
      <c r="M31" s="46">
        <f t="shared" si="5"/>
        <v>151691.51083063998</v>
      </c>
      <c r="N31" s="46">
        <f>G31*J31</f>
        <v>2936312.6199999996</v>
      </c>
      <c r="O31" s="46">
        <f>G31*K31-1.37</f>
        <v>1470316.36877908</v>
      </c>
      <c r="P31" s="206"/>
      <c r="Q31" s="46">
        <f>G31*L31</f>
        <v>2116104.6069384399</v>
      </c>
      <c r="R31" s="46"/>
      <c r="S31" s="46"/>
      <c r="T31" s="46">
        <f t="shared" si="6"/>
        <v>6522733.5957175195</v>
      </c>
      <c r="U31" s="46">
        <f>7227653.95-438995.15</f>
        <v>6788658.7999999998</v>
      </c>
      <c r="V31" s="46">
        <f>U31</f>
        <v>6788658.7999999998</v>
      </c>
    </row>
    <row r="32" spans="1:29" ht="44.25" hidden="1" customHeight="1">
      <c r="A32" s="83"/>
      <c r="B32" s="128"/>
      <c r="C32" s="127" t="s">
        <v>226</v>
      </c>
      <c r="D32" s="265"/>
      <c r="E32" s="200"/>
      <c r="F32" s="200"/>
      <c r="G32" s="200"/>
      <c r="H32" s="200"/>
      <c r="I32" s="200"/>
      <c r="J32" s="46"/>
      <c r="K32" s="46"/>
      <c r="L32" s="46"/>
      <c r="M32" s="46">
        <f t="shared" si="5"/>
        <v>0</v>
      </c>
      <c r="N32" s="206"/>
      <c r="O32" s="46"/>
      <c r="P32" s="206"/>
      <c r="Q32" s="46"/>
      <c r="R32" s="46"/>
      <c r="S32" s="46"/>
      <c r="T32" s="46">
        <f>N32</f>
        <v>0</v>
      </c>
      <c r="U32" s="46">
        <f t="shared" ref="U32:V34" si="13">T32</f>
        <v>0</v>
      </c>
      <c r="V32" s="46">
        <f t="shared" si="13"/>
        <v>0</v>
      </c>
    </row>
    <row r="33" spans="1:29" hidden="1">
      <c r="A33" s="83"/>
      <c r="B33" s="128"/>
      <c r="C33" s="127"/>
      <c r="D33" s="265"/>
      <c r="E33" s="200"/>
      <c r="F33" s="200"/>
      <c r="G33" s="200"/>
      <c r="H33" s="200"/>
      <c r="I33" s="200"/>
      <c r="J33" s="46"/>
      <c r="K33" s="46"/>
      <c r="L33" s="46"/>
      <c r="M33" s="46">
        <f t="shared" si="5"/>
        <v>0</v>
      </c>
      <c r="N33" s="206"/>
      <c r="O33" s="46"/>
      <c r="P33" s="206"/>
      <c r="Q33" s="46"/>
      <c r="R33" s="46"/>
      <c r="S33" s="46"/>
      <c r="T33" s="46">
        <f>O33</f>
        <v>0</v>
      </c>
      <c r="U33" s="46">
        <f t="shared" si="13"/>
        <v>0</v>
      </c>
      <c r="V33" s="46">
        <f t="shared" si="13"/>
        <v>0</v>
      </c>
    </row>
    <row r="34" spans="1:29" ht="64.5" customHeight="1">
      <c r="A34" s="241" t="s">
        <v>248</v>
      </c>
      <c r="B34" s="242" t="s">
        <v>332</v>
      </c>
      <c r="C34" s="127" t="s">
        <v>219</v>
      </c>
      <c r="D34" s="265" t="s">
        <v>20</v>
      </c>
      <c r="E34" s="200">
        <v>115</v>
      </c>
      <c r="F34" s="200">
        <v>115</v>
      </c>
      <c r="G34" s="200">
        <v>111</v>
      </c>
      <c r="H34" s="200">
        <v>111</v>
      </c>
      <c r="I34" s="200">
        <v>111</v>
      </c>
      <c r="J34" s="46" t="s">
        <v>23</v>
      </c>
      <c r="K34" s="46"/>
      <c r="L34" s="46">
        <f>Q34/G34</f>
        <v>5471.9275675675672</v>
      </c>
      <c r="M34" s="46">
        <f t="shared" si="5"/>
        <v>5471.9275675675672</v>
      </c>
      <c r="N34" s="206">
        <f t="shared" ref="N34:N76" si="14">E34*J34</f>
        <v>0</v>
      </c>
      <c r="O34" s="46"/>
      <c r="P34" s="206"/>
      <c r="Q34" s="46">
        <v>607383.96</v>
      </c>
      <c r="R34" s="46"/>
      <c r="S34" s="46"/>
      <c r="T34" s="46">
        <f>SUM(N34:Q34)</f>
        <v>607383.96</v>
      </c>
      <c r="U34" s="46">
        <f t="shared" si="13"/>
        <v>607383.96</v>
      </c>
      <c r="V34" s="46">
        <f t="shared" si="13"/>
        <v>607383.96</v>
      </c>
    </row>
    <row r="35" spans="1:29">
      <c r="A35" s="86"/>
      <c r="B35" s="242" t="s">
        <v>332</v>
      </c>
      <c r="C35" s="127" t="s">
        <v>220</v>
      </c>
      <c r="D35" s="265"/>
      <c r="E35" s="200"/>
      <c r="F35" s="200"/>
      <c r="G35" s="200">
        <v>105</v>
      </c>
      <c r="H35" s="200">
        <v>105</v>
      </c>
      <c r="I35" s="200">
        <v>105</v>
      </c>
      <c r="J35" s="46"/>
      <c r="K35" s="46"/>
      <c r="L35" s="46">
        <f>S35/G35</f>
        <v>7741.288380952381</v>
      </c>
      <c r="M35" s="46">
        <f t="shared" si="5"/>
        <v>7741.288380952381</v>
      </c>
      <c r="N35" s="206"/>
      <c r="O35" s="46"/>
      <c r="P35" s="206"/>
      <c r="Q35" s="46"/>
      <c r="R35" s="46"/>
      <c r="S35" s="46">
        <v>812835.28</v>
      </c>
      <c r="T35" s="46">
        <f>S35</f>
        <v>812835.28</v>
      </c>
      <c r="U35" s="46">
        <f>S35</f>
        <v>812835.28</v>
      </c>
      <c r="V35" s="46">
        <f>S35</f>
        <v>812835.28</v>
      </c>
    </row>
    <row r="36" spans="1:29">
      <c r="A36" s="243" t="s">
        <v>40</v>
      </c>
      <c r="B36" s="94"/>
      <c r="C36" s="94"/>
      <c r="D36" s="257"/>
      <c r="E36" s="222"/>
      <c r="F36" s="222"/>
      <c r="G36" s="222"/>
      <c r="H36" s="222"/>
      <c r="I36" s="222"/>
      <c r="J36" s="201"/>
      <c r="K36" s="201"/>
      <c r="L36" s="201"/>
      <c r="M36" s="46">
        <f t="shared" si="5"/>
        <v>0</v>
      </c>
      <c r="N36" s="201">
        <f>N37+N45</f>
        <v>6647073.9999999991</v>
      </c>
      <c r="O36" s="201">
        <f>O37+O45</f>
        <v>3254736.9995538397</v>
      </c>
      <c r="P36" s="201"/>
      <c r="Q36" s="201">
        <f>Q37+Q45</f>
        <v>5850588.0299988072</v>
      </c>
      <c r="R36" s="201"/>
      <c r="S36" s="201">
        <f>S46</f>
        <v>967166.95</v>
      </c>
      <c r="T36" s="201">
        <f>T37+T45+T46</f>
        <v>16719565.979552645</v>
      </c>
      <c r="U36" s="201">
        <f>U37+U45+U46</f>
        <v>16192081.98</v>
      </c>
      <c r="V36" s="201">
        <f>V37+V45+V46</f>
        <v>16192081.98</v>
      </c>
      <c r="W36" s="85">
        <v>5850588.0300000003</v>
      </c>
      <c r="X36" s="85">
        <f>W36-Q36</f>
        <v>1.193024218082428E-6</v>
      </c>
      <c r="Y36" s="80">
        <f>X36/I45</f>
        <v>1.0465124720021298E-8</v>
      </c>
      <c r="AA36" s="80">
        <v>5754388.0300000003</v>
      </c>
      <c r="AB36" s="85">
        <f>AA36-Q36</f>
        <v>-96199.999998806976</v>
      </c>
      <c r="AC36" s="80">
        <f>AB36/I45</f>
        <v>-843.85964911234191</v>
      </c>
    </row>
    <row r="37" spans="1:29" ht="84" customHeight="1">
      <c r="A37" s="241" t="s">
        <v>247</v>
      </c>
      <c r="B37" s="84" t="s">
        <v>76</v>
      </c>
      <c r="C37" s="128"/>
      <c r="D37" s="52"/>
      <c r="E37" s="221"/>
      <c r="F37" s="221"/>
      <c r="G37" s="221"/>
      <c r="H37" s="221"/>
      <c r="I37" s="221"/>
      <c r="J37" s="46"/>
      <c r="K37" s="46"/>
      <c r="L37" s="46"/>
      <c r="M37" s="46">
        <f t="shared" si="5"/>
        <v>0</v>
      </c>
      <c r="N37" s="46">
        <f>SUM(N38:N46)</f>
        <v>6647073.9999999991</v>
      </c>
      <c r="O37" s="46">
        <f>SUM(O38:O46)</f>
        <v>3254736.9995538397</v>
      </c>
      <c r="P37" s="46"/>
      <c r="Q37" s="46">
        <f t="shared" ref="Q37" si="15">SUM(Q38:Q40)</f>
        <v>4988407.6899988074</v>
      </c>
      <c r="R37" s="46"/>
      <c r="S37" s="46"/>
      <c r="T37" s="46">
        <f>SUM(T38:T44)</f>
        <v>14890218.689552646</v>
      </c>
      <c r="U37" s="46">
        <f t="shared" ref="U37:V37" si="16">SUM(U38:U44)</f>
        <v>14362734.690000001</v>
      </c>
      <c r="V37" s="46">
        <f t="shared" si="16"/>
        <v>14362734.690000001</v>
      </c>
      <c r="W37" s="85">
        <f>T36-U36</f>
        <v>527483.99955264479</v>
      </c>
      <c r="AA37" s="85">
        <f>15224915.03+U46</f>
        <v>16192081.979999999</v>
      </c>
      <c r="AB37" s="85">
        <f>U36-AA37</f>
        <v>0</v>
      </c>
    </row>
    <row r="38" spans="1:29" ht="56.25" customHeight="1">
      <c r="A38" s="83"/>
      <c r="B38" s="97" t="s">
        <v>272</v>
      </c>
      <c r="C38" s="342" t="s">
        <v>275</v>
      </c>
      <c r="D38" s="265" t="s">
        <v>20</v>
      </c>
      <c r="E38" s="200">
        <v>22</v>
      </c>
      <c r="F38" s="200">
        <v>22</v>
      </c>
      <c r="G38" s="200">
        <v>19</v>
      </c>
      <c r="H38" s="200">
        <v>19</v>
      </c>
      <c r="I38" s="200">
        <v>19</v>
      </c>
      <c r="J38" s="46">
        <f>43138.04+1744.28</f>
        <v>44882.32</v>
      </c>
      <c r="K38" s="46">
        <f>(12142.68*1.802017)+6669.01</f>
        <v>28550.325785560002</v>
      </c>
      <c r="L38" s="46">
        <f>41633.620087772+290.3508771+572.3684211+417.7631579+843.8596491</f>
        <v>43757.962192971994</v>
      </c>
      <c r="M38" s="46">
        <f t="shared" si="5"/>
        <v>117190.607978532</v>
      </c>
      <c r="N38" s="46">
        <f>G38*J38+0.24</f>
        <v>852764.32</v>
      </c>
      <c r="O38" s="46">
        <f>G38*K38</f>
        <v>542456.18992564001</v>
      </c>
      <c r="P38" s="206"/>
      <c r="Q38" s="46">
        <f>G38*L38</f>
        <v>831401.2816664679</v>
      </c>
      <c r="R38" s="46"/>
      <c r="S38" s="46"/>
      <c r="T38" s="46">
        <f t="shared" si="6"/>
        <v>2226621.7915921081</v>
      </c>
      <c r="U38" s="46">
        <v>2168192.2799999998</v>
      </c>
      <c r="V38" s="46">
        <f>U38</f>
        <v>2168192.2799999998</v>
      </c>
    </row>
    <row r="39" spans="1:29" ht="54" customHeight="1">
      <c r="A39" s="88"/>
      <c r="B39" s="97" t="s">
        <v>270</v>
      </c>
      <c r="C39" s="344"/>
      <c r="D39" s="44" t="s">
        <v>20</v>
      </c>
      <c r="E39" s="200">
        <v>21</v>
      </c>
      <c r="F39" s="200">
        <v>21</v>
      </c>
      <c r="G39" s="200">
        <v>19</v>
      </c>
      <c r="H39" s="200">
        <v>19</v>
      </c>
      <c r="I39" s="200">
        <v>19</v>
      </c>
      <c r="J39" s="46">
        <f>34198.17+1744.28</f>
        <v>35942.449999999997</v>
      </c>
      <c r="K39" s="46">
        <f>(12142.68*1.802017)+6669.01</f>
        <v>28550.325785560002</v>
      </c>
      <c r="L39" s="46">
        <f t="shared" ref="L39:L40" si="17">41633.620087772+290.3508771+572.3684211+417.7631579+843.8596491</f>
        <v>43757.962192971994</v>
      </c>
      <c r="M39" s="46">
        <f t="shared" si="5"/>
        <v>108250.73797853199</v>
      </c>
      <c r="N39" s="46">
        <f>G39*J39-0.23</f>
        <v>682906.32</v>
      </c>
      <c r="O39" s="46">
        <f>G39*K39</f>
        <v>542456.18992564001</v>
      </c>
      <c r="P39" s="206"/>
      <c r="Q39" s="46">
        <f>G39*L39</f>
        <v>831401.2816664679</v>
      </c>
      <c r="R39" s="46"/>
      <c r="S39" s="46"/>
      <c r="T39" s="46">
        <f t="shared" si="6"/>
        <v>2056763.7915921079</v>
      </c>
      <c r="U39" s="46">
        <v>1998334.28</v>
      </c>
      <c r="V39" s="46">
        <f>U39</f>
        <v>1998334.28</v>
      </c>
    </row>
    <row r="40" spans="1:29" ht="110.4">
      <c r="A40" s="88"/>
      <c r="B40" s="97" t="s">
        <v>270</v>
      </c>
      <c r="C40" s="93" t="s">
        <v>274</v>
      </c>
      <c r="D40" s="265" t="s">
        <v>20</v>
      </c>
      <c r="E40" s="200">
        <v>71</v>
      </c>
      <c r="F40" s="200">
        <v>71</v>
      </c>
      <c r="G40" s="200">
        <v>76</v>
      </c>
      <c r="H40" s="200">
        <v>76</v>
      </c>
      <c r="I40" s="200">
        <v>76</v>
      </c>
      <c r="J40" s="220">
        <f>65511.03+1744.28</f>
        <v>67255.31</v>
      </c>
      <c r="K40" s="46">
        <f>(12142.68*1.802017)+6669.01</f>
        <v>28550.325785560002</v>
      </c>
      <c r="L40" s="46">
        <f t="shared" si="17"/>
        <v>43757.962192971994</v>
      </c>
      <c r="M40" s="46">
        <f t="shared" si="5"/>
        <v>139563.59797853199</v>
      </c>
      <c r="N40" s="46">
        <f>G40*J40-0.28+0.08</f>
        <v>5111403.3599999994</v>
      </c>
      <c r="O40" s="46">
        <f>G40*K40-0.14</f>
        <v>2169824.6197025599</v>
      </c>
      <c r="P40" s="206"/>
      <c r="Q40" s="46">
        <f>G40*L40</f>
        <v>3325605.1266658716</v>
      </c>
      <c r="R40" s="46"/>
      <c r="S40" s="46"/>
      <c r="T40" s="46">
        <f t="shared" si="6"/>
        <v>10606833.10636843</v>
      </c>
      <c r="U40" s="46">
        <f>10330958.13-134750</f>
        <v>10196208.130000001</v>
      </c>
      <c r="V40" s="46">
        <f>U40</f>
        <v>10196208.130000001</v>
      </c>
    </row>
    <row r="41" spans="1:29" s="192" customFormat="1" hidden="1">
      <c r="A41" s="245"/>
      <c r="B41" s="203" t="s">
        <v>260</v>
      </c>
      <c r="C41" s="199" t="s">
        <v>226</v>
      </c>
      <c r="D41" s="45"/>
      <c r="E41" s="200"/>
      <c r="F41" s="200"/>
      <c r="G41" s="200"/>
      <c r="H41" s="200"/>
      <c r="I41" s="200"/>
      <c r="J41" s="46"/>
      <c r="K41" s="46"/>
      <c r="L41" s="46"/>
      <c r="M41" s="46">
        <f t="shared" si="5"/>
        <v>0</v>
      </c>
      <c r="N41" s="206"/>
      <c r="O41" s="46"/>
      <c r="P41" s="206"/>
      <c r="Q41" s="46"/>
      <c r="R41" s="46"/>
      <c r="S41" s="46"/>
      <c r="T41" s="46">
        <f>O41</f>
        <v>0</v>
      </c>
      <c r="U41" s="46">
        <f t="shared" ref="U41:V45" si="18">T41</f>
        <v>0</v>
      </c>
      <c r="V41" s="46">
        <f>U41</f>
        <v>0</v>
      </c>
    </row>
    <row r="42" spans="1:29" s="192" customFormat="1" hidden="1">
      <c r="A42" s="245"/>
      <c r="B42" s="203" t="s">
        <v>261</v>
      </c>
      <c r="C42" s="199" t="s">
        <v>226</v>
      </c>
      <c r="D42" s="45"/>
      <c r="E42" s="200"/>
      <c r="F42" s="200"/>
      <c r="G42" s="200"/>
      <c r="H42" s="200"/>
      <c r="I42" s="200"/>
      <c r="J42" s="46"/>
      <c r="K42" s="46"/>
      <c r="L42" s="46"/>
      <c r="M42" s="46">
        <f t="shared" si="5"/>
        <v>0</v>
      </c>
      <c r="N42" s="206"/>
      <c r="O42" s="46"/>
      <c r="P42" s="206"/>
      <c r="Q42" s="46"/>
      <c r="R42" s="46"/>
      <c r="S42" s="46"/>
      <c r="T42" s="46">
        <f>N42</f>
        <v>0</v>
      </c>
      <c r="U42" s="46">
        <f t="shared" si="18"/>
        <v>0</v>
      </c>
      <c r="V42" s="46">
        <f t="shared" si="18"/>
        <v>0</v>
      </c>
    </row>
    <row r="43" spans="1:29" ht="45.75" hidden="1" customHeight="1">
      <c r="A43" s="88"/>
      <c r="B43" s="128" t="s">
        <v>255</v>
      </c>
      <c r="C43" s="127" t="s">
        <v>226</v>
      </c>
      <c r="D43" s="265"/>
      <c r="E43" s="200"/>
      <c r="F43" s="200"/>
      <c r="G43" s="200"/>
      <c r="H43" s="200"/>
      <c r="I43" s="200"/>
      <c r="J43" s="46"/>
      <c r="K43" s="46"/>
      <c r="L43" s="46"/>
      <c r="M43" s="46">
        <f t="shared" si="5"/>
        <v>0</v>
      </c>
      <c r="N43" s="206"/>
      <c r="O43" s="46"/>
      <c r="P43" s="206"/>
      <c r="Q43" s="46"/>
      <c r="R43" s="46"/>
      <c r="S43" s="46"/>
      <c r="T43" s="46">
        <f>N43</f>
        <v>0</v>
      </c>
      <c r="U43" s="46">
        <f t="shared" si="18"/>
        <v>0</v>
      </c>
      <c r="V43" s="46">
        <f t="shared" si="18"/>
        <v>0</v>
      </c>
    </row>
    <row r="44" spans="1:29" hidden="1">
      <c r="A44" s="88"/>
      <c r="B44" s="128" t="s">
        <v>258</v>
      </c>
      <c r="C44" s="127"/>
      <c r="D44" s="265"/>
      <c r="E44" s="200"/>
      <c r="F44" s="200"/>
      <c r="G44" s="200"/>
      <c r="H44" s="200"/>
      <c r="I44" s="200"/>
      <c r="J44" s="46"/>
      <c r="K44" s="46"/>
      <c r="L44" s="46"/>
      <c r="M44" s="46">
        <f t="shared" si="5"/>
        <v>0</v>
      </c>
      <c r="N44" s="206"/>
      <c r="O44" s="46"/>
      <c r="P44" s="206"/>
      <c r="Q44" s="46"/>
      <c r="R44" s="46"/>
      <c r="S44" s="46"/>
      <c r="T44" s="46">
        <f>O44</f>
        <v>0</v>
      </c>
      <c r="U44" s="46">
        <f t="shared" si="18"/>
        <v>0</v>
      </c>
      <c r="V44" s="46">
        <f t="shared" si="18"/>
        <v>0</v>
      </c>
    </row>
    <row r="45" spans="1:29" ht="63" customHeight="1">
      <c r="A45" s="241" t="s">
        <v>248</v>
      </c>
      <c r="B45" s="242" t="s">
        <v>332</v>
      </c>
      <c r="C45" s="127" t="s">
        <v>219</v>
      </c>
      <c r="D45" s="44" t="s">
        <v>20</v>
      </c>
      <c r="E45" s="200">
        <f>E40+E39+E38</f>
        <v>114</v>
      </c>
      <c r="F45" s="200">
        <f t="shared" ref="F45:I45" si="19">F40+F39+F38</f>
        <v>114</v>
      </c>
      <c r="G45" s="200">
        <f t="shared" si="19"/>
        <v>114</v>
      </c>
      <c r="H45" s="200">
        <f t="shared" si="19"/>
        <v>114</v>
      </c>
      <c r="I45" s="200">
        <f t="shared" si="19"/>
        <v>114</v>
      </c>
      <c r="J45" s="46" t="s">
        <v>23</v>
      </c>
      <c r="K45" s="46"/>
      <c r="L45" s="46">
        <f>Q45/G45</f>
        <v>7562.9854385964909</v>
      </c>
      <c r="M45" s="46">
        <f t="shared" si="5"/>
        <v>7562.9854385964909</v>
      </c>
      <c r="N45" s="206">
        <f>G45*J45</f>
        <v>0</v>
      </c>
      <c r="O45" s="46">
        <f t="shared" ref="O45" si="20">G45*K45</f>
        <v>0</v>
      </c>
      <c r="P45" s="206"/>
      <c r="Q45" s="46">
        <v>862180.34</v>
      </c>
      <c r="R45" s="46"/>
      <c r="S45" s="46"/>
      <c r="T45" s="46">
        <f>SUM(N45:Q45)</f>
        <v>862180.34</v>
      </c>
      <c r="U45" s="46">
        <f t="shared" si="18"/>
        <v>862180.34</v>
      </c>
      <c r="V45" s="46">
        <f t="shared" si="18"/>
        <v>862180.34</v>
      </c>
    </row>
    <row r="46" spans="1:29">
      <c r="A46" s="86"/>
      <c r="B46" s="242" t="s">
        <v>332</v>
      </c>
      <c r="C46" s="127" t="s">
        <v>220</v>
      </c>
      <c r="D46" s="44"/>
      <c r="E46" s="200"/>
      <c r="F46" s="200"/>
      <c r="G46" s="200">
        <v>111</v>
      </c>
      <c r="H46" s="200">
        <v>111</v>
      </c>
      <c r="I46" s="200">
        <v>111</v>
      </c>
      <c r="J46" s="46"/>
      <c r="K46" s="46"/>
      <c r="L46" s="46">
        <f>S46/G46</f>
        <v>8713.2157657657644</v>
      </c>
      <c r="M46" s="46">
        <f t="shared" si="5"/>
        <v>8713.2157657657644</v>
      </c>
      <c r="N46" s="206"/>
      <c r="O46" s="46"/>
      <c r="P46" s="206"/>
      <c r="Q46" s="46"/>
      <c r="R46" s="46"/>
      <c r="S46" s="46">
        <v>967166.95</v>
      </c>
      <c r="T46" s="46">
        <f>S46</f>
        <v>967166.95</v>
      </c>
      <c r="U46" s="46">
        <f>S46</f>
        <v>967166.95</v>
      </c>
      <c r="V46" s="46">
        <f>S46</f>
        <v>967166.95</v>
      </c>
    </row>
    <row r="47" spans="1:29">
      <c r="A47" s="243" t="s">
        <v>44</v>
      </c>
      <c r="B47" s="94"/>
      <c r="C47" s="94"/>
      <c r="D47" s="257"/>
      <c r="E47" s="222"/>
      <c r="F47" s="222"/>
      <c r="G47" s="222"/>
      <c r="H47" s="222"/>
      <c r="I47" s="222"/>
      <c r="J47" s="201"/>
      <c r="K47" s="201"/>
      <c r="L47" s="201"/>
      <c r="M47" s="46">
        <f t="shared" si="5"/>
        <v>0</v>
      </c>
      <c r="N47" s="201">
        <f>N48+N56</f>
        <v>13007352</v>
      </c>
      <c r="O47" s="201">
        <f>O48+O56</f>
        <v>5912054.9954665201</v>
      </c>
      <c r="P47" s="201"/>
      <c r="Q47" s="201">
        <f>Q48+Q56</f>
        <v>10304392.530028487</v>
      </c>
      <c r="R47" s="201"/>
      <c r="S47" s="201">
        <f>S57</f>
        <v>1853605.77</v>
      </c>
      <c r="T47" s="201">
        <f>T48+T56+T57</f>
        <v>31077405.295495011</v>
      </c>
      <c r="U47" s="201">
        <f>U48+U56+U57</f>
        <v>30997025.300000001</v>
      </c>
      <c r="V47" s="201">
        <f>V48+V56+V57</f>
        <v>30997025.300000001</v>
      </c>
      <c r="W47" s="197">
        <v>10304392.529999999</v>
      </c>
      <c r="X47" s="85">
        <f>W47-Q47</f>
        <v>-2.8487294912338257E-5</v>
      </c>
      <c r="Y47" s="80">
        <f>X47/I56</f>
        <v>-1.3127785673888598E-7</v>
      </c>
      <c r="AA47" s="80">
        <v>10354392.529999999</v>
      </c>
      <c r="AB47" s="85">
        <f>AA47-Q47</f>
        <v>49999.999971512705</v>
      </c>
      <c r="AC47" s="80">
        <f>AB47/I56</f>
        <v>230.41474641250093</v>
      </c>
    </row>
    <row r="48" spans="1:29" ht="85.5" customHeight="1">
      <c r="A48" s="241" t="s">
        <v>247</v>
      </c>
      <c r="B48" s="84" t="s">
        <v>76</v>
      </c>
      <c r="C48" s="128"/>
      <c r="D48" s="52"/>
      <c r="E48" s="221"/>
      <c r="F48" s="221"/>
      <c r="G48" s="221"/>
      <c r="H48" s="221"/>
      <c r="I48" s="221"/>
      <c r="J48" s="46"/>
      <c r="K48" s="46"/>
      <c r="L48" s="46"/>
      <c r="M48" s="46">
        <f t="shared" si="5"/>
        <v>0</v>
      </c>
      <c r="N48" s="46">
        <f>SUM(N49:N57)</f>
        <v>13007352</v>
      </c>
      <c r="O48" s="46">
        <f>SUM(O49:O57)</f>
        <v>5912054.9954665201</v>
      </c>
      <c r="P48" s="206"/>
      <c r="Q48" s="46">
        <f>SUM(Q49:Q52)</f>
        <v>8523805.430028487</v>
      </c>
      <c r="R48" s="46"/>
      <c r="S48" s="46"/>
      <c r="T48" s="46">
        <f>SUM(T49:T55)</f>
        <v>27443212.42549501</v>
      </c>
      <c r="U48" s="46">
        <f>SUM(U49:U55)+0.01</f>
        <v>27362832.43</v>
      </c>
      <c r="V48" s="46">
        <f>SUM(V49:V55)+0.01</f>
        <v>27362832.43</v>
      </c>
      <c r="W48" s="85">
        <f>T47-U47</f>
        <v>80379.995495010167</v>
      </c>
      <c r="AA48" s="85">
        <f>29143419.53+U57</f>
        <v>30997025.300000001</v>
      </c>
      <c r="AB48" s="85">
        <f>U47-AA48</f>
        <v>0</v>
      </c>
    </row>
    <row r="49" spans="1:28" ht="51.75" customHeight="1">
      <c r="A49" s="83"/>
      <c r="B49" s="97" t="s">
        <v>272</v>
      </c>
      <c r="C49" s="340" t="s">
        <v>279</v>
      </c>
      <c r="D49" s="265" t="s">
        <v>20</v>
      </c>
      <c r="E49" s="200">
        <v>35</v>
      </c>
      <c r="F49" s="200">
        <v>35</v>
      </c>
      <c r="G49" s="200">
        <v>29</v>
      </c>
      <c r="H49" s="200">
        <v>29</v>
      </c>
      <c r="I49" s="200">
        <v>29</v>
      </c>
      <c r="J49" s="46">
        <f>43138.04+1793.27</f>
        <v>44931.31</v>
      </c>
      <c r="K49" s="46">
        <f>(12142.68*1.802017)+5363.18</f>
        <v>27244.495785560001</v>
      </c>
      <c r="L49" s="46">
        <f>39321.40751+96.77419507-408.7557604+501.1981567-230.4147464</f>
        <v>39280.209354969993</v>
      </c>
      <c r="M49" s="46">
        <f t="shared" si="5"/>
        <v>111456.01514052998</v>
      </c>
      <c r="N49" s="46">
        <f>G49*J49-0.16</f>
        <v>1303007.83</v>
      </c>
      <c r="O49" s="46">
        <f>G49*K49-0.16</f>
        <v>790090.21778124</v>
      </c>
      <c r="P49" s="206"/>
      <c r="Q49" s="46">
        <f>G49*L49</f>
        <v>1139126.0712941298</v>
      </c>
      <c r="R49" s="46"/>
      <c r="S49" s="46"/>
      <c r="T49" s="46">
        <f>SUM(N49:Q49)</f>
        <v>3232224.11907537</v>
      </c>
      <c r="U49" s="46">
        <v>3205068.27</v>
      </c>
      <c r="V49" s="46">
        <f>U49</f>
        <v>3205068.27</v>
      </c>
    </row>
    <row r="50" spans="1:28" ht="51" customHeight="1">
      <c r="A50" s="88"/>
      <c r="B50" s="97" t="s">
        <v>270</v>
      </c>
      <c r="C50" s="341"/>
      <c r="D50" s="44" t="s">
        <v>20</v>
      </c>
      <c r="E50" s="200">
        <v>85</v>
      </c>
      <c r="F50" s="200">
        <v>85</v>
      </c>
      <c r="G50" s="200">
        <v>89</v>
      </c>
      <c r="H50" s="200">
        <v>89</v>
      </c>
      <c r="I50" s="200">
        <v>89</v>
      </c>
      <c r="J50" s="46">
        <f>34198.17+1793.27</f>
        <v>35991.439999999995</v>
      </c>
      <c r="K50" s="46">
        <f>(12142.68*1.802017)+5363.18</f>
        <v>27244.495785560001</v>
      </c>
      <c r="L50" s="46">
        <f t="shared" ref="L50:L55" si="21">39321.40751+96.77419507-408.7557604+501.1981567-230.4147464</f>
        <v>39280.209354969993</v>
      </c>
      <c r="M50" s="46">
        <f t="shared" si="5"/>
        <v>102516.14514052999</v>
      </c>
      <c r="N50" s="46">
        <f>G50*J50-0.13</f>
        <v>3203238.03</v>
      </c>
      <c r="O50" s="46">
        <f>G50*K50-0.1</f>
        <v>2424760.0249148398</v>
      </c>
      <c r="P50" s="206"/>
      <c r="Q50" s="46">
        <f t="shared" ref="Q50:Q51" si="22">G50*L50</f>
        <v>3495938.6325923293</v>
      </c>
      <c r="R50" s="46"/>
      <c r="S50" s="46"/>
      <c r="T50" s="46">
        <f t="shared" si="6"/>
        <v>9123936.6875071693</v>
      </c>
      <c r="U50" s="46">
        <f>9054656.32+108760</f>
        <v>9163416.3200000003</v>
      </c>
      <c r="V50" s="46">
        <f>U50</f>
        <v>9163416.3200000003</v>
      </c>
    </row>
    <row r="51" spans="1:28" ht="96.6">
      <c r="A51" s="83"/>
      <c r="B51" s="97" t="s">
        <v>303</v>
      </c>
      <c r="C51" s="93" t="s">
        <v>280</v>
      </c>
      <c r="D51" s="265" t="s">
        <v>20</v>
      </c>
      <c r="E51" s="200">
        <v>25</v>
      </c>
      <c r="F51" s="200">
        <v>25</v>
      </c>
      <c r="G51" s="200">
        <v>24</v>
      </c>
      <c r="H51" s="200">
        <v>24</v>
      </c>
      <c r="I51" s="200">
        <v>24</v>
      </c>
      <c r="J51" s="46">
        <f>142093.58+1793.27</f>
        <v>143886.84999999998</v>
      </c>
      <c r="K51" s="46">
        <f>(12142.68*1.802017)+5363.18</f>
        <v>27244.495785560001</v>
      </c>
      <c r="L51" s="46">
        <f t="shared" si="21"/>
        <v>39280.209354969993</v>
      </c>
      <c r="M51" s="46">
        <f t="shared" si="5"/>
        <v>210411.55514052996</v>
      </c>
      <c r="N51" s="46">
        <f>G51*J51+0.08</f>
        <v>3453284.4799999995</v>
      </c>
      <c r="O51" s="46">
        <f>G51*K51</f>
        <v>653867.89885344007</v>
      </c>
      <c r="P51" s="206"/>
      <c r="Q51" s="46">
        <f t="shared" si="22"/>
        <v>942725.02451927983</v>
      </c>
      <c r="R51" s="46"/>
      <c r="S51" s="46"/>
      <c r="T51" s="46">
        <f t="shared" si="6"/>
        <v>5049877.403372719</v>
      </c>
      <c r="U51" s="46">
        <v>5027403.5999999996</v>
      </c>
      <c r="V51" s="46">
        <f>U51</f>
        <v>5027403.5999999996</v>
      </c>
    </row>
    <row r="52" spans="1:28" ht="110.4">
      <c r="A52" s="83"/>
      <c r="B52" s="97" t="s">
        <v>268</v>
      </c>
      <c r="C52" s="93" t="s">
        <v>281</v>
      </c>
      <c r="D52" s="265" t="s">
        <v>20</v>
      </c>
      <c r="E52" s="200">
        <v>75</v>
      </c>
      <c r="F52" s="200">
        <v>75</v>
      </c>
      <c r="G52" s="200">
        <f t="shared" ref="G52" si="23">(E52*8+F52*4)/12</f>
        <v>75</v>
      </c>
      <c r="H52" s="200">
        <v>75</v>
      </c>
      <c r="I52" s="200">
        <v>75</v>
      </c>
      <c r="J52" s="220">
        <f>65511.03+1793.27</f>
        <v>67304.3</v>
      </c>
      <c r="K52" s="46">
        <f>(12142.68*1.802017)+5363.18</f>
        <v>27244.495785560001</v>
      </c>
      <c r="L52" s="46">
        <f t="shared" si="21"/>
        <v>39280.209354969993</v>
      </c>
      <c r="M52" s="46">
        <f t="shared" si="5"/>
        <v>133829.00514053</v>
      </c>
      <c r="N52" s="46">
        <f>G52*J52-0.25-0.59</f>
        <v>5047821.66</v>
      </c>
      <c r="O52" s="46">
        <f>G52*K52-0.27-0.06</f>
        <v>2043336.8539169999</v>
      </c>
      <c r="P52" s="206"/>
      <c r="Q52" s="46">
        <f>G52*L52</f>
        <v>2946015.7016227497</v>
      </c>
      <c r="R52" s="46"/>
      <c r="S52" s="46"/>
      <c r="T52" s="46">
        <f t="shared" si="6"/>
        <v>10037174.21553975</v>
      </c>
      <c r="U52" s="46">
        <v>9966944.2300000004</v>
      </c>
      <c r="V52" s="46">
        <f>U52</f>
        <v>9966944.2300000004</v>
      </c>
    </row>
    <row r="53" spans="1:28" s="192" customFormat="1" hidden="1">
      <c r="A53" s="245"/>
      <c r="B53" s="203"/>
      <c r="C53" s="199" t="s">
        <v>226</v>
      </c>
      <c r="D53" s="45"/>
      <c r="E53" s="200"/>
      <c r="F53" s="200"/>
      <c r="G53" s="200"/>
      <c r="H53" s="200"/>
      <c r="I53" s="200"/>
      <c r="J53" s="46"/>
      <c r="K53" s="46"/>
      <c r="L53" s="46">
        <f t="shared" si="21"/>
        <v>39280.209354969993</v>
      </c>
      <c r="M53" s="46">
        <f t="shared" si="5"/>
        <v>39280.209354969993</v>
      </c>
      <c r="N53" s="206"/>
      <c r="O53" s="46"/>
      <c r="P53" s="206"/>
      <c r="Q53" s="46"/>
      <c r="R53" s="46"/>
      <c r="S53" s="46"/>
      <c r="T53" s="46">
        <f>O53</f>
        <v>0</v>
      </c>
      <c r="U53" s="46">
        <f>T53</f>
        <v>0</v>
      </c>
      <c r="V53" s="46">
        <f>U53</f>
        <v>0</v>
      </c>
    </row>
    <row r="54" spans="1:28" ht="47.25" hidden="1" customHeight="1">
      <c r="A54" s="83"/>
      <c r="B54" s="128"/>
      <c r="C54" s="127" t="s">
        <v>226</v>
      </c>
      <c r="D54" s="265"/>
      <c r="E54" s="200"/>
      <c r="F54" s="200"/>
      <c r="G54" s="200"/>
      <c r="H54" s="200"/>
      <c r="I54" s="200"/>
      <c r="J54" s="46"/>
      <c r="K54" s="46"/>
      <c r="L54" s="46">
        <f t="shared" si="21"/>
        <v>39280.209354969993</v>
      </c>
      <c r="M54" s="46">
        <f t="shared" si="5"/>
        <v>39280.209354969993</v>
      </c>
      <c r="N54" s="206"/>
      <c r="O54" s="46"/>
      <c r="P54" s="206"/>
      <c r="Q54" s="46"/>
      <c r="R54" s="46"/>
      <c r="S54" s="46"/>
      <c r="T54" s="46">
        <f>N54</f>
        <v>0</v>
      </c>
      <c r="U54" s="46">
        <f t="shared" ref="U54:V56" si="24">T54</f>
        <v>0</v>
      </c>
      <c r="V54" s="46">
        <f t="shared" si="24"/>
        <v>0</v>
      </c>
    </row>
    <row r="55" spans="1:28" hidden="1">
      <c r="A55" s="83"/>
      <c r="B55" s="128"/>
      <c r="C55" s="127"/>
      <c r="D55" s="265"/>
      <c r="E55" s="200"/>
      <c r="F55" s="200"/>
      <c r="G55" s="200"/>
      <c r="H55" s="200"/>
      <c r="I55" s="200"/>
      <c r="J55" s="46"/>
      <c r="K55" s="46"/>
      <c r="L55" s="46">
        <f t="shared" si="21"/>
        <v>39280.209354969993</v>
      </c>
      <c r="M55" s="46">
        <f t="shared" si="5"/>
        <v>39280.209354969993</v>
      </c>
      <c r="N55" s="206"/>
      <c r="O55" s="46"/>
      <c r="P55" s="206"/>
      <c r="Q55" s="46"/>
      <c r="R55" s="46"/>
      <c r="S55" s="46"/>
      <c r="T55" s="46">
        <f>O55</f>
        <v>0</v>
      </c>
      <c r="U55" s="46">
        <f t="shared" si="24"/>
        <v>0</v>
      </c>
      <c r="V55" s="46">
        <f t="shared" si="24"/>
        <v>0</v>
      </c>
    </row>
    <row r="56" spans="1:28" ht="58.5" customHeight="1">
      <c r="A56" s="241" t="s">
        <v>248</v>
      </c>
      <c r="B56" s="242" t="s">
        <v>28</v>
      </c>
      <c r="C56" s="127" t="s">
        <v>219</v>
      </c>
      <c r="D56" s="44" t="s">
        <v>20</v>
      </c>
      <c r="E56" s="200">
        <f>E52+E51+E50+E49</f>
        <v>220</v>
      </c>
      <c r="F56" s="200">
        <f>F52+F51+F50+F49</f>
        <v>220</v>
      </c>
      <c r="G56" s="200">
        <v>217</v>
      </c>
      <c r="H56" s="200">
        <v>217</v>
      </c>
      <c r="I56" s="200">
        <v>217</v>
      </c>
      <c r="J56" s="46" t="s">
        <v>23</v>
      </c>
      <c r="K56" s="46"/>
      <c r="L56" s="46">
        <f>Q56/G56</f>
        <v>8205.4705069124429</v>
      </c>
      <c r="M56" s="46">
        <f t="shared" si="5"/>
        <v>8205.4705069124429</v>
      </c>
      <c r="N56" s="206">
        <f t="shared" ref="N56" si="25">G56*J56</f>
        <v>0</v>
      </c>
      <c r="O56" s="46">
        <f t="shared" ref="O56" si="26">G56*K56</f>
        <v>0</v>
      </c>
      <c r="P56" s="206"/>
      <c r="Q56" s="46">
        <v>1780587.1</v>
      </c>
      <c r="R56" s="46"/>
      <c r="S56" s="46"/>
      <c r="T56" s="46">
        <f t="shared" si="6"/>
        <v>1780587.1</v>
      </c>
      <c r="U56" s="46">
        <f t="shared" si="24"/>
        <v>1780587.1</v>
      </c>
      <c r="V56" s="46">
        <f t="shared" si="24"/>
        <v>1780587.1</v>
      </c>
    </row>
    <row r="57" spans="1:28" ht="42" customHeight="1">
      <c r="A57" s="86"/>
      <c r="B57" s="242" t="s">
        <v>28</v>
      </c>
      <c r="C57" s="127" t="s">
        <v>220</v>
      </c>
      <c r="D57" s="44"/>
      <c r="E57" s="200"/>
      <c r="F57" s="200"/>
      <c r="G57" s="200">
        <v>212</v>
      </c>
      <c r="H57" s="200">
        <v>212</v>
      </c>
      <c r="I57" s="200">
        <v>212</v>
      </c>
      <c r="J57" s="46"/>
      <c r="K57" s="46"/>
      <c r="L57" s="46">
        <f>S57/G57</f>
        <v>8743.4234433962265</v>
      </c>
      <c r="M57" s="46">
        <f t="shared" si="5"/>
        <v>8743.4234433962265</v>
      </c>
      <c r="N57" s="206"/>
      <c r="O57" s="46"/>
      <c r="P57" s="206"/>
      <c r="Q57" s="46"/>
      <c r="R57" s="46"/>
      <c r="S57" s="46">
        <v>1853605.77</v>
      </c>
      <c r="T57" s="46">
        <f>S57</f>
        <v>1853605.77</v>
      </c>
      <c r="U57" s="46">
        <f>S57</f>
        <v>1853605.77</v>
      </c>
      <c r="V57" s="46">
        <f>S57</f>
        <v>1853605.77</v>
      </c>
    </row>
    <row r="58" spans="1:28">
      <c r="A58" s="243" t="s">
        <v>49</v>
      </c>
      <c r="B58" s="94"/>
      <c r="C58" s="94"/>
      <c r="D58" s="257"/>
      <c r="E58" s="222"/>
      <c r="F58" s="222"/>
      <c r="G58" s="222"/>
      <c r="H58" s="222"/>
      <c r="I58" s="222"/>
      <c r="J58" s="201"/>
      <c r="K58" s="201"/>
      <c r="L58" s="201"/>
      <c r="M58" s="46">
        <f t="shared" si="5"/>
        <v>0</v>
      </c>
      <c r="N58" s="201">
        <f>N59+N65</f>
        <v>6545074</v>
      </c>
      <c r="O58" s="201">
        <f>O59+O65</f>
        <v>3211622.9964115997</v>
      </c>
      <c r="P58" s="207">
        <f>P59</f>
        <v>0</v>
      </c>
      <c r="Q58" s="201">
        <f>Q59+Q65</f>
        <v>5604393.5299980007</v>
      </c>
      <c r="R58" s="201">
        <f>R59</f>
        <v>0</v>
      </c>
      <c r="S58" s="201">
        <f>S66</f>
        <v>859116.54</v>
      </c>
      <c r="T58" s="201">
        <f>T59+T65+T66</f>
        <v>16220207.066409599</v>
      </c>
      <c r="U58" s="201">
        <f>U59+U65+U66</f>
        <v>15403439.07</v>
      </c>
      <c r="V58" s="201">
        <f>V59+V65+V66</f>
        <v>15403439.07</v>
      </c>
      <c r="W58" s="80">
        <v>5604393.5300000003</v>
      </c>
      <c r="X58" s="85">
        <f>W58-Q58</f>
        <v>1.9995495676994324E-6</v>
      </c>
      <c r="Y58" s="80">
        <f>X58/I65</f>
        <v>1.8177723342722114E-8</v>
      </c>
      <c r="AA58" s="80">
        <v>5552393.5300000003</v>
      </c>
      <c r="AB58" s="85">
        <f>AA58-Q58</f>
        <v>-51999.99999800045</v>
      </c>
    </row>
    <row r="59" spans="1:28" ht="84.75" customHeight="1">
      <c r="A59" s="241" t="s">
        <v>247</v>
      </c>
      <c r="B59" s="84" t="s">
        <v>76</v>
      </c>
      <c r="C59" s="128"/>
      <c r="D59" s="52"/>
      <c r="E59" s="221"/>
      <c r="F59" s="221"/>
      <c r="G59" s="221"/>
      <c r="H59" s="221"/>
      <c r="I59" s="221"/>
      <c r="J59" s="46"/>
      <c r="K59" s="46"/>
      <c r="L59" s="46"/>
      <c r="M59" s="46">
        <f t="shared" ref="M59:M98" si="27">J59+K59+L59</f>
        <v>0</v>
      </c>
      <c r="N59" s="46">
        <f>SUM(N60:N66)</f>
        <v>6545074</v>
      </c>
      <c r="O59" s="46">
        <f>SUM(O60:O66)</f>
        <v>3211622.9964115997</v>
      </c>
      <c r="P59" s="208"/>
      <c r="Q59" s="46">
        <f>SUM(Q60:Q62)</f>
        <v>4959666.7099980004</v>
      </c>
      <c r="R59" s="46"/>
      <c r="S59" s="46"/>
      <c r="T59" s="46">
        <f>SUM(T60:T64)</f>
        <v>14716363.7064096</v>
      </c>
      <c r="U59" s="46">
        <f>SUM(U60:U64)+0.02</f>
        <v>13899595.709999999</v>
      </c>
      <c r="V59" s="46">
        <f>SUM(V60:V64)+0.02</f>
        <v>13899595.709999999</v>
      </c>
      <c r="W59" s="85">
        <f>T58-U58</f>
        <v>816767.99640959874</v>
      </c>
      <c r="AA59" s="85">
        <f>14544322.53+U66</f>
        <v>15403439.07</v>
      </c>
      <c r="AB59" s="85">
        <f>U58-AA59</f>
        <v>0</v>
      </c>
    </row>
    <row r="60" spans="1:28" ht="51" customHeight="1">
      <c r="A60" s="83"/>
      <c r="B60" s="97" t="s">
        <v>282</v>
      </c>
      <c r="C60" s="342" t="s">
        <v>279</v>
      </c>
      <c r="D60" s="265" t="s">
        <v>20</v>
      </c>
      <c r="E60" s="200">
        <v>20</v>
      </c>
      <c r="F60" s="200">
        <v>20</v>
      </c>
      <c r="G60" s="200">
        <v>18</v>
      </c>
      <c r="H60" s="200">
        <v>18</v>
      </c>
      <c r="I60" s="200">
        <v>18</v>
      </c>
      <c r="J60" s="46">
        <f>43138.04+2489.95</f>
        <v>45627.99</v>
      </c>
      <c r="K60" s="46">
        <f>(12142.68*1.802017)+7315.26</f>
        <v>29196.575785560002</v>
      </c>
      <c r="L60" s="46">
        <f>44615.15191+472.7272718</f>
        <v>45087.879181800003</v>
      </c>
      <c r="M60" s="46">
        <f t="shared" si="27"/>
        <v>119912.44496736</v>
      </c>
      <c r="N60" s="46">
        <f>G60*J60</f>
        <v>821303.82</v>
      </c>
      <c r="O60" s="46">
        <f>G60*K60</f>
        <v>525538.36414008006</v>
      </c>
      <c r="P60" s="206"/>
      <c r="Q60" s="46">
        <f>G60*L60</f>
        <v>811581.82527240005</v>
      </c>
      <c r="R60" s="46"/>
      <c r="S60" s="46"/>
      <c r="T60" s="46">
        <f>SUM(N60:Q60)</f>
        <v>2158424.0094124801</v>
      </c>
      <c r="U60" s="46">
        <v>2132442.79</v>
      </c>
      <c r="V60" s="46">
        <f>U60</f>
        <v>2132442.79</v>
      </c>
    </row>
    <row r="61" spans="1:28" ht="54" customHeight="1">
      <c r="A61" s="88"/>
      <c r="B61" s="97" t="s">
        <v>268</v>
      </c>
      <c r="C61" s="344"/>
      <c r="D61" s="44" t="s">
        <v>20</v>
      </c>
      <c r="E61" s="200">
        <v>23</v>
      </c>
      <c r="F61" s="200">
        <v>23</v>
      </c>
      <c r="G61" s="200">
        <v>17</v>
      </c>
      <c r="H61" s="200">
        <v>17</v>
      </c>
      <c r="I61" s="200">
        <v>17</v>
      </c>
      <c r="J61" s="46">
        <f>34198.17+2489.95</f>
        <v>36688.119999999995</v>
      </c>
      <c r="K61" s="46">
        <f>(12142.68*1.802017)+7315.26</f>
        <v>29196.575785560002</v>
      </c>
      <c r="L61" s="46">
        <f t="shared" ref="L61:L62" si="28">44615.15191+472.7272718</f>
        <v>45087.879181800003</v>
      </c>
      <c r="M61" s="46">
        <f t="shared" si="27"/>
        <v>110972.57496736001</v>
      </c>
      <c r="N61" s="46">
        <f>G61*J61</f>
        <v>623698.03999999992</v>
      </c>
      <c r="O61" s="46">
        <f>G61*K61</f>
        <v>496341.78835452005</v>
      </c>
      <c r="P61" s="206"/>
      <c r="Q61" s="46">
        <f>G61*L61</f>
        <v>766493.94609059999</v>
      </c>
      <c r="R61" s="46"/>
      <c r="S61" s="46"/>
      <c r="T61" s="46">
        <f>SUM(N61:Q61)</f>
        <v>1886533.77444512</v>
      </c>
      <c r="U61" s="46">
        <v>1861995.96</v>
      </c>
      <c r="V61" s="46">
        <f>U61</f>
        <v>1861995.96</v>
      </c>
    </row>
    <row r="62" spans="1:28" ht="110.4">
      <c r="A62" s="88"/>
      <c r="B62" s="97" t="s">
        <v>270</v>
      </c>
      <c r="C62" s="93" t="s">
        <v>283</v>
      </c>
      <c r="D62" s="44" t="s">
        <v>20</v>
      </c>
      <c r="E62" s="200">
        <v>65</v>
      </c>
      <c r="F62" s="200">
        <v>65</v>
      </c>
      <c r="G62" s="200">
        <v>75</v>
      </c>
      <c r="H62" s="200">
        <v>75</v>
      </c>
      <c r="I62" s="200">
        <v>75</v>
      </c>
      <c r="J62" s="220">
        <f>65511.03+2489.95</f>
        <v>68000.98</v>
      </c>
      <c r="K62" s="46">
        <f>(12142.68*1.802017)+7315.26</f>
        <v>29196.575785560002</v>
      </c>
      <c r="L62" s="46">
        <f t="shared" si="28"/>
        <v>45087.879181800003</v>
      </c>
      <c r="M62" s="46">
        <f t="shared" si="27"/>
        <v>142285.43496735999</v>
      </c>
      <c r="N62" s="46">
        <f>G62*J62-0.86-0.5</f>
        <v>5100072.1399999997</v>
      </c>
      <c r="O62" s="46">
        <f>G62*K62-0.74+0.4</f>
        <v>2189742.8439169996</v>
      </c>
      <c r="P62" s="206"/>
      <c r="Q62" s="46">
        <f>G62*L62</f>
        <v>3381590.938635</v>
      </c>
      <c r="R62" s="46"/>
      <c r="S62" s="46"/>
      <c r="T62" s="46">
        <f>SUM(N62:Q62)</f>
        <v>10671405.922552001</v>
      </c>
      <c r="U62" s="46">
        <f>9905156.94</f>
        <v>9905156.9399999995</v>
      </c>
      <c r="V62" s="46">
        <f>U62</f>
        <v>9905156.9399999995</v>
      </c>
    </row>
    <row r="63" spans="1:28" ht="43.5" hidden="1" customHeight="1">
      <c r="A63" s="88"/>
      <c r="B63" s="205" t="s">
        <v>255</v>
      </c>
      <c r="C63" s="127" t="s">
        <v>226</v>
      </c>
      <c r="D63" s="265"/>
      <c r="E63" s="200"/>
      <c r="F63" s="200"/>
      <c r="G63" s="200"/>
      <c r="H63" s="200"/>
      <c r="I63" s="200"/>
      <c r="J63" s="46"/>
      <c r="K63" s="46"/>
      <c r="L63" s="46">
        <v>44612.15191</v>
      </c>
      <c r="M63" s="46">
        <f t="shared" si="27"/>
        <v>44612.15191</v>
      </c>
      <c r="N63" s="206"/>
      <c r="O63" s="46"/>
      <c r="P63" s="206"/>
      <c r="Q63" s="46"/>
      <c r="R63" s="46"/>
      <c r="S63" s="46"/>
      <c r="T63" s="46">
        <f>N63</f>
        <v>0</v>
      </c>
      <c r="U63" s="46">
        <f t="shared" ref="U63:V65" si="29">T63</f>
        <v>0</v>
      </c>
      <c r="V63" s="46">
        <f t="shared" si="29"/>
        <v>0</v>
      </c>
    </row>
    <row r="64" spans="1:28" hidden="1">
      <c r="A64" s="88"/>
      <c r="B64" s="205" t="s">
        <v>258</v>
      </c>
      <c r="C64" s="127"/>
      <c r="D64" s="265"/>
      <c r="E64" s="200"/>
      <c r="F64" s="200"/>
      <c r="G64" s="200"/>
      <c r="H64" s="200"/>
      <c r="I64" s="200"/>
      <c r="J64" s="46"/>
      <c r="K64" s="46"/>
      <c r="L64" s="46">
        <v>44612.15191</v>
      </c>
      <c r="M64" s="46">
        <f t="shared" si="27"/>
        <v>44612.15191</v>
      </c>
      <c r="N64" s="206"/>
      <c r="O64" s="46"/>
      <c r="P64" s="206"/>
      <c r="Q64" s="46"/>
      <c r="R64" s="46"/>
      <c r="S64" s="46"/>
      <c r="T64" s="46">
        <f>O64</f>
        <v>0</v>
      </c>
      <c r="U64" s="46">
        <f t="shared" si="29"/>
        <v>0</v>
      </c>
      <c r="V64" s="46">
        <f t="shared" si="29"/>
        <v>0</v>
      </c>
    </row>
    <row r="65" spans="1:29" ht="61.5" customHeight="1">
      <c r="A65" s="93" t="s">
        <v>248</v>
      </c>
      <c r="B65" s="242" t="s">
        <v>28</v>
      </c>
      <c r="C65" s="127" t="s">
        <v>219</v>
      </c>
      <c r="D65" s="44" t="s">
        <v>20</v>
      </c>
      <c r="E65" s="200">
        <v>108</v>
      </c>
      <c r="F65" s="200">
        <v>108</v>
      </c>
      <c r="G65" s="200">
        <v>110</v>
      </c>
      <c r="H65" s="200">
        <v>110</v>
      </c>
      <c r="I65" s="200">
        <v>110</v>
      </c>
      <c r="J65" s="46" t="s">
        <v>23</v>
      </c>
      <c r="K65" s="46"/>
      <c r="L65" s="46">
        <f>Q65/G65</f>
        <v>5861.1529090909089</v>
      </c>
      <c r="M65" s="46">
        <f t="shared" si="27"/>
        <v>5861.1529090909089</v>
      </c>
      <c r="N65" s="206">
        <f t="shared" ref="N65" si="30">G65*J65</f>
        <v>0</v>
      </c>
      <c r="O65" s="46"/>
      <c r="P65" s="206"/>
      <c r="Q65" s="46">
        <v>644726.81999999995</v>
      </c>
      <c r="R65" s="46"/>
      <c r="S65" s="46"/>
      <c r="T65" s="46">
        <f t="shared" si="6"/>
        <v>644726.81999999995</v>
      </c>
      <c r="U65" s="46">
        <f t="shared" si="29"/>
        <v>644726.81999999995</v>
      </c>
      <c r="V65" s="46">
        <f t="shared" si="29"/>
        <v>644726.81999999995</v>
      </c>
    </row>
    <row r="66" spans="1:29" ht="16.5" customHeight="1">
      <c r="A66" s="86"/>
      <c r="B66" s="242" t="s">
        <v>28</v>
      </c>
      <c r="C66" s="127" t="s">
        <v>220</v>
      </c>
      <c r="D66" s="44"/>
      <c r="E66" s="200"/>
      <c r="F66" s="200"/>
      <c r="G66" s="200">
        <v>108</v>
      </c>
      <c r="H66" s="200">
        <v>108</v>
      </c>
      <c r="I66" s="200">
        <v>108</v>
      </c>
      <c r="J66" s="46"/>
      <c r="K66" s="46"/>
      <c r="L66" s="46">
        <f>S66/G66</f>
        <v>7954.7827777777784</v>
      </c>
      <c r="M66" s="46">
        <f t="shared" si="27"/>
        <v>7954.7827777777784</v>
      </c>
      <c r="N66" s="206"/>
      <c r="O66" s="46"/>
      <c r="P66" s="206"/>
      <c r="Q66" s="46"/>
      <c r="R66" s="46"/>
      <c r="S66" s="46">
        <v>859116.54</v>
      </c>
      <c r="T66" s="46">
        <f>S66</f>
        <v>859116.54</v>
      </c>
      <c r="U66" s="46">
        <f>S66</f>
        <v>859116.54</v>
      </c>
      <c r="V66" s="46">
        <f>S66</f>
        <v>859116.54</v>
      </c>
    </row>
    <row r="67" spans="1:29">
      <c r="A67" s="243" t="s">
        <v>53</v>
      </c>
      <c r="B67" s="94"/>
      <c r="C67" s="94"/>
      <c r="D67" s="257"/>
      <c r="E67" s="222"/>
      <c r="F67" s="222"/>
      <c r="G67" s="222"/>
      <c r="H67" s="222"/>
      <c r="I67" s="222"/>
      <c r="J67" s="201"/>
      <c r="K67" s="201"/>
      <c r="L67" s="201"/>
      <c r="M67" s="46">
        <f t="shared" si="27"/>
        <v>0</v>
      </c>
      <c r="N67" s="201">
        <f>N68+N76</f>
        <v>8280589</v>
      </c>
      <c r="O67" s="201">
        <f>O68+O76</f>
        <v>4817953.00040296</v>
      </c>
      <c r="P67" s="201"/>
      <c r="Q67" s="201">
        <f>Q68+Q76</f>
        <v>11534255.789942199</v>
      </c>
      <c r="R67" s="201"/>
      <c r="S67" s="201">
        <f>S77</f>
        <v>1486964.43</v>
      </c>
      <c r="T67" s="201">
        <f>T68+T76+T77</f>
        <v>26119762.220345162</v>
      </c>
      <c r="U67" s="201">
        <f>U68+U76+U77</f>
        <v>24559273.710000001</v>
      </c>
      <c r="V67" s="201">
        <f>V68+V76+V77</f>
        <v>24559273.710000001</v>
      </c>
      <c r="W67" s="80">
        <v>11534255.789999999</v>
      </c>
      <c r="X67" s="85">
        <f>W67-Q67</f>
        <v>5.7799741625785828E-5</v>
      </c>
      <c r="Y67" s="124">
        <f>X67/I76</f>
        <v>3.4819121461316763E-7</v>
      </c>
      <c r="AA67" s="80">
        <v>11530755.789999999</v>
      </c>
      <c r="AB67" s="85">
        <f>AA67-Q67</f>
        <v>-3499.9999422002584</v>
      </c>
      <c r="AC67" s="80">
        <f>AB67/I76</f>
        <v>-21.084337001206375</v>
      </c>
    </row>
    <row r="68" spans="1:29" ht="84.75" customHeight="1">
      <c r="A68" s="241" t="s">
        <v>247</v>
      </c>
      <c r="B68" s="84" t="s">
        <v>76</v>
      </c>
      <c r="C68" s="128"/>
      <c r="D68" s="52"/>
      <c r="E68" s="221"/>
      <c r="F68" s="221"/>
      <c r="G68" s="221"/>
      <c r="H68" s="221"/>
      <c r="I68" s="221"/>
      <c r="J68" s="46"/>
      <c r="K68" s="46"/>
      <c r="L68" s="46"/>
      <c r="M68" s="46">
        <f t="shared" si="27"/>
        <v>0</v>
      </c>
      <c r="N68" s="46">
        <f>SUM(N69:N77)</f>
        <v>8280589</v>
      </c>
      <c r="O68" s="46">
        <f>SUM(O69:O77)</f>
        <v>4817953.00040296</v>
      </c>
      <c r="P68" s="206"/>
      <c r="Q68" s="46">
        <f>SUM(Q69:Q71)</f>
        <v>10503006.4199422</v>
      </c>
      <c r="R68" s="46"/>
      <c r="S68" s="46"/>
      <c r="T68" s="46">
        <f>SUM(T69:T75)</f>
        <v>23601548.420345161</v>
      </c>
      <c r="U68" s="46">
        <f t="shared" ref="U68:V68" si="31">SUM(U69:U75)</f>
        <v>22041059.91</v>
      </c>
      <c r="V68" s="46">
        <f t="shared" si="31"/>
        <v>22041059.91</v>
      </c>
      <c r="W68" s="85">
        <f>T67-U67</f>
        <v>1560488.510345161</v>
      </c>
      <c r="AA68" s="85">
        <f>23072309.28+U77</f>
        <v>24559273.710000001</v>
      </c>
      <c r="AB68" s="85">
        <f>U67-AA68</f>
        <v>0</v>
      </c>
    </row>
    <row r="69" spans="1:29" ht="55.5" customHeight="1">
      <c r="A69" s="83"/>
      <c r="B69" s="97" t="s">
        <v>272</v>
      </c>
      <c r="C69" s="340" t="s">
        <v>279</v>
      </c>
      <c r="D69" s="265" t="s">
        <v>20</v>
      </c>
      <c r="E69" s="200">
        <v>31</v>
      </c>
      <c r="F69" s="200">
        <v>31</v>
      </c>
      <c r="G69" s="200">
        <v>29</v>
      </c>
      <c r="H69" s="200">
        <v>29</v>
      </c>
      <c r="I69" s="200">
        <v>29</v>
      </c>
      <c r="J69" s="46">
        <f>43138.04+1484.79</f>
        <v>44622.83</v>
      </c>
      <c r="K69" s="46">
        <f>(12142.68*1.802017)+7142.5</f>
        <v>29023.81578556</v>
      </c>
      <c r="L69" s="46">
        <f>61115.04283+222.8915676+391.5662651+1520.538012+21.084337</f>
        <v>63271.123011700001</v>
      </c>
      <c r="M69" s="46">
        <f t="shared" si="27"/>
        <v>136917.76879726001</v>
      </c>
      <c r="N69" s="46">
        <f>G69*J69-0.16</f>
        <v>1294061.9100000001</v>
      </c>
      <c r="O69" s="46">
        <f>G69*K69-0.16</f>
        <v>841690.49778124003</v>
      </c>
      <c r="P69" s="206"/>
      <c r="Q69" s="46">
        <f>G69*L69</f>
        <v>1834862.5673392999</v>
      </c>
      <c r="R69" s="46"/>
      <c r="S69" s="46"/>
      <c r="T69" s="46">
        <f t="shared" si="6"/>
        <v>3970614.9751205398</v>
      </c>
      <c r="U69" s="46">
        <v>3884615.05</v>
      </c>
      <c r="V69" s="46">
        <f>U69</f>
        <v>3884615.05</v>
      </c>
    </row>
    <row r="70" spans="1:29" ht="53.25" customHeight="1">
      <c r="A70" s="88"/>
      <c r="B70" s="97" t="s">
        <v>270</v>
      </c>
      <c r="C70" s="341"/>
      <c r="D70" s="44" t="s">
        <v>20</v>
      </c>
      <c r="E70" s="200">
        <v>64</v>
      </c>
      <c r="F70" s="200">
        <v>64</v>
      </c>
      <c r="G70" s="200">
        <v>70</v>
      </c>
      <c r="H70" s="200">
        <v>70</v>
      </c>
      <c r="I70" s="200">
        <v>70</v>
      </c>
      <c r="J70" s="46">
        <f>34198.17+1484.79</f>
        <v>35682.959999999999</v>
      </c>
      <c r="K70" s="46">
        <f>(12142.68*1.802017)+7142.5</f>
        <v>29023.81578556</v>
      </c>
      <c r="L70" s="46">
        <f t="shared" ref="L70:L71" si="32">61115.04283+222.8915676+391.5662651+1520.538012+21.084337</f>
        <v>63271.123011700001</v>
      </c>
      <c r="M70" s="46">
        <f t="shared" si="27"/>
        <v>127977.89879726</v>
      </c>
      <c r="N70" s="46">
        <f>G70*J70+0.1</f>
        <v>2497807.2999999998</v>
      </c>
      <c r="O70" s="46">
        <f>G70*K70-0.1</f>
        <v>2031667.0049891998</v>
      </c>
      <c r="P70" s="206"/>
      <c r="Q70" s="46">
        <f t="shared" ref="Q70" si="33">G70*L70</f>
        <v>4428978.6108189998</v>
      </c>
      <c r="R70" s="46"/>
      <c r="S70" s="46"/>
      <c r="T70" s="46">
        <f t="shared" si="6"/>
        <v>8958452.9158082008</v>
      </c>
      <c r="U70" s="46">
        <v>8750866.8800000008</v>
      </c>
      <c r="V70" s="46">
        <f>U70</f>
        <v>8750866.8800000008</v>
      </c>
    </row>
    <row r="71" spans="1:29" ht="110.4">
      <c r="A71" s="88"/>
      <c r="B71" s="97" t="s">
        <v>270</v>
      </c>
      <c r="C71" s="93" t="s">
        <v>281</v>
      </c>
      <c r="D71" s="265" t="s">
        <v>20</v>
      </c>
      <c r="E71" s="200">
        <v>72</v>
      </c>
      <c r="F71" s="200">
        <v>72</v>
      </c>
      <c r="G71" s="200">
        <v>67</v>
      </c>
      <c r="H71" s="200">
        <v>67</v>
      </c>
      <c r="I71" s="200">
        <v>67</v>
      </c>
      <c r="J71" s="220">
        <f>65511.03+1484.79</f>
        <v>66995.819999999992</v>
      </c>
      <c r="K71" s="46">
        <f>(12142.68*1.802017)+7142.5</f>
        <v>29023.81578556</v>
      </c>
      <c r="L71" s="46">
        <f t="shared" si="32"/>
        <v>63271.123011700001</v>
      </c>
      <c r="M71" s="46">
        <f t="shared" si="27"/>
        <v>159290.75879726</v>
      </c>
      <c r="N71" s="46">
        <f>G71*J71-0.01-0.14</f>
        <v>4488719.79</v>
      </c>
      <c r="O71" s="46">
        <f t="shared" ref="O71" si="34">G71*K71-0.16</f>
        <v>1944595.49763252</v>
      </c>
      <c r="P71" s="206"/>
      <c r="Q71" s="46">
        <f>G71*L71</f>
        <v>4239165.2417839002</v>
      </c>
      <c r="R71" s="46"/>
      <c r="S71" s="46"/>
      <c r="T71" s="46">
        <f t="shared" si="6"/>
        <v>10672480.52941642</v>
      </c>
      <c r="U71" s="46">
        <f>9959919.18-554341.2</f>
        <v>9405577.9800000004</v>
      </c>
      <c r="V71" s="46">
        <f>U71</f>
        <v>9405577.9800000004</v>
      </c>
      <c r="W71" s="85">
        <f>T71-U71</f>
        <v>1266902.5494164191</v>
      </c>
    </row>
    <row r="72" spans="1:29" s="192" customFormat="1" ht="13.5" hidden="1" customHeight="1">
      <c r="A72" s="245"/>
      <c r="B72" s="203"/>
      <c r="C72" s="199" t="s">
        <v>226</v>
      </c>
      <c r="D72" s="45"/>
      <c r="E72" s="200"/>
      <c r="F72" s="200"/>
      <c r="G72" s="200"/>
      <c r="H72" s="200"/>
      <c r="I72" s="200"/>
      <c r="J72" s="46"/>
      <c r="K72" s="46"/>
      <c r="L72" s="46"/>
      <c r="M72" s="46">
        <f t="shared" si="27"/>
        <v>0</v>
      </c>
      <c r="N72" s="206"/>
      <c r="O72" s="46"/>
      <c r="P72" s="206"/>
      <c r="Q72" s="46"/>
      <c r="R72" s="46"/>
      <c r="S72" s="46"/>
      <c r="T72" s="46">
        <f>O72</f>
        <v>0</v>
      </c>
      <c r="U72" s="46">
        <f t="shared" ref="U72:V76" si="35">T72</f>
        <v>0</v>
      </c>
      <c r="V72" s="46">
        <f t="shared" si="35"/>
        <v>0</v>
      </c>
    </row>
    <row r="73" spans="1:29" s="192" customFormat="1" hidden="1">
      <c r="A73" s="245"/>
      <c r="B73" s="203"/>
      <c r="C73" s="199" t="s">
        <v>226</v>
      </c>
      <c r="D73" s="45"/>
      <c r="E73" s="200"/>
      <c r="F73" s="200"/>
      <c r="G73" s="200"/>
      <c r="H73" s="200"/>
      <c r="I73" s="200"/>
      <c r="J73" s="46"/>
      <c r="K73" s="46"/>
      <c r="L73" s="46"/>
      <c r="M73" s="46">
        <f t="shared" si="27"/>
        <v>0</v>
      </c>
      <c r="N73" s="206"/>
      <c r="O73" s="46"/>
      <c r="P73" s="206"/>
      <c r="Q73" s="46"/>
      <c r="R73" s="46"/>
      <c r="S73" s="46"/>
      <c r="T73" s="46">
        <f>N73</f>
        <v>0</v>
      </c>
      <c r="U73" s="46">
        <f t="shared" si="35"/>
        <v>0</v>
      </c>
      <c r="V73" s="46">
        <f t="shared" si="35"/>
        <v>0</v>
      </c>
    </row>
    <row r="74" spans="1:29" ht="45.75" hidden="1" customHeight="1">
      <c r="A74" s="88"/>
      <c r="B74" s="128"/>
      <c r="C74" s="127" t="s">
        <v>226</v>
      </c>
      <c r="D74" s="265"/>
      <c r="E74" s="200"/>
      <c r="F74" s="200"/>
      <c r="G74" s="200"/>
      <c r="H74" s="200"/>
      <c r="I74" s="200"/>
      <c r="J74" s="46"/>
      <c r="K74" s="46"/>
      <c r="L74" s="46"/>
      <c r="M74" s="46">
        <f t="shared" si="27"/>
        <v>0</v>
      </c>
      <c r="N74" s="206"/>
      <c r="O74" s="46"/>
      <c r="P74" s="206"/>
      <c r="Q74" s="46"/>
      <c r="R74" s="46"/>
      <c r="S74" s="46"/>
      <c r="T74" s="46">
        <f>N74</f>
        <v>0</v>
      </c>
      <c r="U74" s="46">
        <f t="shared" si="35"/>
        <v>0</v>
      </c>
      <c r="V74" s="46">
        <f t="shared" si="35"/>
        <v>0</v>
      </c>
    </row>
    <row r="75" spans="1:29" hidden="1">
      <c r="A75" s="88"/>
      <c r="B75" s="128"/>
      <c r="C75" s="127"/>
      <c r="D75" s="265"/>
      <c r="E75" s="200"/>
      <c r="F75" s="200"/>
      <c r="G75" s="200"/>
      <c r="H75" s="200"/>
      <c r="I75" s="200"/>
      <c r="J75" s="46"/>
      <c r="K75" s="46"/>
      <c r="L75" s="46"/>
      <c r="M75" s="46">
        <f t="shared" si="27"/>
        <v>0</v>
      </c>
      <c r="N75" s="206"/>
      <c r="O75" s="46"/>
      <c r="P75" s="206"/>
      <c r="Q75" s="46"/>
      <c r="R75" s="46"/>
      <c r="S75" s="46"/>
      <c r="T75" s="46">
        <f>O75</f>
        <v>0</v>
      </c>
      <c r="U75" s="46">
        <f t="shared" si="35"/>
        <v>0</v>
      </c>
      <c r="V75" s="46">
        <f t="shared" si="35"/>
        <v>0</v>
      </c>
    </row>
    <row r="76" spans="1:29" ht="60" customHeight="1">
      <c r="A76" s="241" t="s">
        <v>248</v>
      </c>
      <c r="B76" s="242" t="s">
        <v>332</v>
      </c>
      <c r="C76" s="127" t="s">
        <v>219</v>
      </c>
      <c r="D76" s="44" t="s">
        <v>20</v>
      </c>
      <c r="E76" s="200">
        <f>E71+E70+E69</f>
        <v>167</v>
      </c>
      <c r="F76" s="200">
        <f t="shared" ref="F76:I76" si="36">F71+F70+F69</f>
        <v>167</v>
      </c>
      <c r="G76" s="200">
        <f t="shared" si="36"/>
        <v>166</v>
      </c>
      <c r="H76" s="200">
        <f t="shared" si="36"/>
        <v>166</v>
      </c>
      <c r="I76" s="200">
        <f t="shared" si="36"/>
        <v>166</v>
      </c>
      <c r="J76" s="46" t="s">
        <v>23</v>
      </c>
      <c r="K76" s="46"/>
      <c r="L76" s="46">
        <f>Q76/G76</f>
        <v>6212.3456024096386</v>
      </c>
      <c r="M76" s="46">
        <f t="shared" si="27"/>
        <v>6212.3456024096386</v>
      </c>
      <c r="N76" s="206">
        <f t="shared" si="14"/>
        <v>0</v>
      </c>
      <c r="O76" s="46">
        <f t="shared" ref="O76" si="37">G76*K76</f>
        <v>0</v>
      </c>
      <c r="P76" s="206"/>
      <c r="Q76" s="46">
        <v>1031249.37</v>
      </c>
      <c r="R76" s="46"/>
      <c r="S76" s="46"/>
      <c r="T76" s="46">
        <f t="shared" si="6"/>
        <v>1031249.37</v>
      </c>
      <c r="U76" s="46">
        <f t="shared" si="35"/>
        <v>1031249.37</v>
      </c>
      <c r="V76" s="46">
        <f t="shared" si="35"/>
        <v>1031249.37</v>
      </c>
    </row>
    <row r="77" spans="1:29">
      <c r="A77" s="86"/>
      <c r="B77" s="242" t="s">
        <v>332</v>
      </c>
      <c r="C77" s="127" t="s">
        <v>220</v>
      </c>
      <c r="D77" s="44"/>
      <c r="E77" s="200"/>
      <c r="F77" s="200"/>
      <c r="G77" s="200">
        <v>163</v>
      </c>
      <c r="H77" s="200">
        <v>163</v>
      </c>
      <c r="I77" s="200">
        <v>163</v>
      </c>
      <c r="J77" s="46"/>
      <c r="K77" s="46"/>
      <c r="L77" s="46">
        <f>S77/G77</f>
        <v>9122.4811656441707</v>
      </c>
      <c r="M77" s="46">
        <f t="shared" si="27"/>
        <v>9122.4811656441707</v>
      </c>
      <c r="N77" s="206"/>
      <c r="O77" s="46"/>
      <c r="P77" s="206"/>
      <c r="Q77" s="46"/>
      <c r="R77" s="46"/>
      <c r="S77" s="46">
        <v>1486964.43</v>
      </c>
      <c r="T77" s="46">
        <f>S77:S78</f>
        <v>1486964.43</v>
      </c>
      <c r="U77" s="46">
        <f>S77</f>
        <v>1486964.43</v>
      </c>
      <c r="V77" s="46">
        <f>S77</f>
        <v>1486964.43</v>
      </c>
    </row>
    <row r="78" spans="1:29">
      <c r="A78" s="243" t="s">
        <v>57</v>
      </c>
      <c r="B78" s="94"/>
      <c r="C78" s="94"/>
      <c r="D78" s="257"/>
      <c r="E78" s="222"/>
      <c r="F78" s="222"/>
      <c r="G78" s="222"/>
      <c r="H78" s="222"/>
      <c r="I78" s="222"/>
      <c r="J78" s="201"/>
      <c r="K78" s="201"/>
      <c r="L78" s="201"/>
      <c r="M78" s="46">
        <f t="shared" si="27"/>
        <v>0</v>
      </c>
      <c r="N78" s="201">
        <f>N79+N85</f>
        <v>6783488.9999999991</v>
      </c>
      <c r="O78" s="201">
        <f>O79+O85</f>
        <v>3352897.0026960801</v>
      </c>
      <c r="P78" s="207"/>
      <c r="Q78" s="201">
        <f>Q79+Q85</f>
        <v>6039095.5300033996</v>
      </c>
      <c r="R78" s="201"/>
      <c r="S78" s="201">
        <f>S86</f>
        <v>1061963.51</v>
      </c>
      <c r="T78" s="201">
        <f>T79+T85+T86</f>
        <v>17237445.042699482</v>
      </c>
      <c r="U78" s="201">
        <f>U79+U85+U86</f>
        <v>16936191.539999999</v>
      </c>
      <c r="V78" s="201">
        <f>V79+V85+V86</f>
        <v>16936191.539999999</v>
      </c>
      <c r="W78" s="80">
        <v>6039095.5300000003</v>
      </c>
      <c r="X78" s="85">
        <f>W78-Q78</f>
        <v>-3.3993273973464966E-6</v>
      </c>
      <c r="Y78" s="80">
        <f>X78/I85</f>
        <v>-2.8807859299546581E-8</v>
      </c>
      <c r="AA78" s="80">
        <v>5964695.5300000003</v>
      </c>
      <c r="AB78" s="85">
        <f>AA78-Q78</f>
        <v>-74400.000003399327</v>
      </c>
      <c r="AC78" s="80">
        <f>AB78/I85</f>
        <v>-630.50847460507907</v>
      </c>
    </row>
    <row r="79" spans="1:29" ht="87" customHeight="1">
      <c r="A79" s="241" t="s">
        <v>247</v>
      </c>
      <c r="B79" s="84" t="s">
        <v>76</v>
      </c>
      <c r="C79" s="128"/>
      <c r="D79" s="52"/>
      <c r="E79" s="221"/>
      <c r="F79" s="221"/>
      <c r="G79" s="221"/>
      <c r="H79" s="221"/>
      <c r="I79" s="221"/>
      <c r="J79" s="46"/>
      <c r="K79" s="46"/>
      <c r="L79" s="46"/>
      <c r="M79" s="46">
        <f t="shared" si="27"/>
        <v>0</v>
      </c>
      <c r="N79" s="46">
        <f>SUM(N80:N84)</f>
        <v>6783488.9999999991</v>
      </c>
      <c r="O79" s="46">
        <f>SUM(O80:O86)</f>
        <v>3352897.0026960801</v>
      </c>
      <c r="P79" s="206"/>
      <c r="Q79" s="46">
        <f>SUM(Q80:Q83)</f>
        <v>5257415.6100033997</v>
      </c>
      <c r="R79" s="46"/>
      <c r="S79" s="46"/>
      <c r="T79" s="46">
        <f>SUM(T80:T84)</f>
        <v>15393801.612699481</v>
      </c>
      <c r="U79" s="46">
        <f>SUM(U80:U84)-0.9</f>
        <v>15092548.109999999</v>
      </c>
      <c r="V79" s="46">
        <f>SUM(V80:V84)-0.9</f>
        <v>15092548.109999999</v>
      </c>
      <c r="W79" s="85">
        <f>T78-U78</f>
        <v>301253.50269948319</v>
      </c>
      <c r="AA79" s="85">
        <f>15874228.03+U86</f>
        <v>16936191.539999999</v>
      </c>
      <c r="AB79" s="85">
        <f>U78-AA79</f>
        <v>0</v>
      </c>
    </row>
    <row r="80" spans="1:29" ht="43.5" customHeight="1">
      <c r="A80" s="241"/>
      <c r="B80" s="97" t="s">
        <v>272</v>
      </c>
      <c r="C80" s="342" t="s">
        <v>279</v>
      </c>
      <c r="D80" s="265" t="s">
        <v>20</v>
      </c>
      <c r="E80" s="221"/>
      <c r="F80" s="221"/>
      <c r="G80" s="200">
        <v>1</v>
      </c>
      <c r="H80" s="200">
        <v>1</v>
      </c>
      <c r="I80" s="200">
        <v>1</v>
      </c>
      <c r="J80" s="46">
        <f>43138.04+983.17</f>
        <v>44121.21</v>
      </c>
      <c r="K80" s="46">
        <f>(12142.68*1.802017)+6533.07</f>
        <v>28414.38578556</v>
      </c>
      <c r="L80" s="46">
        <f>42890.0772+693.2118678+340.5720339+630.5084746</f>
        <v>44554.3695763</v>
      </c>
      <c r="M80" s="46">
        <f t="shared" si="27"/>
        <v>117089.96536186</v>
      </c>
      <c r="N80" s="46">
        <f>G80*J80-0.04</f>
        <v>44121.17</v>
      </c>
      <c r="O80" s="46">
        <f>G80*K80-0.32</f>
        <v>28414.06578556</v>
      </c>
      <c r="P80" s="206"/>
      <c r="Q80" s="46">
        <f>H80*L80</f>
        <v>44554.3695763</v>
      </c>
      <c r="R80" s="46"/>
      <c r="S80" s="46"/>
      <c r="T80" s="46">
        <f>N80+O80+P80+Q80+R80</f>
        <v>117089.60536186</v>
      </c>
      <c r="U80" s="46">
        <v>114956.64</v>
      </c>
      <c r="V80" s="46">
        <f t="shared" ref="V80:V82" si="38">U80</f>
        <v>114956.64</v>
      </c>
    </row>
    <row r="81" spans="1:29" ht="63" customHeight="1">
      <c r="A81" s="83"/>
      <c r="B81" s="97" t="s">
        <v>270</v>
      </c>
      <c r="C81" s="343"/>
      <c r="D81" s="265" t="s">
        <v>20</v>
      </c>
      <c r="E81" s="200">
        <v>45</v>
      </c>
      <c r="F81" s="200">
        <v>45</v>
      </c>
      <c r="G81" s="200">
        <v>44</v>
      </c>
      <c r="H81" s="200">
        <v>44</v>
      </c>
      <c r="I81" s="200">
        <v>44</v>
      </c>
      <c r="J81" s="46">
        <f>34198.17+983.17</f>
        <v>35181.339999999997</v>
      </c>
      <c r="K81" s="46">
        <f>(12142.68*1.802017)+6533.07</f>
        <v>28414.38578556</v>
      </c>
      <c r="L81" s="46">
        <f t="shared" ref="L81:L84" si="39">42890.0772+693.2118678+340.5720339+630.5084746</f>
        <v>44554.3695763</v>
      </c>
      <c r="M81" s="46">
        <f t="shared" si="27"/>
        <v>108150.09536186</v>
      </c>
      <c r="N81" s="46">
        <f>G81*J81+0.52</f>
        <v>1547979.48</v>
      </c>
      <c r="O81" s="46">
        <f>G81*K81+0.11</f>
        <v>1250233.0845646402</v>
      </c>
      <c r="P81" s="206"/>
      <c r="Q81" s="46">
        <f>G81*L81</f>
        <v>1960392.2613571999</v>
      </c>
      <c r="R81" s="46"/>
      <c r="S81" s="46"/>
      <c r="T81" s="46">
        <f t="shared" si="6"/>
        <v>4758604.82592184</v>
      </c>
      <c r="U81" s="46">
        <v>4664754.38</v>
      </c>
      <c r="V81" s="46">
        <f t="shared" si="38"/>
        <v>4664754.38</v>
      </c>
    </row>
    <row r="82" spans="1:29" ht="110.4">
      <c r="A82" s="83"/>
      <c r="B82" s="97" t="s">
        <v>270</v>
      </c>
      <c r="C82" s="93" t="s">
        <v>274</v>
      </c>
      <c r="D82" s="265" t="s">
        <v>20</v>
      </c>
      <c r="E82" s="269">
        <v>73</v>
      </c>
      <c r="F82" s="200">
        <v>73</v>
      </c>
      <c r="G82" s="200">
        <v>73</v>
      </c>
      <c r="H82" s="200">
        <v>73</v>
      </c>
      <c r="I82" s="200">
        <v>73</v>
      </c>
      <c r="J82" s="220">
        <f>65511.03+983.17</f>
        <v>66494.2</v>
      </c>
      <c r="K82" s="46">
        <f>(12142.68*1.802017)+6533.07</f>
        <v>28414.38578556</v>
      </c>
      <c r="L82" s="46">
        <f t="shared" si="39"/>
        <v>44554.3695763</v>
      </c>
      <c r="M82" s="46">
        <f t="shared" si="27"/>
        <v>139462.95536185999</v>
      </c>
      <c r="N82" s="46">
        <f>G82*J82-0.19</f>
        <v>4854076.4099999992</v>
      </c>
      <c r="O82" s="46">
        <f>G82*K82-0.05-0.26</f>
        <v>2074249.8523458799</v>
      </c>
      <c r="P82" s="206"/>
      <c r="Q82" s="46">
        <f>G82*L82</f>
        <v>3252468.9790698998</v>
      </c>
      <c r="R82" s="46"/>
      <c r="S82" s="46"/>
      <c r="T82" s="46">
        <f>SUM(N82:Q82)</f>
        <v>10180795.24141578</v>
      </c>
      <c r="U82" s="46">
        <f>9949028.99+81799</f>
        <v>10030827.99</v>
      </c>
      <c r="V82" s="46">
        <f t="shared" si="38"/>
        <v>10030827.99</v>
      </c>
    </row>
    <row r="83" spans="1:29" ht="79.5" customHeight="1">
      <c r="A83" s="244"/>
      <c r="B83" s="97" t="s">
        <v>181</v>
      </c>
      <c r="C83" s="244" t="s">
        <v>287</v>
      </c>
      <c r="D83" s="254"/>
      <c r="E83" s="200">
        <v>45</v>
      </c>
      <c r="F83" s="200">
        <v>45</v>
      </c>
      <c r="G83" s="200">
        <v>45</v>
      </c>
      <c r="H83" s="200">
        <v>45</v>
      </c>
      <c r="I83" s="200">
        <v>45</v>
      </c>
      <c r="J83" s="220">
        <f>1554.8+983.17</f>
        <v>2537.9699999999998</v>
      </c>
      <c r="K83" s="46">
        <f>21881.32+6533.07</f>
        <v>28414.39</v>
      </c>
      <c r="L83" s="46">
        <f t="shared" si="39"/>
        <v>44554.3695763</v>
      </c>
      <c r="M83" s="46">
        <f t="shared" si="27"/>
        <v>75506.7295763</v>
      </c>
      <c r="N83" s="46">
        <f>G83*J83</f>
        <v>114208.65</v>
      </c>
      <c r="O83" s="46"/>
      <c r="P83" s="206"/>
      <c r="Q83" s="46"/>
      <c r="R83" s="46"/>
      <c r="S83" s="46"/>
      <c r="T83" s="46">
        <f>SUM(N83:Q83)</f>
        <v>114208.65</v>
      </c>
      <c r="U83" s="46">
        <v>93118.5</v>
      </c>
      <c r="V83" s="46">
        <f t="shared" ref="U83:V85" si="40">U83</f>
        <v>93118.5</v>
      </c>
    </row>
    <row r="84" spans="1:29" ht="81" customHeight="1">
      <c r="A84" s="244"/>
      <c r="B84" s="97" t="s">
        <v>181</v>
      </c>
      <c r="C84" s="244" t="s">
        <v>288</v>
      </c>
      <c r="D84" s="254"/>
      <c r="E84" s="200">
        <v>73</v>
      </c>
      <c r="F84" s="200">
        <v>73</v>
      </c>
      <c r="G84" s="200">
        <v>73</v>
      </c>
      <c r="H84" s="200">
        <v>73</v>
      </c>
      <c r="I84" s="200">
        <v>73</v>
      </c>
      <c r="J84" s="220">
        <f>2073.06+983.17</f>
        <v>3056.23</v>
      </c>
      <c r="K84" s="46">
        <f>(12142.68*1.802017)+6533.07</f>
        <v>28414.38578556</v>
      </c>
      <c r="L84" s="46">
        <f t="shared" si="39"/>
        <v>44554.3695763</v>
      </c>
      <c r="M84" s="46">
        <f t="shared" si="27"/>
        <v>76024.985361860003</v>
      </c>
      <c r="N84" s="46">
        <f>G84*J84-0.38-1.12</f>
        <v>223103.29</v>
      </c>
      <c r="O84" s="46"/>
      <c r="P84" s="206"/>
      <c r="Q84" s="46"/>
      <c r="R84" s="46"/>
      <c r="S84" s="46"/>
      <c r="T84" s="46">
        <f>SUM(N84:Q84)</f>
        <v>223103.29</v>
      </c>
      <c r="U84" s="46">
        <v>188891.5</v>
      </c>
      <c r="V84" s="46">
        <f t="shared" si="40"/>
        <v>188891.5</v>
      </c>
    </row>
    <row r="85" spans="1:29" ht="55.2">
      <c r="A85" s="241" t="s">
        <v>248</v>
      </c>
      <c r="B85" s="242" t="s">
        <v>28</v>
      </c>
      <c r="C85" s="127" t="s">
        <v>219</v>
      </c>
      <c r="D85" s="44" t="s">
        <v>20</v>
      </c>
      <c r="E85" s="200">
        <v>118</v>
      </c>
      <c r="F85" s="200">
        <v>118</v>
      </c>
      <c r="G85" s="200">
        <v>118</v>
      </c>
      <c r="H85" s="200">
        <v>118</v>
      </c>
      <c r="I85" s="200">
        <v>118</v>
      </c>
      <c r="J85" s="46"/>
      <c r="K85" s="46"/>
      <c r="L85" s="46">
        <f>Q85/G85</f>
        <v>6624.4061016949154</v>
      </c>
      <c r="M85" s="46">
        <f t="shared" si="27"/>
        <v>6624.4061016949154</v>
      </c>
      <c r="N85" s="206">
        <f t="shared" ref="N85" si="41">G85*J85</f>
        <v>0</v>
      </c>
      <c r="O85" s="46">
        <f t="shared" ref="O85" si="42">G85*K85</f>
        <v>0</v>
      </c>
      <c r="P85" s="206"/>
      <c r="Q85" s="46">
        <v>781679.92</v>
      </c>
      <c r="R85" s="46"/>
      <c r="S85" s="46"/>
      <c r="T85" s="46">
        <f t="shared" si="6"/>
        <v>781679.92</v>
      </c>
      <c r="U85" s="46">
        <f t="shared" si="40"/>
        <v>781679.92</v>
      </c>
      <c r="V85" s="46">
        <f t="shared" si="40"/>
        <v>781679.92</v>
      </c>
    </row>
    <row r="86" spans="1:29" ht="18" customHeight="1">
      <c r="A86" s="86"/>
      <c r="B86" s="242" t="s">
        <v>28</v>
      </c>
      <c r="C86" s="127" t="s">
        <v>220</v>
      </c>
      <c r="D86" s="44"/>
      <c r="E86" s="200"/>
      <c r="F86" s="200"/>
      <c r="G86" s="200">
        <v>118</v>
      </c>
      <c r="H86" s="200">
        <v>118</v>
      </c>
      <c r="I86" s="200">
        <v>118</v>
      </c>
      <c r="J86" s="46"/>
      <c r="K86" s="46"/>
      <c r="L86" s="46">
        <f>S86/G86</f>
        <v>8999.6907627118653</v>
      </c>
      <c r="M86" s="46">
        <f t="shared" si="27"/>
        <v>8999.6907627118653</v>
      </c>
      <c r="N86" s="206"/>
      <c r="O86" s="46"/>
      <c r="P86" s="206"/>
      <c r="Q86" s="46"/>
      <c r="R86" s="46"/>
      <c r="S86" s="46">
        <v>1061963.51</v>
      </c>
      <c r="T86" s="46">
        <f>S86</f>
        <v>1061963.51</v>
      </c>
      <c r="U86" s="46">
        <f>S86</f>
        <v>1061963.51</v>
      </c>
      <c r="V86" s="46">
        <f>S86</f>
        <v>1061963.51</v>
      </c>
    </row>
    <row r="87" spans="1:29" ht="17.25" customHeight="1">
      <c r="A87" s="243" t="s">
        <v>61</v>
      </c>
      <c r="B87" s="94"/>
      <c r="C87" s="94"/>
      <c r="D87" s="257"/>
      <c r="E87" s="222"/>
      <c r="F87" s="222"/>
      <c r="G87" s="222"/>
      <c r="H87" s="222"/>
      <c r="I87" s="222"/>
      <c r="J87" s="201"/>
      <c r="K87" s="201"/>
      <c r="L87" s="201"/>
      <c r="M87" s="46">
        <f t="shared" si="27"/>
        <v>0</v>
      </c>
      <c r="N87" s="201">
        <f>N88+N93</f>
        <v>17619746</v>
      </c>
      <c r="O87" s="201">
        <f>O88+O93</f>
        <v>7166457.9985344</v>
      </c>
      <c r="P87" s="201"/>
      <c r="Q87" s="201">
        <f>Q88+Q93</f>
        <v>11739438.529999999</v>
      </c>
      <c r="R87" s="201"/>
      <c r="S87" s="201">
        <f>S94</f>
        <v>1863094.52</v>
      </c>
      <c r="T87" s="201">
        <f>T88+T93+T94</f>
        <v>38388737.048534408</v>
      </c>
      <c r="U87" s="201">
        <f>U88+U93+U94</f>
        <v>37196244.050000004</v>
      </c>
      <c r="V87" s="201">
        <f>V88+V93+V94</f>
        <v>37196244.050000004</v>
      </c>
      <c r="W87" s="80">
        <v>11739438.529999999</v>
      </c>
      <c r="X87" s="85">
        <f>W87-Q87</f>
        <v>0</v>
      </c>
      <c r="Y87" s="80">
        <f>X87/I93</f>
        <v>0</v>
      </c>
      <c r="AA87" s="80">
        <v>11727438.529999999</v>
      </c>
      <c r="AB87" s="85">
        <f>AA87-Q87</f>
        <v>-12000</v>
      </c>
      <c r="AC87" s="124">
        <f>AB87/I93</f>
        <v>-50</v>
      </c>
    </row>
    <row r="88" spans="1:29" ht="83.25" customHeight="1">
      <c r="A88" s="241" t="s">
        <v>247</v>
      </c>
      <c r="B88" s="84" t="s">
        <v>76</v>
      </c>
      <c r="C88" s="128"/>
      <c r="D88" s="52"/>
      <c r="E88" s="221"/>
      <c r="F88" s="221"/>
      <c r="G88" s="221"/>
      <c r="H88" s="221"/>
      <c r="I88" s="221"/>
      <c r="J88" s="46"/>
      <c r="K88" s="46"/>
      <c r="L88" s="46"/>
      <c r="M88" s="46">
        <f t="shared" si="27"/>
        <v>0</v>
      </c>
      <c r="N88" s="46">
        <f>N89+N91+N92+N90</f>
        <v>17619746</v>
      </c>
      <c r="O88" s="46">
        <f>SUM(O89:O94)</f>
        <v>7166457.9985344</v>
      </c>
      <c r="P88" s="46"/>
      <c r="Q88" s="46">
        <f>SUM(Q89:Q92)</f>
        <v>9892752.75</v>
      </c>
      <c r="R88" s="46"/>
      <c r="S88" s="46"/>
      <c r="T88" s="46">
        <f>SUM(T89:T92)</f>
        <v>34678956.748534404</v>
      </c>
      <c r="U88" s="46">
        <f>SUM(U89:U92)-0.02</f>
        <v>33486463.750000004</v>
      </c>
      <c r="V88" s="46">
        <f>SUM(V89:V92)-0.02</f>
        <v>33486463.750000004</v>
      </c>
      <c r="W88" s="85">
        <f>T87-U87</f>
        <v>1192492.9985344037</v>
      </c>
      <c r="AA88" s="85">
        <f>35333149.53+U94</f>
        <v>37196244.050000004</v>
      </c>
      <c r="AB88" s="85">
        <f>U87-AA88</f>
        <v>0</v>
      </c>
    </row>
    <row r="89" spans="1:29" ht="96.6">
      <c r="A89" s="83"/>
      <c r="B89" s="97" t="s">
        <v>272</v>
      </c>
      <c r="C89" s="93" t="s">
        <v>279</v>
      </c>
      <c r="D89" s="265" t="s">
        <v>20</v>
      </c>
      <c r="E89" s="200">
        <v>35</v>
      </c>
      <c r="F89" s="200">
        <v>35</v>
      </c>
      <c r="G89" s="200">
        <v>32</v>
      </c>
      <c r="H89" s="200">
        <v>32</v>
      </c>
      <c r="I89" s="200">
        <v>32</v>
      </c>
      <c r="J89" s="46">
        <f>43138.04+1277.05</f>
        <v>44415.090000000004</v>
      </c>
      <c r="K89" s="46">
        <f>(12142.68*1.802017)+7978.93</f>
        <v>29860.245785560001</v>
      </c>
      <c r="L89" s="46">
        <f>40511.42813-458.3333383+697.125+419.583333+50.0000003</f>
        <v>41219.803125000006</v>
      </c>
      <c r="M89" s="46">
        <f t="shared" si="27"/>
        <v>115495.13891056001</v>
      </c>
      <c r="N89" s="46">
        <f>G89*J89-0.28</f>
        <v>1421282.6</v>
      </c>
      <c r="O89" s="46">
        <f>G89*K89-0.11</f>
        <v>955527.75513792003</v>
      </c>
      <c r="P89" s="46"/>
      <c r="Q89" s="46">
        <f>G89*L89</f>
        <v>1319033.7000000002</v>
      </c>
      <c r="R89" s="46"/>
      <c r="S89" s="46"/>
      <c r="T89" s="46">
        <f>SUM(N89:Q89)</f>
        <v>3695844.0551379202</v>
      </c>
      <c r="U89" s="46">
        <v>4758136.87</v>
      </c>
      <c r="V89" s="46">
        <f>U89</f>
        <v>4758136.87</v>
      </c>
      <c r="AA89" s="85"/>
    </row>
    <row r="90" spans="1:29" ht="138">
      <c r="A90" s="88"/>
      <c r="B90" s="97" t="s">
        <v>270</v>
      </c>
      <c r="C90" s="93" t="s">
        <v>284</v>
      </c>
      <c r="D90" s="44" t="s">
        <v>20</v>
      </c>
      <c r="E90" s="200">
        <v>10</v>
      </c>
      <c r="F90" s="200">
        <v>10</v>
      </c>
      <c r="G90" s="200">
        <v>10</v>
      </c>
      <c r="H90" s="200">
        <v>10</v>
      </c>
      <c r="I90" s="200">
        <v>10</v>
      </c>
      <c r="J90" s="46">
        <f>229832.84+1277.05</f>
        <v>231109.88999999998</v>
      </c>
      <c r="K90" s="46">
        <f>(12142.68*1.802017)+7978.93</f>
        <v>29860.245785560001</v>
      </c>
      <c r="L90" s="46">
        <f t="shared" ref="L90:L92" si="43">40511.42813-458.3333383+697.125+419.583333+50.0000003</f>
        <v>41219.803125000006</v>
      </c>
      <c r="M90" s="46">
        <f t="shared" si="27"/>
        <v>302189.93891055998</v>
      </c>
      <c r="N90" s="46">
        <f>G90*J90+0.6</f>
        <v>2311099.5</v>
      </c>
      <c r="O90" s="46">
        <f>G90*K90-0.15</f>
        <v>298602.30785559997</v>
      </c>
      <c r="P90" s="46"/>
      <c r="Q90" s="46">
        <f t="shared" ref="Q90:Q91" si="44">G90*L90</f>
        <v>412198.03125000006</v>
      </c>
      <c r="R90" s="46"/>
      <c r="S90" s="46"/>
      <c r="T90" s="46">
        <f t="shared" si="6"/>
        <v>3021899.8391056</v>
      </c>
      <c r="U90" s="46">
        <v>4747584.2300000004</v>
      </c>
      <c r="V90" s="46">
        <f>U90</f>
        <v>4747584.2300000004</v>
      </c>
    </row>
    <row r="91" spans="1:29" ht="110.4">
      <c r="A91" s="88"/>
      <c r="B91" s="97" t="s">
        <v>270</v>
      </c>
      <c r="C91" s="240" t="s">
        <v>281</v>
      </c>
      <c r="D91" s="265" t="s">
        <v>20</v>
      </c>
      <c r="E91" s="200">
        <v>195</v>
      </c>
      <c r="F91" s="200">
        <v>195</v>
      </c>
      <c r="G91" s="200">
        <v>198</v>
      </c>
      <c r="H91" s="200">
        <v>198</v>
      </c>
      <c r="I91" s="200">
        <v>198</v>
      </c>
      <c r="J91" s="220">
        <f>65511.03+1277.05</f>
        <v>66788.08</v>
      </c>
      <c r="K91" s="46">
        <f>(12142.68*1.802017)+7978.93</f>
        <v>29860.245785560001</v>
      </c>
      <c r="L91" s="46">
        <f t="shared" si="43"/>
        <v>41219.803125000006</v>
      </c>
      <c r="M91" s="46">
        <f t="shared" si="27"/>
        <v>137868.12891056002</v>
      </c>
      <c r="N91" s="46">
        <f>G91*J91+0.06+2.1</f>
        <v>13224042</v>
      </c>
      <c r="O91" s="46">
        <f>G91*K91+0.47-1.2</f>
        <v>5912327.9355408801</v>
      </c>
      <c r="P91" s="46"/>
      <c r="Q91" s="46">
        <f t="shared" si="44"/>
        <v>8161521.0187500007</v>
      </c>
      <c r="R91" s="46"/>
      <c r="S91" s="46"/>
      <c r="T91" s="46">
        <f t="shared" si="6"/>
        <v>27297890.954290882</v>
      </c>
      <c r="U91" s="46">
        <f>23302266.67+268010</f>
        <v>23570276.670000002</v>
      </c>
      <c r="V91" s="46">
        <f>U91</f>
        <v>23570276.670000002</v>
      </c>
    </row>
    <row r="92" spans="1:29" ht="69">
      <c r="A92" s="83"/>
      <c r="B92" s="97" t="s">
        <v>286</v>
      </c>
      <c r="C92" s="93" t="s">
        <v>285</v>
      </c>
      <c r="D92" s="265" t="s">
        <v>20</v>
      </c>
      <c r="E92" s="200">
        <v>195</v>
      </c>
      <c r="F92" s="200">
        <v>195</v>
      </c>
      <c r="G92" s="200">
        <v>198</v>
      </c>
      <c r="H92" s="200">
        <v>198</v>
      </c>
      <c r="I92" s="200">
        <v>198</v>
      </c>
      <c r="J92" s="46">
        <f>2073.06+1277.05</f>
        <v>3350.1099999999997</v>
      </c>
      <c r="K92" s="46">
        <f>(12142.68*1.802017)+7978.93</f>
        <v>29860.245785560001</v>
      </c>
      <c r="L92" s="46">
        <f t="shared" si="43"/>
        <v>41219.803125000006</v>
      </c>
      <c r="M92" s="46">
        <f t="shared" si="27"/>
        <v>74430.158910560014</v>
      </c>
      <c r="N92" s="46">
        <f>G92*J92+0.12</f>
        <v>663321.89999999991</v>
      </c>
      <c r="O92" s="46"/>
      <c r="P92" s="46"/>
      <c r="Q92" s="46"/>
      <c r="R92" s="46"/>
      <c r="S92" s="46"/>
      <c r="T92" s="46">
        <f t="shared" si="6"/>
        <v>663321.89999999991</v>
      </c>
      <c r="U92" s="46">
        <v>410466</v>
      </c>
      <c r="V92" s="46">
        <f>U92</f>
        <v>410466</v>
      </c>
    </row>
    <row r="93" spans="1:29" ht="61.5" customHeight="1">
      <c r="A93" s="241" t="s">
        <v>248</v>
      </c>
      <c r="B93" s="242" t="s">
        <v>28</v>
      </c>
      <c r="C93" s="127" t="s">
        <v>219</v>
      </c>
      <c r="D93" s="44" t="s">
        <v>20</v>
      </c>
      <c r="E93" s="200">
        <f>E91+E90+E89</f>
        <v>240</v>
      </c>
      <c r="F93" s="200">
        <f>F91+F90+F89</f>
        <v>240</v>
      </c>
      <c r="G93" s="200">
        <f>(E93*8+F93*4)/12</f>
        <v>240</v>
      </c>
      <c r="H93" s="200">
        <f>H91+H90+H89</f>
        <v>240</v>
      </c>
      <c r="I93" s="200">
        <f>I91+I90+I89</f>
        <v>240</v>
      </c>
      <c r="J93" s="46" t="s">
        <v>23</v>
      </c>
      <c r="K93" s="46"/>
      <c r="L93" s="46">
        <f>Q93/G93</f>
        <v>7694.5240833333337</v>
      </c>
      <c r="M93" s="46">
        <f t="shared" si="27"/>
        <v>7694.5240833333337</v>
      </c>
      <c r="N93" s="206"/>
      <c r="O93" s="46">
        <f t="shared" ref="O93" si="45">G93*K93</f>
        <v>0</v>
      </c>
      <c r="P93" s="206"/>
      <c r="Q93" s="46">
        <v>1846685.78</v>
      </c>
      <c r="R93" s="46"/>
      <c r="S93" s="46"/>
      <c r="T93" s="46">
        <f>Q93</f>
        <v>1846685.78</v>
      </c>
      <c r="U93" s="46">
        <f t="shared" ref="U93:V93" si="46">T93</f>
        <v>1846685.78</v>
      </c>
      <c r="V93" s="46">
        <f t="shared" si="46"/>
        <v>1846685.78</v>
      </c>
    </row>
    <row r="94" spans="1:29">
      <c r="A94" s="86"/>
      <c r="B94" s="242" t="s">
        <v>28</v>
      </c>
      <c r="C94" s="127" t="s">
        <v>220</v>
      </c>
      <c r="D94" s="44"/>
      <c r="E94" s="200"/>
      <c r="F94" s="200"/>
      <c r="G94" s="200">
        <v>237</v>
      </c>
      <c r="H94" s="200">
        <v>237</v>
      </c>
      <c r="I94" s="200">
        <v>237</v>
      </c>
      <c r="J94" s="46"/>
      <c r="K94" s="46"/>
      <c r="L94" s="46">
        <f>S94/G94</f>
        <v>7861.1583122362872</v>
      </c>
      <c r="M94" s="46">
        <f t="shared" si="27"/>
        <v>7861.1583122362872</v>
      </c>
      <c r="N94" s="206"/>
      <c r="O94" s="46"/>
      <c r="P94" s="206"/>
      <c r="Q94" s="46"/>
      <c r="R94" s="46"/>
      <c r="S94" s="46">
        <v>1863094.52</v>
      </c>
      <c r="T94" s="46">
        <f>S94</f>
        <v>1863094.52</v>
      </c>
      <c r="U94" s="46">
        <f>S94</f>
        <v>1863094.52</v>
      </c>
      <c r="V94" s="46">
        <f>S94</f>
        <v>1863094.52</v>
      </c>
    </row>
    <row r="95" spans="1:29">
      <c r="A95" s="243" t="s">
        <v>65</v>
      </c>
      <c r="B95" s="94"/>
      <c r="C95" s="94"/>
      <c r="D95" s="257"/>
      <c r="E95" s="222"/>
      <c r="F95" s="222"/>
      <c r="G95" s="222"/>
      <c r="H95" s="222"/>
      <c r="I95" s="222"/>
      <c r="J95" s="201"/>
      <c r="K95" s="201"/>
      <c r="L95" s="201"/>
      <c r="M95" s="46">
        <f t="shared" si="27"/>
        <v>0</v>
      </c>
      <c r="N95" s="201">
        <f>N96+N99</f>
        <v>8084148</v>
      </c>
      <c r="O95" s="201">
        <f>O96+O99</f>
        <v>3580199.0036939201</v>
      </c>
      <c r="P95" s="201"/>
      <c r="Q95" s="201">
        <f>Q96+Q99-0.01</f>
        <v>6426219.5300048003</v>
      </c>
      <c r="R95" s="201"/>
      <c r="S95" s="201">
        <f>S100</f>
        <v>1044657.5</v>
      </c>
      <c r="T95" s="201">
        <f>T96+T99+T100-0.01</f>
        <v>19135224.033698715</v>
      </c>
      <c r="U95" s="201">
        <f>U96+U99+U100</f>
        <v>19034192.030000001</v>
      </c>
      <c r="V95" s="201">
        <f>V96+V99+V100</f>
        <v>19034192.030000001</v>
      </c>
      <c r="W95" s="80">
        <v>6426219.5300000003</v>
      </c>
      <c r="X95" s="85">
        <f>W95-Q95</f>
        <v>-4.8000365495681763E-6</v>
      </c>
      <c r="Y95" s="80">
        <f>X95/I99</f>
        <v>-3.6363913254304367E-8</v>
      </c>
      <c r="AA95" s="80">
        <v>6466219.5300000003</v>
      </c>
      <c r="AB95" s="85">
        <f>AA95-Q95</f>
        <v>39999.999995199963</v>
      </c>
      <c r="AC95" s="80">
        <f>AB95/I99</f>
        <v>303.03030299393913</v>
      </c>
    </row>
    <row r="96" spans="1:29" ht="85.5" customHeight="1">
      <c r="A96" s="241" t="s">
        <v>247</v>
      </c>
      <c r="B96" s="84" t="s">
        <v>76</v>
      </c>
      <c r="C96" s="128"/>
      <c r="D96" s="52"/>
      <c r="E96" s="221"/>
      <c r="F96" s="221"/>
      <c r="G96" s="221"/>
      <c r="H96" s="221"/>
      <c r="I96" s="221"/>
      <c r="J96" s="46"/>
      <c r="K96" s="46"/>
      <c r="L96" s="46"/>
      <c r="M96" s="46">
        <f t="shared" si="27"/>
        <v>0</v>
      </c>
      <c r="N96" s="46">
        <f>SUM(N97:N100)</f>
        <v>8084148</v>
      </c>
      <c r="O96" s="46">
        <f>SUM(O97:O100)</f>
        <v>3580199.0036939201</v>
      </c>
      <c r="P96" s="46"/>
      <c r="Q96" s="46">
        <f>SUM(Q97:Q98)</f>
        <v>5384259.7000048002</v>
      </c>
      <c r="R96" s="46"/>
      <c r="S96" s="46"/>
      <c r="T96" s="46">
        <f>SUM(T97:T98)</f>
        <v>17048606.703698717</v>
      </c>
      <c r="U96" s="46">
        <f>SUM(U97:U98)-0.02</f>
        <v>16947574.690000001</v>
      </c>
      <c r="V96" s="46">
        <f>SUM(V97:V98)-0.02</f>
        <v>16947574.690000001</v>
      </c>
      <c r="AA96" s="85">
        <f>17989534.53+U100</f>
        <v>19034192.030000001</v>
      </c>
      <c r="AB96" s="85">
        <f>U95-AA96</f>
        <v>0</v>
      </c>
    </row>
    <row r="97" spans="1:29" ht="96.6">
      <c r="A97" s="83"/>
      <c r="B97" s="97" t="s">
        <v>272</v>
      </c>
      <c r="C97" s="93" t="s">
        <v>275</v>
      </c>
      <c r="D97" s="44" t="s">
        <v>20</v>
      </c>
      <c r="E97" s="200">
        <v>35</v>
      </c>
      <c r="F97" s="200">
        <v>35</v>
      </c>
      <c r="G97" s="200">
        <v>36</v>
      </c>
      <c r="H97" s="200">
        <v>36</v>
      </c>
      <c r="I97" s="200">
        <v>36</v>
      </c>
      <c r="J97" s="46">
        <f>43138.04+1834.24</f>
        <v>44972.28</v>
      </c>
      <c r="K97" s="46">
        <f>(12142.68*1.802017)+5241.39</f>
        <v>27122.70578556</v>
      </c>
      <c r="L97" s="46">
        <f>40434.69462+227.2727285+430.9090909-303.030303</f>
        <v>40789.846136400003</v>
      </c>
      <c r="M97" s="46">
        <f t="shared" si="27"/>
        <v>112884.83192195999</v>
      </c>
      <c r="N97" s="46">
        <f>G97*J97-0.44</f>
        <v>1619001.6400000001</v>
      </c>
      <c r="O97" s="46">
        <f>G97*K97+0.63</f>
        <v>976418.03828016005</v>
      </c>
      <c r="P97" s="225"/>
      <c r="Q97" s="46">
        <f>G97*L97</f>
        <v>1468434.4609104001</v>
      </c>
      <c r="R97" s="46"/>
      <c r="S97" s="46"/>
      <c r="T97" s="46">
        <f>N97+O97+P97+Q97+R97</f>
        <v>4063854.1391905602</v>
      </c>
      <c r="U97" s="46">
        <v>4015071.1</v>
      </c>
      <c r="V97" s="46">
        <f>U97</f>
        <v>4015071.1</v>
      </c>
      <c r="W97" s="85">
        <f>T95-U95</f>
        <v>101032.00369871408</v>
      </c>
    </row>
    <row r="98" spans="1:29" ht="108" customHeight="1">
      <c r="A98" s="88"/>
      <c r="B98" s="97" t="s">
        <v>270</v>
      </c>
      <c r="C98" s="93" t="s">
        <v>289</v>
      </c>
      <c r="D98" s="44" t="s">
        <v>20</v>
      </c>
      <c r="E98" s="200">
        <v>101</v>
      </c>
      <c r="F98" s="200">
        <v>101</v>
      </c>
      <c r="G98" s="200">
        <v>96</v>
      </c>
      <c r="H98" s="200">
        <v>96</v>
      </c>
      <c r="I98" s="200">
        <v>96</v>
      </c>
      <c r="J98" s="46">
        <f>65511.03+1834.24</f>
        <v>67345.27</v>
      </c>
      <c r="K98" s="46">
        <f>(12142.68*1.802017)+5241.39</f>
        <v>27122.70578556</v>
      </c>
      <c r="L98" s="46">
        <f>40434.69462+227.2727285+430.9090909-303.030303</f>
        <v>40789.846136400003</v>
      </c>
      <c r="M98" s="46">
        <f t="shared" si="27"/>
        <v>135257.82192196001</v>
      </c>
      <c r="N98" s="46">
        <f>G98*J98+0.12+0.32</f>
        <v>6465146.3600000003</v>
      </c>
      <c r="O98" s="46">
        <f>G98*K98+0.69+0.52</f>
        <v>2603780.9654137599</v>
      </c>
      <c r="P98" s="225"/>
      <c r="Q98" s="46">
        <f>G98*L98+0.01</f>
        <v>3915825.2390943998</v>
      </c>
      <c r="R98" s="46"/>
      <c r="S98" s="46"/>
      <c r="T98" s="46">
        <f>N98+O98+P98+Q98+R98</f>
        <v>12984752.564508159</v>
      </c>
      <c r="U98" s="46">
        <f>12845623.61+86880</f>
        <v>12932503.609999999</v>
      </c>
      <c r="V98" s="46">
        <f>U98</f>
        <v>12932503.609999999</v>
      </c>
    </row>
    <row r="99" spans="1:29" ht="55.2">
      <c r="A99" s="241" t="s">
        <v>248</v>
      </c>
      <c r="B99" s="242" t="s">
        <v>28</v>
      </c>
      <c r="C99" s="127" t="s">
        <v>219</v>
      </c>
      <c r="D99" s="44" t="s">
        <v>20</v>
      </c>
      <c r="E99" s="200">
        <v>136</v>
      </c>
      <c r="F99" s="200">
        <v>136</v>
      </c>
      <c r="G99" s="200">
        <v>132</v>
      </c>
      <c r="H99" s="200">
        <v>132</v>
      </c>
      <c r="I99" s="200">
        <v>132</v>
      </c>
      <c r="J99" s="46" t="s">
        <v>23</v>
      </c>
      <c r="K99" s="46"/>
      <c r="L99" s="46">
        <f>Q99/G99</f>
        <v>7893.6351515151509</v>
      </c>
      <c r="M99" s="46">
        <f t="shared" ref="M99:M118" si="47">J99+K99+L99</f>
        <v>7893.6351515151509</v>
      </c>
      <c r="N99" s="206">
        <f t="shared" ref="N99" si="48">G99*J99</f>
        <v>0</v>
      </c>
      <c r="O99" s="46">
        <f t="shared" ref="O99" si="49">G99*K99</f>
        <v>0</v>
      </c>
      <c r="P99" s="206"/>
      <c r="Q99" s="46">
        <v>1041959.84</v>
      </c>
      <c r="R99" s="46"/>
      <c r="S99" s="46"/>
      <c r="T99" s="46">
        <f t="shared" si="6"/>
        <v>1041959.84</v>
      </c>
      <c r="U99" s="46">
        <f>T99</f>
        <v>1041959.84</v>
      </c>
      <c r="V99" s="46">
        <f>U99</f>
        <v>1041959.84</v>
      </c>
    </row>
    <row r="100" spans="1:29">
      <c r="A100" s="86"/>
      <c r="B100" s="242" t="s">
        <v>28</v>
      </c>
      <c r="C100" s="127" t="s">
        <v>220</v>
      </c>
      <c r="D100" s="44"/>
      <c r="E100" s="200"/>
      <c r="F100" s="200"/>
      <c r="G100" s="200">
        <v>132</v>
      </c>
      <c r="H100" s="200">
        <v>132</v>
      </c>
      <c r="I100" s="200">
        <v>132</v>
      </c>
      <c r="J100" s="46"/>
      <c r="K100" s="46"/>
      <c r="L100" s="46">
        <f>S100/G100</f>
        <v>7914.07196969697</v>
      </c>
      <c r="M100" s="46">
        <f t="shared" si="47"/>
        <v>7914.07196969697</v>
      </c>
      <c r="N100" s="206"/>
      <c r="O100" s="46"/>
      <c r="P100" s="206"/>
      <c r="Q100" s="46"/>
      <c r="R100" s="46"/>
      <c r="S100" s="46">
        <v>1044657.5</v>
      </c>
      <c r="T100" s="46">
        <f>S100</f>
        <v>1044657.5</v>
      </c>
      <c r="U100" s="46">
        <f>S100</f>
        <v>1044657.5</v>
      </c>
      <c r="V100" s="46">
        <f>S100</f>
        <v>1044657.5</v>
      </c>
    </row>
    <row r="101" spans="1:29">
      <c r="A101" s="243" t="s">
        <v>68</v>
      </c>
      <c r="B101" s="94"/>
      <c r="C101" s="94"/>
      <c r="D101" s="257"/>
      <c r="E101" s="222"/>
      <c r="F101" s="222"/>
      <c r="G101" s="222"/>
      <c r="H101" s="222"/>
      <c r="I101" s="222"/>
      <c r="J101" s="201"/>
      <c r="K101" s="201"/>
      <c r="L101" s="201"/>
      <c r="M101" s="46">
        <f t="shared" si="47"/>
        <v>0</v>
      </c>
      <c r="N101" s="201">
        <f>N102+N108</f>
        <v>7691274.9999999991</v>
      </c>
      <c r="O101" s="201">
        <f>O102+O108</f>
        <v>4159099.0041928398</v>
      </c>
      <c r="P101" s="207"/>
      <c r="Q101" s="201">
        <f>Q102+Q108</f>
        <v>7337318.2800005004</v>
      </c>
      <c r="R101" s="201"/>
      <c r="S101" s="201">
        <f>S109</f>
        <v>1054365.1000000001</v>
      </c>
      <c r="T101" s="201">
        <f>T102+T108+T109</f>
        <v>20242057.384193342</v>
      </c>
      <c r="U101" s="201">
        <f>U102+U108+U109</f>
        <v>19803468.380000003</v>
      </c>
      <c r="V101" s="201">
        <f>V102+V108+V109</f>
        <v>19803468.380000003</v>
      </c>
      <c r="W101" s="80">
        <v>7337318.2800000003</v>
      </c>
      <c r="X101" s="85">
        <f>W101-Q101</f>
        <v>-5.0012022256851196E-7</v>
      </c>
      <c r="Y101" s="80">
        <f>X101/I108</f>
        <v>-3.5979872127231076E-9</v>
      </c>
      <c r="AA101" s="80">
        <v>7421318.2800000003</v>
      </c>
      <c r="AB101" s="85">
        <f>AA101-Q101</f>
        <v>83999.99999949988</v>
      </c>
      <c r="AC101" s="80">
        <f>AB101/I108</f>
        <v>604.31654675899199</v>
      </c>
    </row>
    <row r="102" spans="1:29" ht="94.95" customHeight="1">
      <c r="A102" s="241" t="s">
        <v>247</v>
      </c>
      <c r="B102" s="84" t="s">
        <v>76</v>
      </c>
      <c r="C102" s="128"/>
      <c r="D102" s="52"/>
      <c r="E102" s="221"/>
      <c r="F102" s="221"/>
      <c r="G102" s="221"/>
      <c r="H102" s="221"/>
      <c r="I102" s="221"/>
      <c r="J102" s="46"/>
      <c r="K102" s="46"/>
      <c r="L102" s="46"/>
      <c r="M102" s="46">
        <f t="shared" si="47"/>
        <v>0</v>
      </c>
      <c r="N102" s="46">
        <f>SUM(N103:N109)</f>
        <v>7691274.9999999991</v>
      </c>
      <c r="O102" s="46">
        <f>SUM(O103:O109)</f>
        <v>4159099.0041928398</v>
      </c>
      <c r="P102" s="206"/>
      <c r="Q102" s="46">
        <f>SUM(Q103:Q105)</f>
        <v>6310779.0500004999</v>
      </c>
      <c r="R102" s="46"/>
      <c r="S102" s="46"/>
      <c r="T102" s="46">
        <f>SUM(T103:T107)</f>
        <v>18161153.05419334</v>
      </c>
      <c r="U102" s="46">
        <f>SUM(U103:U107)-0.02</f>
        <v>17722564.050000001</v>
      </c>
      <c r="V102" s="46">
        <f>SUM(V103:V107)-0.02</f>
        <v>17722564.050000001</v>
      </c>
      <c r="W102" s="85">
        <f>T101-U101</f>
        <v>438589.0041933395</v>
      </c>
      <c r="Y102" s="85"/>
      <c r="AA102" s="85">
        <f>18749103.28+U109</f>
        <v>19803468.380000003</v>
      </c>
      <c r="AB102" s="85">
        <f>U101-AA102</f>
        <v>0</v>
      </c>
    </row>
    <row r="103" spans="1:29" ht="49.5" customHeight="1">
      <c r="A103" s="83"/>
      <c r="B103" s="97" t="s">
        <v>272</v>
      </c>
      <c r="C103" s="342" t="s">
        <v>275</v>
      </c>
      <c r="D103" s="265" t="s">
        <v>20</v>
      </c>
      <c r="E103" s="200">
        <v>38</v>
      </c>
      <c r="F103" s="200">
        <v>38</v>
      </c>
      <c r="G103" s="200">
        <v>31</v>
      </c>
      <c r="H103" s="200">
        <v>31</v>
      </c>
      <c r="I103" s="200">
        <v>31</v>
      </c>
      <c r="J103" s="46">
        <f>43138.04+2020.26</f>
        <v>45158.3</v>
      </c>
      <c r="K103" s="46">
        <f>(12142.68*1.802017)+8040.24</f>
        <v>29921.555785559998</v>
      </c>
      <c r="L103" s="46">
        <f>45231.36007+111.5107933+504.4604317+158.2733813-604.3165468</f>
        <v>45401.288129500004</v>
      </c>
      <c r="M103" s="46">
        <f t="shared" si="47"/>
        <v>120481.14391506001</v>
      </c>
      <c r="N103" s="46">
        <f>G103*J103-0.24</f>
        <v>1399907.06</v>
      </c>
      <c r="O103" s="46">
        <f>G103*K103</f>
        <v>927568.22935235989</v>
      </c>
      <c r="P103" s="206"/>
      <c r="Q103" s="46">
        <f>G103*L103</f>
        <v>1407439.9320145</v>
      </c>
      <c r="R103" s="46"/>
      <c r="S103" s="46"/>
      <c r="T103" s="46">
        <f t="shared" si="6"/>
        <v>3734915.22136686</v>
      </c>
      <c r="U103" s="46">
        <v>4027037.3</v>
      </c>
      <c r="V103" s="46">
        <f>U103</f>
        <v>4027037.3</v>
      </c>
    </row>
    <row r="104" spans="1:29" ht="54.75" customHeight="1">
      <c r="A104" s="88"/>
      <c r="B104" s="97" t="s">
        <v>270</v>
      </c>
      <c r="C104" s="344"/>
      <c r="D104" s="44" t="s">
        <v>20</v>
      </c>
      <c r="E104" s="200">
        <v>25</v>
      </c>
      <c r="F104" s="200">
        <v>25</v>
      </c>
      <c r="G104" s="200">
        <v>32</v>
      </c>
      <c r="H104" s="200">
        <v>32</v>
      </c>
      <c r="I104" s="200">
        <v>32</v>
      </c>
      <c r="J104" s="46">
        <f>34198.17+2020.26</f>
        <v>36218.43</v>
      </c>
      <c r="K104" s="46">
        <f>(12142.68*1.802017)+8040.24</f>
        <v>29921.555785559998</v>
      </c>
      <c r="L104" s="46">
        <f t="shared" ref="L104:L105" si="50">45231.36007+111.5107933+504.4604317+158.2733813-604.3165468</f>
        <v>45401.288129500004</v>
      </c>
      <c r="M104" s="46">
        <f t="shared" si="47"/>
        <v>111541.27391506001</v>
      </c>
      <c r="N104" s="46">
        <f>G104*J104+0.56</f>
        <v>1158990.32</v>
      </c>
      <c r="O104" s="46">
        <f>G104*K104</f>
        <v>957489.78513791994</v>
      </c>
      <c r="P104" s="206"/>
      <c r="Q104" s="46">
        <f t="shared" ref="Q104" si="51">G104*L104</f>
        <v>1452841.2201440001</v>
      </c>
      <c r="R104" s="46"/>
      <c r="S104" s="46"/>
      <c r="T104" s="46">
        <f t="shared" si="6"/>
        <v>3569321.3252819199</v>
      </c>
      <c r="U104" s="46">
        <v>3826302.42</v>
      </c>
      <c r="V104" s="46">
        <f>U104</f>
        <v>3826302.42</v>
      </c>
    </row>
    <row r="105" spans="1:29" ht="133.5" customHeight="1">
      <c r="A105" s="88"/>
      <c r="B105" s="97" t="s">
        <v>270</v>
      </c>
      <c r="C105" s="93" t="s">
        <v>274</v>
      </c>
      <c r="D105" s="265" t="s">
        <v>20</v>
      </c>
      <c r="E105" s="200">
        <v>76</v>
      </c>
      <c r="F105" s="200">
        <v>76</v>
      </c>
      <c r="G105" s="200">
        <v>76</v>
      </c>
      <c r="H105" s="200">
        <v>76</v>
      </c>
      <c r="I105" s="200">
        <v>76</v>
      </c>
      <c r="J105" s="46">
        <f>65511.03+2020.26</f>
        <v>67531.289999999994</v>
      </c>
      <c r="K105" s="46">
        <f>(12142.68*1.802017)+8040.24</f>
        <v>29921.555785559998</v>
      </c>
      <c r="L105" s="46">
        <f t="shared" si="50"/>
        <v>45401.288129500004</v>
      </c>
      <c r="M105" s="46">
        <f t="shared" si="47"/>
        <v>142854.13391506</v>
      </c>
      <c r="N105" s="46">
        <f>G105*J105-0.28-0.14</f>
        <v>5132377.6199999992</v>
      </c>
      <c r="O105" s="46">
        <f>G105*K105+2.11+0.64</f>
        <v>2274040.98970256</v>
      </c>
      <c r="P105" s="206"/>
      <c r="Q105" s="46">
        <f>G105*L105</f>
        <v>3450497.8978420002</v>
      </c>
      <c r="R105" s="46"/>
      <c r="S105" s="46"/>
      <c r="T105" s="46">
        <f t="shared" si="6"/>
        <v>10856916.507544558</v>
      </c>
      <c r="U105" s="46">
        <f>9899104.35-29880</f>
        <v>9869224.3499999996</v>
      </c>
      <c r="V105" s="46">
        <f>U105</f>
        <v>9869224.3499999996</v>
      </c>
    </row>
    <row r="106" spans="1:29" ht="45.75" hidden="1" customHeight="1">
      <c r="A106" s="88"/>
      <c r="B106" s="128" t="s">
        <v>255</v>
      </c>
      <c r="C106" s="127" t="s">
        <v>226</v>
      </c>
      <c r="D106" s="265"/>
      <c r="E106" s="200"/>
      <c r="F106" s="200"/>
      <c r="G106" s="200"/>
      <c r="H106" s="200"/>
      <c r="I106" s="200"/>
      <c r="J106" s="46"/>
      <c r="K106" s="46"/>
      <c r="L106" s="46"/>
      <c r="M106" s="46">
        <f t="shared" si="47"/>
        <v>0</v>
      </c>
      <c r="N106" s="206"/>
      <c r="O106" s="46"/>
      <c r="P106" s="206"/>
      <c r="Q106" s="46"/>
      <c r="R106" s="46"/>
      <c r="S106" s="46"/>
      <c r="T106" s="46">
        <f>N106</f>
        <v>0</v>
      </c>
      <c r="U106" s="46">
        <f t="shared" ref="U106:V108" si="52">T106</f>
        <v>0</v>
      </c>
      <c r="V106" s="46">
        <f t="shared" si="52"/>
        <v>0</v>
      </c>
    </row>
    <row r="107" spans="1:29" hidden="1">
      <c r="A107" s="88"/>
      <c r="B107" s="128" t="s">
        <v>258</v>
      </c>
      <c r="C107" s="127"/>
      <c r="D107" s="265"/>
      <c r="E107" s="200"/>
      <c r="F107" s="200"/>
      <c r="G107" s="200"/>
      <c r="H107" s="200"/>
      <c r="I107" s="200"/>
      <c r="J107" s="46"/>
      <c r="K107" s="46"/>
      <c r="L107" s="46"/>
      <c r="M107" s="46">
        <f t="shared" si="47"/>
        <v>0</v>
      </c>
      <c r="N107" s="206"/>
      <c r="O107" s="46"/>
      <c r="P107" s="206"/>
      <c r="Q107" s="46"/>
      <c r="R107" s="46"/>
      <c r="S107" s="46"/>
      <c r="T107" s="46">
        <f>O107</f>
        <v>0</v>
      </c>
      <c r="U107" s="46">
        <f>T107</f>
        <v>0</v>
      </c>
      <c r="V107" s="46">
        <f>U107</f>
        <v>0</v>
      </c>
    </row>
    <row r="108" spans="1:29" ht="64.5" customHeight="1">
      <c r="A108" s="241" t="s">
        <v>248</v>
      </c>
      <c r="B108" s="242" t="s">
        <v>28</v>
      </c>
      <c r="C108" s="127" t="s">
        <v>219</v>
      </c>
      <c r="D108" s="44" t="s">
        <v>20</v>
      </c>
      <c r="E108" s="200">
        <f>E105+E104+E103</f>
        <v>139</v>
      </c>
      <c r="F108" s="200">
        <f>F105+F104+F103</f>
        <v>139</v>
      </c>
      <c r="G108" s="200">
        <v>139</v>
      </c>
      <c r="H108" s="200">
        <v>139</v>
      </c>
      <c r="I108" s="200">
        <v>139</v>
      </c>
      <c r="J108" s="46" t="s">
        <v>23</v>
      </c>
      <c r="K108" s="46"/>
      <c r="L108" s="46">
        <f>Q108/G108</f>
        <v>7385.1743165467624</v>
      </c>
      <c r="M108" s="46">
        <f t="shared" si="47"/>
        <v>7385.1743165467624</v>
      </c>
      <c r="N108" s="206">
        <f t="shared" ref="N108" si="53">G108*J108</f>
        <v>0</v>
      </c>
      <c r="O108" s="46">
        <f t="shared" ref="O108" si="54">G108*K108</f>
        <v>0</v>
      </c>
      <c r="P108" s="206"/>
      <c r="Q108" s="46">
        <v>1026539.23</v>
      </c>
      <c r="R108" s="46"/>
      <c r="S108" s="46"/>
      <c r="T108" s="46">
        <f t="shared" si="6"/>
        <v>1026539.23</v>
      </c>
      <c r="U108" s="46">
        <f t="shared" si="52"/>
        <v>1026539.23</v>
      </c>
      <c r="V108" s="46">
        <f t="shared" si="52"/>
        <v>1026539.23</v>
      </c>
    </row>
    <row r="109" spans="1:29" ht="14.25" customHeight="1">
      <c r="A109" s="86"/>
      <c r="B109" s="242" t="s">
        <v>28</v>
      </c>
      <c r="C109" s="127" t="s">
        <v>220</v>
      </c>
      <c r="D109" s="44"/>
      <c r="E109" s="200"/>
      <c r="F109" s="200"/>
      <c r="G109" s="200">
        <v>137</v>
      </c>
      <c r="H109" s="200">
        <v>137</v>
      </c>
      <c r="I109" s="200">
        <v>137</v>
      </c>
      <c r="J109" s="46"/>
      <c r="K109" s="46"/>
      <c r="L109" s="46">
        <f>S109/G109</f>
        <v>7696.0956204379572</v>
      </c>
      <c r="M109" s="46">
        <f t="shared" si="47"/>
        <v>7696.0956204379572</v>
      </c>
      <c r="N109" s="206"/>
      <c r="O109" s="46"/>
      <c r="P109" s="206"/>
      <c r="Q109" s="46"/>
      <c r="R109" s="46"/>
      <c r="S109" s="46">
        <v>1054365.1000000001</v>
      </c>
      <c r="T109" s="46">
        <f>S109</f>
        <v>1054365.1000000001</v>
      </c>
      <c r="U109" s="46">
        <f>S109</f>
        <v>1054365.1000000001</v>
      </c>
      <c r="V109" s="46">
        <f>S109</f>
        <v>1054365.1000000001</v>
      </c>
    </row>
    <row r="110" spans="1:29" s="96" customFormat="1">
      <c r="A110" s="243" t="s">
        <v>71</v>
      </c>
      <c r="B110" s="94"/>
      <c r="C110" s="94"/>
      <c r="D110" s="257"/>
      <c r="E110" s="222"/>
      <c r="F110" s="222"/>
      <c r="G110" s="222"/>
      <c r="H110" s="222"/>
      <c r="I110" s="222"/>
      <c r="J110" s="201"/>
      <c r="K110" s="201"/>
      <c r="L110" s="201"/>
      <c r="M110" s="46">
        <f t="shared" si="47"/>
        <v>0</v>
      </c>
      <c r="N110" s="201">
        <f>N111+N117</f>
        <v>15775461.000000002</v>
      </c>
      <c r="O110" s="201">
        <f>O111+O117</f>
        <v>6889938.0016766395</v>
      </c>
      <c r="P110" s="201"/>
      <c r="Q110" s="201">
        <f>Q111+Q117+Q114</f>
        <v>12424345.000000399</v>
      </c>
      <c r="R110" s="201"/>
      <c r="S110" s="201">
        <f>S118</f>
        <v>2045003.86</v>
      </c>
      <c r="T110" s="201">
        <f>T111+T117+T118</f>
        <v>37134747.861677043</v>
      </c>
      <c r="U110" s="201">
        <f>U111+U117+U118</f>
        <v>35956276.859999999</v>
      </c>
      <c r="V110" s="201">
        <f>V111+V117+V118</f>
        <v>35956276.859999999</v>
      </c>
      <c r="W110" s="96">
        <v>12424345</v>
      </c>
      <c r="X110" s="190">
        <f>W110-Q110</f>
        <v>-3.986060619354248E-7</v>
      </c>
      <c r="Y110" s="96">
        <f>X110/I117</f>
        <v>-1.6336314013746918E-9</v>
      </c>
      <c r="AA110" s="96">
        <v>12524345</v>
      </c>
      <c r="AB110" s="190">
        <f>AA110-Q110</f>
        <v>99999.999999601394</v>
      </c>
      <c r="AC110" s="96">
        <f>AB110/I117</f>
        <v>409.83606557213687</v>
      </c>
    </row>
    <row r="111" spans="1:29" ht="85.5" customHeight="1">
      <c r="A111" s="241" t="s">
        <v>247</v>
      </c>
      <c r="B111" s="84" t="s">
        <v>76</v>
      </c>
      <c r="C111" s="128"/>
      <c r="D111" s="52"/>
      <c r="E111" s="221"/>
      <c r="F111" s="221"/>
      <c r="G111" s="221"/>
      <c r="H111" s="221"/>
      <c r="I111" s="221"/>
      <c r="J111" s="46"/>
      <c r="K111" s="46"/>
      <c r="L111" s="46"/>
      <c r="M111" s="46">
        <f t="shared" si="47"/>
        <v>0</v>
      </c>
      <c r="N111" s="46">
        <f>SUM(N112:N118)</f>
        <v>15775461.000000002</v>
      </c>
      <c r="O111" s="46">
        <f>SUM(O112:O118)+0.01</f>
        <v>6889938.0016766395</v>
      </c>
      <c r="P111" s="46"/>
      <c r="Q111" s="46">
        <f>SUM(Q112:Q113)</f>
        <v>10575947.530000398</v>
      </c>
      <c r="R111" s="46"/>
      <c r="S111" s="46"/>
      <c r="T111" s="46">
        <f>SUM(T112:T116)+0.01</f>
        <v>33241346.531677045</v>
      </c>
      <c r="U111" s="46">
        <f t="shared" ref="U111:V111" si="55">SUM(U112:U116)</f>
        <v>32062875.629999999</v>
      </c>
      <c r="V111" s="46">
        <f t="shared" si="55"/>
        <v>32062875.629999999</v>
      </c>
      <c r="W111" s="85">
        <f>T110-U110</f>
        <v>1178471.0016770437</v>
      </c>
      <c r="AA111" s="85">
        <f>33911273+U118</f>
        <v>35956276.859999999</v>
      </c>
      <c r="AB111" s="85">
        <f>U110-AA111</f>
        <v>0</v>
      </c>
    </row>
    <row r="112" spans="1:29" ht="96.6">
      <c r="A112" s="83"/>
      <c r="B112" s="97" t="s">
        <v>272</v>
      </c>
      <c r="C112" s="93" t="s">
        <v>279</v>
      </c>
      <c r="D112" s="265" t="s">
        <v>20</v>
      </c>
      <c r="E112" s="200">
        <v>42</v>
      </c>
      <c r="F112" s="200">
        <v>42</v>
      </c>
      <c r="G112" s="200">
        <v>32</v>
      </c>
      <c r="H112" s="200">
        <v>32</v>
      </c>
      <c r="I112" s="200">
        <v>32</v>
      </c>
      <c r="J112" s="46">
        <f>43138.04+2076.66</f>
        <v>45214.7</v>
      </c>
      <c r="K112" s="46">
        <f>(12142.68*1.802017)+6356.14</f>
        <v>28237.45578556</v>
      </c>
      <c r="L112" s="46">
        <f>43753.88332-409.8360659</f>
        <v>43344.047254099998</v>
      </c>
      <c r="M112" s="46">
        <f t="shared" si="47"/>
        <v>116796.20303966</v>
      </c>
      <c r="N112" s="46">
        <f>G112*J112-0.28</f>
        <v>1446870.1199999999</v>
      </c>
      <c r="O112" s="46">
        <f>G112*K112-0.11</f>
        <v>903598.47513792</v>
      </c>
      <c r="P112" s="206"/>
      <c r="Q112" s="46">
        <f>G112*L112</f>
        <v>1387009.5121311999</v>
      </c>
      <c r="R112" s="46"/>
      <c r="S112" s="46"/>
      <c r="T112" s="46">
        <f t="shared" ref="T112:T117" si="56">SUM(N112:Q112)</f>
        <v>3737478.1072691195</v>
      </c>
      <c r="U112" s="46">
        <v>2696405.65</v>
      </c>
      <c r="V112" s="46">
        <f>U112</f>
        <v>2696405.65</v>
      </c>
    </row>
    <row r="113" spans="1:25" ht="138.75" customHeight="1">
      <c r="A113" s="88"/>
      <c r="B113" s="97" t="s">
        <v>270</v>
      </c>
      <c r="C113" s="93" t="s">
        <v>281</v>
      </c>
      <c r="D113" s="265" t="s">
        <v>20</v>
      </c>
      <c r="E113" s="200">
        <v>203</v>
      </c>
      <c r="F113" s="200">
        <v>203</v>
      </c>
      <c r="G113" s="200">
        <v>212</v>
      </c>
      <c r="H113" s="200">
        <v>212</v>
      </c>
      <c r="I113" s="200">
        <v>212</v>
      </c>
      <c r="J113" s="220">
        <f>65511.03+2076.66</f>
        <v>67587.69</v>
      </c>
      <c r="K113" s="46">
        <f>(12142.68*1.802017)+6356.14</f>
        <v>28237.45578556</v>
      </c>
      <c r="L113" s="46">
        <f>43753.88332-409.8360659</f>
        <v>43344.047254099998</v>
      </c>
      <c r="M113" s="46">
        <f t="shared" si="47"/>
        <v>139169.19303965999</v>
      </c>
      <c r="N113" s="46">
        <f>G113*J113+0.64-0.04-6+6</f>
        <v>14328590.880000003</v>
      </c>
      <c r="O113" s="46">
        <f>G113*K113+0.05-1.16</f>
        <v>5986339.5165387196</v>
      </c>
      <c r="P113" s="206"/>
      <c r="Q113" s="46">
        <f>G113*L113</f>
        <v>9188938.0178691987</v>
      </c>
      <c r="R113" s="46"/>
      <c r="S113" s="46"/>
      <c r="T113" s="46">
        <f t="shared" si="56"/>
        <v>29503868.414407924</v>
      </c>
      <c r="U113" s="46">
        <f>29366469.98</f>
        <v>29366469.98</v>
      </c>
      <c r="V113" s="46">
        <f>U113</f>
        <v>29366469.98</v>
      </c>
    </row>
    <row r="114" spans="1:25" s="192" customFormat="1" hidden="1">
      <c r="A114" s="49"/>
      <c r="B114" s="203" t="s">
        <v>260</v>
      </c>
      <c r="C114" s="199" t="s">
        <v>219</v>
      </c>
      <c r="D114" s="265"/>
      <c r="E114" s="200"/>
      <c r="F114" s="200"/>
      <c r="G114" s="200"/>
      <c r="H114" s="200"/>
      <c r="I114" s="200"/>
      <c r="J114" s="46"/>
      <c r="K114" s="46"/>
      <c r="L114" s="46"/>
      <c r="M114" s="46">
        <f t="shared" si="47"/>
        <v>0</v>
      </c>
      <c r="N114" s="206"/>
      <c r="O114" s="46"/>
      <c r="P114" s="206"/>
      <c r="Q114" s="46"/>
      <c r="R114" s="46"/>
      <c r="S114" s="46"/>
      <c r="T114" s="46">
        <f>Q114</f>
        <v>0</v>
      </c>
      <c r="U114" s="46">
        <f t="shared" ref="U114:V114" si="57">T114</f>
        <v>0</v>
      </c>
      <c r="V114" s="46">
        <f t="shared" si="57"/>
        <v>0</v>
      </c>
    </row>
    <row r="115" spans="1:25" ht="43.5" hidden="1" customHeight="1">
      <c r="A115" s="88"/>
      <c r="B115" s="128" t="s">
        <v>255</v>
      </c>
      <c r="C115" s="127" t="s">
        <v>226</v>
      </c>
      <c r="D115" s="265"/>
      <c r="E115" s="200"/>
      <c r="F115" s="200"/>
      <c r="G115" s="200"/>
      <c r="H115" s="200"/>
      <c r="I115" s="200"/>
      <c r="J115" s="46"/>
      <c r="K115" s="46"/>
      <c r="L115" s="46"/>
      <c r="M115" s="46">
        <f t="shared" si="47"/>
        <v>0</v>
      </c>
      <c r="N115" s="206"/>
      <c r="O115" s="46"/>
      <c r="P115" s="206"/>
      <c r="Q115" s="46"/>
      <c r="R115" s="46"/>
      <c r="S115" s="46"/>
      <c r="T115" s="46">
        <f>N115</f>
        <v>0</v>
      </c>
      <c r="U115" s="46">
        <f>T115</f>
        <v>0</v>
      </c>
      <c r="V115" s="46">
        <f>U115</f>
        <v>0</v>
      </c>
    </row>
    <row r="116" spans="1:25" ht="18.75" hidden="1" customHeight="1">
      <c r="A116" s="88"/>
      <c r="B116" s="128" t="s">
        <v>258</v>
      </c>
      <c r="C116" s="127"/>
      <c r="D116" s="265"/>
      <c r="E116" s="200"/>
      <c r="F116" s="200"/>
      <c r="G116" s="200"/>
      <c r="H116" s="200"/>
      <c r="I116" s="200"/>
      <c r="J116" s="46"/>
      <c r="K116" s="46"/>
      <c r="L116" s="46"/>
      <c r="M116" s="46">
        <f t="shared" si="47"/>
        <v>0</v>
      </c>
      <c r="N116" s="206"/>
      <c r="O116" s="46"/>
      <c r="P116" s="206"/>
      <c r="Q116" s="46"/>
      <c r="R116" s="46"/>
      <c r="S116" s="46"/>
      <c r="T116" s="46">
        <f>O116</f>
        <v>0</v>
      </c>
      <c r="U116" s="46">
        <f>T116</f>
        <v>0</v>
      </c>
      <c r="V116" s="46">
        <f>U116</f>
        <v>0</v>
      </c>
    </row>
    <row r="117" spans="1:25" ht="62.25" customHeight="1">
      <c r="A117" s="241" t="s">
        <v>248</v>
      </c>
      <c r="B117" s="242" t="s">
        <v>28</v>
      </c>
      <c r="C117" s="127" t="s">
        <v>219</v>
      </c>
      <c r="D117" s="44" t="s">
        <v>20</v>
      </c>
      <c r="E117" s="200">
        <v>245</v>
      </c>
      <c r="F117" s="200">
        <v>245</v>
      </c>
      <c r="G117" s="200">
        <v>244</v>
      </c>
      <c r="H117" s="200">
        <v>244</v>
      </c>
      <c r="I117" s="200">
        <v>244</v>
      </c>
      <c r="J117" s="46" t="s">
        <v>23</v>
      </c>
      <c r="K117" s="46"/>
      <c r="L117" s="46">
        <f>Q117/G117</f>
        <v>7575.3994672131148</v>
      </c>
      <c r="M117" s="46">
        <f t="shared" si="47"/>
        <v>7575.3994672131148</v>
      </c>
      <c r="N117" s="206"/>
      <c r="O117" s="46">
        <f t="shared" ref="O117" si="58">G117*K117</f>
        <v>0</v>
      </c>
      <c r="P117" s="206"/>
      <c r="Q117" s="46">
        <v>1848397.47</v>
      </c>
      <c r="R117" s="46"/>
      <c r="S117" s="46"/>
      <c r="T117" s="46">
        <f t="shared" si="56"/>
        <v>1848397.47</v>
      </c>
      <c r="U117" s="46">
        <f>H117*M117-0.1</f>
        <v>1848397.3699999999</v>
      </c>
      <c r="V117" s="46">
        <f>U117</f>
        <v>1848397.3699999999</v>
      </c>
    </row>
    <row r="118" spans="1:25">
      <c r="A118" s="86"/>
      <c r="B118" s="242" t="s">
        <v>28</v>
      </c>
      <c r="C118" s="127" t="s">
        <v>220</v>
      </c>
      <c r="D118" s="44"/>
      <c r="E118" s="200"/>
      <c r="F118" s="200"/>
      <c r="G118" s="200">
        <v>237</v>
      </c>
      <c r="H118" s="200">
        <v>237</v>
      </c>
      <c r="I118" s="200">
        <v>237</v>
      </c>
      <c r="J118" s="46"/>
      <c r="K118" s="46"/>
      <c r="L118" s="46">
        <f>S118/G118</f>
        <v>8628.7082700421943</v>
      </c>
      <c r="M118" s="46">
        <f t="shared" si="47"/>
        <v>8628.7082700421943</v>
      </c>
      <c r="N118" s="206"/>
      <c r="O118" s="46"/>
      <c r="P118" s="206"/>
      <c r="Q118" s="46"/>
      <c r="R118" s="46"/>
      <c r="S118" s="46">
        <v>2045003.86</v>
      </c>
      <c r="T118" s="46">
        <f>S118</f>
        <v>2045003.86</v>
      </c>
      <c r="U118" s="46">
        <f>S118</f>
        <v>2045003.86</v>
      </c>
      <c r="V118" s="46">
        <f>S118</f>
        <v>2045003.86</v>
      </c>
    </row>
    <row r="119" spans="1:25">
      <c r="A119" s="335" t="s">
        <v>232</v>
      </c>
      <c r="B119" s="336"/>
      <c r="C119" s="336"/>
      <c r="D119" s="336"/>
      <c r="E119" s="336"/>
      <c r="F119" s="336"/>
      <c r="G119" s="336"/>
      <c r="H119" s="336"/>
      <c r="I119" s="336"/>
      <c r="J119" s="336"/>
      <c r="K119" s="336"/>
      <c r="L119" s="336"/>
      <c r="M119" s="337"/>
      <c r="N119" s="223">
        <f>N14+N25+N36+N47+N58+N67+N78+N87+N95+N101+N110</f>
        <v>108137544</v>
      </c>
      <c r="O119" s="223">
        <f>O14+O25+O36+O47+O58+O67+O78+O87+O95+O101+O110</f>
        <v>51088420.002659962</v>
      </c>
      <c r="P119" s="223">
        <f t="shared" ref="P119:R119" si="59">P14+P25+P36+P47+P58+P67+P78+P87+P95+P101+P110+1</f>
        <v>1</v>
      </c>
      <c r="Q119" s="223">
        <f>Q14+Q25+Q36+Q47+Q58+Q67+Q78+Q87+Q95+Q101+Q110</f>
        <v>92019473.279930487</v>
      </c>
      <c r="R119" s="223">
        <f t="shared" si="59"/>
        <v>1</v>
      </c>
      <c r="S119" s="223">
        <f>S14+S25+S36+S47+S58+S67+S78+S87+S95+S101+S110</f>
        <v>14510556.84</v>
      </c>
      <c r="T119" s="223">
        <f>T14+T25+T36+T47+T58+T67+T78+T87+T95+T101+T110</f>
        <v>265755994.12259042</v>
      </c>
      <c r="U119" s="223">
        <f>U14+U25+U36+U47+U58+U67+U78+U87+U95+U101+U110</f>
        <v>258911256.91699392</v>
      </c>
      <c r="V119" s="223">
        <f>V14+V25+V36+V47+V58+V67+V78+V87+V95+V101+V110</f>
        <v>258911256.91699392</v>
      </c>
      <c r="W119" s="85">
        <f>T119-U119</f>
        <v>6844737.2055965066</v>
      </c>
    </row>
    <row r="120" spans="1:25">
      <c r="A120" s="80" t="s">
        <v>290</v>
      </c>
      <c r="C120" s="184"/>
      <c r="D120" s="202"/>
      <c r="E120" s="202"/>
      <c r="F120" s="202"/>
      <c r="G120" s="202"/>
      <c r="H120" s="202"/>
      <c r="I120" s="202"/>
      <c r="J120" s="202"/>
      <c r="K120" s="202"/>
      <c r="L120" s="202"/>
      <c r="M120" s="202"/>
      <c r="N120" s="198"/>
      <c r="O120" s="198"/>
      <c r="P120" s="198"/>
      <c r="Q120" s="198"/>
      <c r="R120" s="198"/>
      <c r="S120" s="198"/>
      <c r="T120" s="198"/>
      <c r="U120" s="202"/>
      <c r="V120" s="198"/>
    </row>
    <row r="121" spans="1:25">
      <c r="A121" s="80" t="s">
        <v>178</v>
      </c>
      <c r="N121" s="228"/>
      <c r="P121" s="196"/>
      <c r="Q121" s="196"/>
      <c r="U121" s="196"/>
      <c r="V121" s="198"/>
    </row>
    <row r="122" spans="1:25">
      <c r="N122" s="202"/>
      <c r="Q122" s="196"/>
      <c r="S122" s="196"/>
      <c r="T122" s="196"/>
      <c r="U122" s="196"/>
    </row>
    <row r="123" spans="1:25">
      <c r="N123" s="196"/>
      <c r="S123" s="196"/>
      <c r="T123" s="196"/>
      <c r="U123" s="196"/>
      <c r="V123" s="196"/>
    </row>
    <row r="124" spans="1:25">
      <c r="N124" s="196"/>
      <c r="O124" s="196"/>
      <c r="Q124" s="196"/>
      <c r="R124" s="196"/>
      <c r="S124" s="196"/>
      <c r="U124" s="196"/>
      <c r="V124" s="196"/>
      <c r="W124" s="85"/>
    </row>
    <row r="125" spans="1:25">
      <c r="O125" s="196"/>
      <c r="Q125" s="196"/>
      <c r="T125" s="196"/>
    </row>
    <row r="126" spans="1:25">
      <c r="Q126" s="196"/>
      <c r="U126" s="196"/>
    </row>
    <row r="127" spans="1:25" s="192" customFormat="1" hidden="1">
      <c r="A127" s="80"/>
      <c r="B127" s="80"/>
      <c r="C127" s="80"/>
      <c r="Q127" s="196"/>
      <c r="W127" s="80"/>
      <c r="X127" s="80"/>
      <c r="Y127" s="80"/>
    </row>
    <row r="128" spans="1:25" hidden="1"/>
    <row r="129" spans="1:26" hidden="1"/>
    <row r="130" spans="1:26" ht="179.4" hidden="1">
      <c r="B130" s="180"/>
      <c r="C130" s="242" t="s">
        <v>272</v>
      </c>
      <c r="D130" s="264" t="s">
        <v>270</v>
      </c>
      <c r="E130" s="270" t="s">
        <v>269</v>
      </c>
      <c r="F130" s="271"/>
      <c r="G130" s="270" t="s">
        <v>269</v>
      </c>
      <c r="H130" s="264" t="s">
        <v>270</v>
      </c>
      <c r="I130" s="264" t="s">
        <v>271</v>
      </c>
      <c r="J130" s="265" t="s">
        <v>338</v>
      </c>
      <c r="K130" s="265" t="s">
        <v>303</v>
      </c>
      <c r="L130" s="264" t="s">
        <v>181</v>
      </c>
      <c r="M130" s="286" t="s">
        <v>181</v>
      </c>
      <c r="N130" s="287"/>
      <c r="O130" s="247"/>
      <c r="P130" s="247"/>
      <c r="Q130" s="44"/>
      <c r="R130" s="247"/>
      <c r="S130" s="247"/>
      <c r="T130" s="247"/>
      <c r="U130" s="202"/>
      <c r="V130" s="202"/>
      <c r="W130" s="184"/>
      <c r="X130" s="184"/>
      <c r="Y130" s="184"/>
      <c r="Z130" s="184"/>
    </row>
    <row r="131" spans="1:26" hidden="1">
      <c r="A131" s="246">
        <v>4</v>
      </c>
      <c r="B131" s="250" t="s">
        <v>339</v>
      </c>
      <c r="C131" s="323" t="s">
        <v>333</v>
      </c>
      <c r="D131" s="324"/>
      <c r="E131" s="324"/>
      <c r="F131" s="324"/>
      <c r="G131" s="325"/>
      <c r="H131" s="265" t="s">
        <v>335</v>
      </c>
      <c r="I131" s="265" t="s">
        <v>336</v>
      </c>
      <c r="J131" s="338" t="s">
        <v>337</v>
      </c>
      <c r="K131" s="339"/>
      <c r="L131" s="265" t="s">
        <v>340</v>
      </c>
      <c r="M131" s="287" t="s">
        <v>341</v>
      </c>
      <c r="N131" s="256"/>
      <c r="O131" s="254"/>
      <c r="P131" s="254"/>
      <c r="Q131" s="254"/>
      <c r="R131" s="254"/>
      <c r="S131" s="255"/>
      <c r="T131" s="287"/>
      <c r="U131" s="252"/>
      <c r="V131" s="252"/>
      <c r="W131" s="184"/>
      <c r="X131" s="184"/>
      <c r="Y131" s="184"/>
      <c r="Z131" s="184"/>
    </row>
    <row r="132" spans="1:26" hidden="1">
      <c r="A132" s="246"/>
      <c r="B132" s="181" t="s">
        <v>334</v>
      </c>
      <c r="C132" s="86">
        <v>19</v>
      </c>
      <c r="D132" s="42">
        <v>60</v>
      </c>
      <c r="E132" s="42"/>
      <c r="F132" s="44"/>
      <c r="G132" s="42">
        <v>22</v>
      </c>
      <c r="H132" s="262">
        <v>17</v>
      </c>
      <c r="I132" s="262"/>
      <c r="J132" s="265"/>
      <c r="K132" s="261"/>
      <c r="L132" s="247"/>
      <c r="M132" s="247"/>
      <c r="N132" s="247"/>
      <c r="O132" s="247"/>
      <c r="P132" s="247"/>
      <c r="Q132" s="247"/>
      <c r="R132" s="251"/>
      <c r="S132" s="247"/>
      <c r="T132" s="247"/>
      <c r="U132" s="202"/>
      <c r="V132" s="202"/>
      <c r="W132" s="184"/>
      <c r="X132" s="184"/>
      <c r="Y132" s="184"/>
      <c r="Z132" s="184"/>
    </row>
    <row r="133" spans="1:26" hidden="1">
      <c r="A133" s="246"/>
      <c r="B133" s="199" t="s">
        <v>225</v>
      </c>
      <c r="C133" s="180"/>
      <c r="D133" s="247"/>
      <c r="E133" s="247"/>
      <c r="F133" s="247"/>
      <c r="G133" s="247"/>
      <c r="H133" s="248"/>
      <c r="I133" s="248"/>
      <c r="J133" s="248"/>
      <c r="K133" s="247"/>
      <c r="L133" s="247"/>
      <c r="M133" s="247"/>
      <c r="N133" s="251"/>
      <c r="O133" s="251"/>
      <c r="P133" s="247"/>
      <c r="Q133" s="251"/>
      <c r="R133" s="247"/>
      <c r="S133" s="251"/>
      <c r="T133" s="251"/>
      <c r="U133" s="202"/>
      <c r="V133" s="272"/>
      <c r="W133" s="184"/>
      <c r="X133" s="184"/>
      <c r="Y133" s="184"/>
      <c r="Z133" s="184"/>
    </row>
    <row r="134" spans="1:26" hidden="1">
      <c r="B134" s="199" t="s">
        <v>225</v>
      </c>
      <c r="C134" s="180"/>
      <c r="D134" s="247"/>
      <c r="E134" s="247"/>
      <c r="F134" s="247"/>
      <c r="G134" s="247"/>
      <c r="H134" s="247"/>
      <c r="I134" s="247"/>
      <c r="J134" s="247"/>
      <c r="K134" s="247"/>
      <c r="L134" s="247"/>
      <c r="M134" s="247"/>
      <c r="N134" s="251"/>
      <c r="O134" s="251"/>
      <c r="P134" s="247"/>
      <c r="Q134" s="247"/>
      <c r="R134" s="247"/>
      <c r="S134" s="251"/>
      <c r="T134" s="251"/>
      <c r="U134" s="202"/>
      <c r="V134" s="202"/>
      <c r="W134" s="184"/>
      <c r="X134" s="184"/>
      <c r="Y134" s="184"/>
      <c r="Z134" s="184"/>
    </row>
    <row r="135" spans="1:26" ht="27.6" hidden="1">
      <c r="B135" s="241" t="s">
        <v>291</v>
      </c>
      <c r="C135" s="180"/>
      <c r="D135" s="247"/>
      <c r="E135" s="247"/>
      <c r="F135" s="247"/>
      <c r="G135" s="247"/>
      <c r="H135" s="247"/>
      <c r="I135" s="247"/>
      <c r="J135" s="247"/>
      <c r="K135" s="247"/>
      <c r="L135" s="247"/>
      <c r="M135" s="247"/>
      <c r="N135" s="251"/>
      <c r="O135" s="247"/>
      <c r="P135" s="247"/>
      <c r="Q135" s="247"/>
      <c r="R135" s="247"/>
      <c r="S135" s="247"/>
      <c r="T135" s="247"/>
      <c r="U135" s="202"/>
      <c r="V135" s="202"/>
      <c r="W135" s="184"/>
      <c r="X135" s="184"/>
      <c r="Y135" s="184"/>
      <c r="Z135" s="184"/>
    </row>
    <row r="136" spans="1:26" ht="55.2" hidden="1">
      <c r="B136" s="240" t="s">
        <v>305</v>
      </c>
      <c r="C136" s="180"/>
      <c r="D136" s="247"/>
      <c r="E136" s="247"/>
      <c r="F136" s="247"/>
      <c r="G136" s="247"/>
      <c r="H136" s="247"/>
      <c r="I136" s="247"/>
      <c r="J136" s="247"/>
      <c r="K136" s="247"/>
      <c r="L136" s="247"/>
      <c r="M136" s="247"/>
      <c r="N136" s="273"/>
      <c r="O136" s="247"/>
      <c r="P136" s="273"/>
      <c r="Q136" s="247"/>
      <c r="R136" s="247"/>
      <c r="S136" s="247"/>
      <c r="T136" s="247"/>
      <c r="U136" s="202"/>
      <c r="V136" s="202"/>
      <c r="W136" s="184"/>
      <c r="X136" s="184"/>
      <c r="Y136" s="184"/>
      <c r="Z136" s="184"/>
    </row>
    <row r="137" spans="1:26" ht="41.4" hidden="1">
      <c r="B137" s="240" t="s">
        <v>306</v>
      </c>
      <c r="C137" s="180"/>
      <c r="D137" s="247"/>
      <c r="E137" s="247"/>
      <c r="F137" s="247"/>
      <c r="G137" s="247"/>
      <c r="H137" s="247"/>
      <c r="I137" s="247"/>
      <c r="J137" s="247"/>
      <c r="K137" s="247"/>
      <c r="L137" s="247"/>
      <c r="M137" s="247"/>
      <c r="N137" s="251"/>
      <c r="O137" s="247"/>
      <c r="P137" s="247"/>
      <c r="Q137" s="247"/>
      <c r="R137" s="247"/>
      <c r="S137" s="251"/>
      <c r="T137" s="251"/>
      <c r="U137" s="202"/>
      <c r="V137" s="202"/>
      <c r="W137" s="184"/>
      <c r="X137" s="184"/>
      <c r="Y137" s="184"/>
      <c r="Z137" s="184"/>
    </row>
    <row r="138" spans="1:26" hidden="1">
      <c r="B138" s="253" t="s">
        <v>343</v>
      </c>
      <c r="C138" s="180"/>
      <c r="D138" s="247"/>
      <c r="E138" s="247"/>
      <c r="F138" s="247"/>
      <c r="G138" s="247"/>
      <c r="H138" s="247"/>
      <c r="I138" s="247"/>
      <c r="J138" s="247"/>
      <c r="K138" s="247"/>
      <c r="L138" s="247"/>
      <c r="M138" s="247"/>
      <c r="N138" s="251"/>
      <c r="O138" s="251"/>
      <c r="P138" s="251"/>
      <c r="Q138" s="251"/>
      <c r="R138" s="251"/>
      <c r="S138" s="251"/>
      <c r="T138" s="247"/>
      <c r="U138" s="202"/>
      <c r="V138" s="202"/>
      <c r="W138" s="184"/>
      <c r="X138" s="184"/>
      <c r="Y138" s="184"/>
      <c r="Z138" s="184"/>
    </row>
    <row r="139" spans="1:26" hidden="1">
      <c r="B139" s="249"/>
      <c r="C139" s="184"/>
      <c r="D139" s="202"/>
      <c r="E139" s="202"/>
      <c r="F139" s="202"/>
      <c r="G139" s="202"/>
      <c r="H139" s="202"/>
      <c r="I139" s="202"/>
      <c r="J139" s="202"/>
      <c r="K139" s="202"/>
      <c r="L139" s="202"/>
      <c r="M139" s="202"/>
      <c r="N139" s="198"/>
      <c r="O139" s="202"/>
      <c r="P139" s="202"/>
      <c r="Q139" s="202"/>
      <c r="R139" s="202"/>
    </row>
    <row r="140" spans="1:26" hidden="1">
      <c r="B140" s="249"/>
      <c r="C140" s="184"/>
      <c r="D140" s="202"/>
      <c r="E140" s="202"/>
      <c r="F140" s="202"/>
      <c r="G140" s="202"/>
      <c r="H140" s="202"/>
      <c r="I140" s="202"/>
      <c r="J140" s="202"/>
      <c r="K140" s="202"/>
      <c r="L140" s="202"/>
      <c r="M140" s="202"/>
      <c r="N140" s="198"/>
      <c r="O140" s="202"/>
      <c r="P140" s="202"/>
      <c r="Q140" s="202"/>
      <c r="R140" s="202"/>
    </row>
    <row r="141" spans="1:26" hidden="1">
      <c r="B141" s="250" t="s">
        <v>339</v>
      </c>
      <c r="C141" s="323" t="s">
        <v>333</v>
      </c>
      <c r="D141" s="324"/>
      <c r="E141" s="324"/>
      <c r="F141" s="324"/>
      <c r="G141" s="325"/>
      <c r="H141" s="265" t="s">
        <v>335</v>
      </c>
      <c r="I141" s="265" t="s">
        <v>336</v>
      </c>
      <c r="J141" s="338" t="s">
        <v>337</v>
      </c>
      <c r="K141" s="339"/>
      <c r="L141" s="265" t="s">
        <v>340</v>
      </c>
      <c r="M141" s="287" t="s">
        <v>341</v>
      </c>
      <c r="N141" s="287"/>
      <c r="O141" s="287"/>
      <c r="P141" s="287"/>
      <c r="Q141" s="287"/>
      <c r="R141" s="287"/>
      <c r="S141" s="255"/>
      <c r="T141" s="287"/>
    </row>
    <row r="142" spans="1:26" hidden="1">
      <c r="A142" s="246">
        <v>5</v>
      </c>
      <c r="B142" s="181" t="s">
        <v>334</v>
      </c>
      <c r="C142" s="86"/>
      <c r="D142" s="42"/>
      <c r="E142" s="42"/>
      <c r="F142" s="44"/>
      <c r="G142" s="42"/>
      <c r="H142" s="44"/>
      <c r="I142" s="44">
        <v>32</v>
      </c>
      <c r="J142" s="265"/>
      <c r="K142" s="261"/>
      <c r="L142" s="247"/>
      <c r="M142" s="247"/>
      <c r="N142" s="247"/>
      <c r="O142" s="247"/>
      <c r="P142" s="247"/>
      <c r="Q142" s="247"/>
      <c r="R142" s="251"/>
      <c r="S142" s="247"/>
      <c r="T142" s="247"/>
    </row>
    <row r="143" spans="1:26" hidden="1">
      <c r="B143" s="199" t="s">
        <v>225</v>
      </c>
      <c r="C143" s="180"/>
      <c r="D143" s="247"/>
      <c r="E143" s="247"/>
      <c r="F143" s="247"/>
      <c r="G143" s="247"/>
      <c r="H143" s="248"/>
      <c r="I143" s="248"/>
      <c r="J143" s="248"/>
      <c r="K143" s="247"/>
      <c r="L143" s="247"/>
      <c r="M143" s="247"/>
      <c r="N143" s="251"/>
      <c r="O143" s="251"/>
      <c r="P143" s="247"/>
      <c r="Q143" s="251"/>
      <c r="R143" s="251"/>
      <c r="S143" s="251"/>
      <c r="T143" s="251"/>
    </row>
    <row r="144" spans="1:26" hidden="1">
      <c r="B144" s="199" t="s">
        <v>225</v>
      </c>
      <c r="C144" s="180"/>
      <c r="D144" s="247"/>
      <c r="E144" s="247"/>
      <c r="F144" s="247"/>
      <c r="G144" s="247"/>
      <c r="H144" s="247"/>
      <c r="I144" s="247"/>
      <c r="J144" s="247"/>
      <c r="K144" s="247"/>
      <c r="L144" s="247"/>
      <c r="M144" s="247"/>
      <c r="N144" s="251"/>
      <c r="O144" s="251"/>
      <c r="P144" s="247"/>
      <c r="Q144" s="247"/>
      <c r="R144" s="247"/>
      <c r="S144" s="251"/>
      <c r="T144" s="251"/>
    </row>
    <row r="145" spans="1:20" ht="27.6" hidden="1">
      <c r="B145" s="241" t="s">
        <v>291</v>
      </c>
      <c r="C145" s="180"/>
      <c r="D145" s="247"/>
      <c r="E145" s="247"/>
      <c r="F145" s="247"/>
      <c r="G145" s="247"/>
      <c r="H145" s="247"/>
      <c r="I145" s="247"/>
      <c r="J145" s="247"/>
      <c r="K145" s="247"/>
      <c r="L145" s="247"/>
      <c r="M145" s="247"/>
      <c r="N145" s="251"/>
      <c r="O145" s="247"/>
      <c r="P145" s="247"/>
      <c r="Q145" s="247"/>
      <c r="R145" s="247"/>
      <c r="S145" s="247"/>
      <c r="T145" s="247"/>
    </row>
    <row r="146" spans="1:20" hidden="1">
      <c r="B146" s="253" t="s">
        <v>343</v>
      </c>
      <c r="C146" s="180"/>
      <c r="D146" s="247"/>
      <c r="E146" s="247"/>
      <c r="F146" s="247"/>
      <c r="G146" s="247"/>
      <c r="H146" s="247"/>
      <c r="I146" s="247"/>
      <c r="J146" s="247"/>
      <c r="K146" s="247"/>
      <c r="L146" s="247"/>
      <c r="M146" s="247"/>
      <c r="N146" s="251"/>
      <c r="O146" s="251"/>
      <c r="P146" s="251"/>
      <c r="Q146" s="251"/>
      <c r="R146" s="251"/>
      <c r="S146" s="251"/>
      <c r="T146" s="247"/>
    </row>
    <row r="147" spans="1:20" hidden="1">
      <c r="A147" s="184"/>
      <c r="B147" s="184"/>
      <c r="C147" s="184"/>
      <c r="D147" s="202"/>
      <c r="E147" s="202"/>
      <c r="F147" s="202"/>
      <c r="G147" s="202"/>
      <c r="H147" s="202"/>
      <c r="I147" s="202"/>
      <c r="J147" s="202"/>
      <c r="K147" s="202"/>
      <c r="L147" s="202"/>
      <c r="M147" s="202"/>
      <c r="N147" s="202"/>
      <c r="O147" s="202"/>
      <c r="P147" s="202"/>
      <c r="Q147" s="202"/>
      <c r="R147" s="202"/>
      <c r="S147" s="198"/>
      <c r="T147" s="198"/>
    </row>
    <row r="148" spans="1:20" hidden="1">
      <c r="A148" s="184"/>
      <c r="B148" s="184"/>
      <c r="C148" s="184"/>
      <c r="D148" s="202"/>
      <c r="E148" s="202"/>
      <c r="F148" s="202"/>
      <c r="G148" s="202"/>
      <c r="H148" s="202"/>
      <c r="I148" s="202"/>
      <c r="J148" s="202"/>
      <c r="K148" s="202"/>
      <c r="L148" s="202"/>
      <c r="M148" s="202"/>
      <c r="N148" s="202"/>
      <c r="O148" s="202"/>
      <c r="P148" s="202"/>
      <c r="Q148" s="202"/>
      <c r="R148" s="202"/>
      <c r="S148" s="198"/>
      <c r="T148" s="202"/>
    </row>
    <row r="149" spans="1:20" hidden="1">
      <c r="A149" s="246">
        <v>7</v>
      </c>
      <c r="B149" s="250" t="s">
        <v>339</v>
      </c>
      <c r="C149" s="323" t="s">
        <v>333</v>
      </c>
      <c r="D149" s="324"/>
      <c r="E149" s="324"/>
      <c r="F149" s="324"/>
      <c r="G149" s="325"/>
      <c r="H149" s="265" t="s">
        <v>335</v>
      </c>
      <c r="I149" s="265" t="s">
        <v>336</v>
      </c>
      <c r="J149" s="338" t="s">
        <v>337</v>
      </c>
      <c r="K149" s="339"/>
      <c r="L149" s="265" t="s">
        <v>340</v>
      </c>
      <c r="M149" s="287" t="s">
        <v>341</v>
      </c>
      <c r="N149" s="287"/>
      <c r="O149" s="287"/>
      <c r="P149" s="287"/>
      <c r="Q149" s="287"/>
      <c r="R149" s="287"/>
      <c r="S149" s="255"/>
      <c r="T149" s="287"/>
    </row>
    <row r="150" spans="1:20" hidden="1">
      <c r="A150" s="246"/>
      <c r="B150" s="181" t="s">
        <v>334</v>
      </c>
      <c r="C150" s="180">
        <v>13</v>
      </c>
      <c r="D150" s="247">
        <v>24</v>
      </c>
      <c r="E150" s="247"/>
      <c r="F150" s="247"/>
      <c r="G150" s="247"/>
      <c r="H150" s="247">
        <v>43</v>
      </c>
      <c r="I150" s="247"/>
      <c r="J150" s="247">
        <v>18</v>
      </c>
      <c r="K150" s="247">
        <v>13</v>
      </c>
      <c r="L150" s="247"/>
      <c r="M150" s="247"/>
      <c r="N150" s="247"/>
      <c r="O150" s="247"/>
      <c r="P150" s="247"/>
      <c r="Q150" s="247"/>
      <c r="R150" s="251"/>
      <c r="S150" s="247"/>
      <c r="T150" s="247"/>
    </row>
    <row r="151" spans="1:20" hidden="1">
      <c r="B151" s="199" t="s">
        <v>225</v>
      </c>
      <c r="C151" s="180"/>
      <c r="D151" s="247"/>
      <c r="E151" s="247"/>
      <c r="F151" s="247"/>
      <c r="G151" s="247"/>
      <c r="H151" s="247"/>
      <c r="I151" s="247"/>
      <c r="J151" s="247"/>
      <c r="K151" s="247"/>
      <c r="L151" s="247"/>
      <c r="M151" s="247"/>
      <c r="N151" s="251"/>
      <c r="O151" s="247"/>
      <c r="P151" s="247"/>
      <c r="Q151" s="251"/>
      <c r="R151" s="247"/>
      <c r="S151" s="251"/>
      <c r="T151" s="251"/>
    </row>
    <row r="152" spans="1:20" hidden="1">
      <c r="B152" s="199" t="s">
        <v>225</v>
      </c>
      <c r="C152" s="180"/>
      <c r="D152" s="247"/>
      <c r="E152" s="247"/>
      <c r="F152" s="247"/>
      <c r="G152" s="247"/>
      <c r="H152" s="247"/>
      <c r="I152" s="247"/>
      <c r="J152" s="247"/>
      <c r="K152" s="247"/>
      <c r="L152" s="247"/>
      <c r="M152" s="247"/>
      <c r="N152" s="251"/>
      <c r="O152" s="251"/>
      <c r="P152" s="247"/>
      <c r="Q152" s="247"/>
      <c r="R152" s="247"/>
      <c r="S152" s="251"/>
      <c r="T152" s="251"/>
    </row>
    <row r="153" spans="1:20" ht="27.6" hidden="1">
      <c r="B153" s="241" t="s">
        <v>291</v>
      </c>
      <c r="C153" s="180"/>
      <c r="D153" s="247"/>
      <c r="E153" s="247"/>
      <c r="F153" s="247"/>
      <c r="G153" s="247"/>
      <c r="H153" s="247"/>
      <c r="I153" s="247"/>
      <c r="J153" s="247"/>
      <c r="K153" s="247"/>
      <c r="L153" s="247"/>
      <c r="M153" s="247"/>
      <c r="N153" s="251"/>
      <c r="O153" s="247"/>
      <c r="P153" s="247"/>
      <c r="Q153" s="247"/>
      <c r="R153" s="247"/>
      <c r="S153" s="251"/>
      <c r="T153" s="247"/>
    </row>
    <row r="154" spans="1:20" hidden="1">
      <c r="B154" s="240" t="s">
        <v>342</v>
      </c>
      <c r="C154" s="180"/>
      <c r="D154" s="247"/>
      <c r="E154" s="247"/>
      <c r="F154" s="247"/>
      <c r="G154" s="247"/>
      <c r="H154" s="247"/>
      <c r="I154" s="247"/>
      <c r="J154" s="247"/>
      <c r="K154" s="247"/>
      <c r="L154" s="247"/>
      <c r="M154" s="247"/>
      <c r="N154" s="251"/>
      <c r="O154" s="247"/>
      <c r="P154" s="251"/>
      <c r="Q154" s="247"/>
      <c r="R154" s="247"/>
      <c r="S154" s="251"/>
      <c r="T154" s="247"/>
    </row>
    <row r="155" spans="1:20" ht="55.2" hidden="1">
      <c r="B155" s="240" t="s">
        <v>305</v>
      </c>
      <c r="C155" s="180"/>
      <c r="D155" s="247"/>
      <c r="E155" s="247"/>
      <c r="F155" s="247"/>
      <c r="G155" s="247"/>
      <c r="H155" s="247"/>
      <c r="I155" s="247"/>
      <c r="J155" s="247"/>
      <c r="K155" s="247"/>
      <c r="L155" s="247"/>
      <c r="M155" s="247"/>
      <c r="N155" s="273"/>
      <c r="O155" s="247"/>
      <c r="P155" s="247"/>
      <c r="Q155" s="247"/>
      <c r="R155" s="247"/>
      <c r="S155" s="251"/>
      <c r="T155" s="251"/>
    </row>
    <row r="156" spans="1:20" ht="41.4" hidden="1">
      <c r="B156" s="240" t="s">
        <v>306</v>
      </c>
      <c r="C156" s="180"/>
      <c r="D156" s="247"/>
      <c r="E156" s="247"/>
      <c r="F156" s="247"/>
      <c r="G156" s="247"/>
      <c r="H156" s="247"/>
      <c r="I156" s="247"/>
      <c r="J156" s="247"/>
      <c r="K156" s="247"/>
      <c r="L156" s="247"/>
      <c r="M156" s="247"/>
      <c r="N156" s="251"/>
      <c r="O156" s="247"/>
      <c r="P156" s="247"/>
      <c r="Q156" s="247"/>
      <c r="R156" s="247"/>
      <c r="S156" s="251"/>
      <c r="T156" s="247"/>
    </row>
    <row r="157" spans="1:20" hidden="1">
      <c r="B157" s="253" t="s">
        <v>343</v>
      </c>
      <c r="C157" s="180"/>
      <c r="D157" s="247"/>
      <c r="E157" s="247"/>
      <c r="F157" s="247"/>
      <c r="G157" s="247"/>
      <c r="H157" s="247"/>
      <c r="I157" s="247"/>
      <c r="J157" s="247"/>
      <c r="K157" s="247"/>
      <c r="L157" s="247"/>
      <c r="M157" s="247"/>
      <c r="N157" s="251"/>
      <c r="O157" s="247"/>
      <c r="P157" s="247"/>
      <c r="Q157" s="247"/>
      <c r="R157" s="247"/>
      <c r="S157" s="251"/>
      <c r="T157" s="247"/>
    </row>
    <row r="158" spans="1:20" hidden="1"/>
    <row r="159" spans="1:20" hidden="1"/>
    <row r="160" spans="1:20" hidden="1">
      <c r="A160" s="246">
        <v>8</v>
      </c>
      <c r="B160" s="250" t="s">
        <v>339</v>
      </c>
      <c r="C160" s="323" t="s">
        <v>333</v>
      </c>
      <c r="D160" s="324"/>
      <c r="E160" s="324"/>
      <c r="F160" s="324"/>
      <c r="G160" s="325"/>
      <c r="H160" s="265" t="s">
        <v>335</v>
      </c>
      <c r="I160" s="265" t="s">
        <v>336</v>
      </c>
      <c r="J160" s="338" t="s">
        <v>337</v>
      </c>
      <c r="K160" s="339"/>
      <c r="L160" s="265" t="s">
        <v>340</v>
      </c>
      <c r="M160" s="287" t="s">
        <v>341</v>
      </c>
      <c r="N160" s="287"/>
      <c r="O160" s="287"/>
      <c r="P160" s="287"/>
      <c r="Q160" s="287"/>
      <c r="R160" s="287"/>
      <c r="S160" s="255"/>
      <c r="T160" s="287"/>
    </row>
    <row r="161" spans="1:20" hidden="1">
      <c r="A161" s="246"/>
      <c r="B161" s="180" t="s">
        <v>334</v>
      </c>
      <c r="C161" s="180">
        <v>19</v>
      </c>
      <c r="D161" s="247">
        <v>19</v>
      </c>
      <c r="E161" s="247"/>
      <c r="F161" s="247"/>
      <c r="G161" s="247"/>
      <c r="H161" s="247">
        <v>76</v>
      </c>
      <c r="I161" s="247"/>
      <c r="J161" s="247"/>
      <c r="K161" s="247"/>
      <c r="L161" s="247"/>
      <c r="M161" s="247"/>
      <c r="N161" s="247"/>
      <c r="O161" s="247"/>
      <c r="P161" s="247"/>
      <c r="Q161" s="247"/>
      <c r="R161" s="251"/>
      <c r="S161" s="247"/>
      <c r="T161" s="247"/>
    </row>
    <row r="162" spans="1:20" hidden="1">
      <c r="B162" s="199" t="s">
        <v>225</v>
      </c>
      <c r="C162" s="180"/>
      <c r="D162" s="247"/>
      <c r="E162" s="247"/>
      <c r="F162" s="247"/>
      <c r="G162" s="247"/>
      <c r="H162" s="247"/>
      <c r="I162" s="247"/>
      <c r="J162" s="247"/>
      <c r="K162" s="247"/>
      <c r="L162" s="247"/>
      <c r="M162" s="247"/>
      <c r="N162" s="251"/>
      <c r="O162" s="251"/>
      <c r="P162" s="247"/>
      <c r="Q162" s="251"/>
      <c r="R162" s="247"/>
      <c r="S162" s="251"/>
      <c r="T162" s="251"/>
    </row>
    <row r="163" spans="1:20" hidden="1">
      <c r="B163" s="199" t="s">
        <v>225</v>
      </c>
      <c r="C163" s="180"/>
      <c r="D163" s="247"/>
      <c r="E163" s="247"/>
      <c r="F163" s="247"/>
      <c r="G163" s="247"/>
      <c r="H163" s="247"/>
      <c r="I163" s="247"/>
      <c r="J163" s="247"/>
      <c r="K163" s="247"/>
      <c r="L163" s="247"/>
      <c r="M163" s="247"/>
      <c r="N163" s="251"/>
      <c r="O163" s="251"/>
      <c r="P163" s="247"/>
      <c r="Q163" s="247"/>
      <c r="R163" s="247"/>
      <c r="S163" s="251"/>
      <c r="T163" s="251"/>
    </row>
    <row r="164" spans="1:20" ht="27.6" hidden="1">
      <c r="B164" s="241" t="s">
        <v>291</v>
      </c>
      <c r="C164" s="180"/>
      <c r="D164" s="247"/>
      <c r="E164" s="247"/>
      <c r="F164" s="247"/>
      <c r="G164" s="247"/>
      <c r="H164" s="247"/>
      <c r="I164" s="247"/>
      <c r="J164" s="247"/>
      <c r="K164" s="247"/>
      <c r="L164" s="247"/>
      <c r="M164" s="247"/>
      <c r="N164" s="251"/>
      <c r="O164" s="247"/>
      <c r="P164" s="247"/>
      <c r="Q164" s="247"/>
      <c r="R164" s="247"/>
      <c r="S164" s="251"/>
      <c r="T164" s="247"/>
    </row>
    <row r="165" spans="1:20" ht="55.2" hidden="1">
      <c r="B165" s="240" t="s">
        <v>305</v>
      </c>
      <c r="C165" s="180"/>
      <c r="D165" s="247"/>
      <c r="E165" s="247"/>
      <c r="F165" s="247"/>
      <c r="G165" s="247"/>
      <c r="H165" s="247"/>
      <c r="I165" s="247"/>
      <c r="J165" s="247"/>
      <c r="K165" s="247"/>
      <c r="L165" s="247"/>
      <c r="M165" s="247"/>
      <c r="N165" s="273"/>
      <c r="O165" s="247"/>
      <c r="P165" s="273"/>
      <c r="Q165" s="247"/>
      <c r="R165" s="247"/>
      <c r="S165" s="251"/>
      <c r="T165" s="247"/>
    </row>
    <row r="166" spans="1:20" ht="41.4" hidden="1">
      <c r="B166" s="240" t="s">
        <v>306</v>
      </c>
      <c r="C166" s="180"/>
      <c r="D166" s="247"/>
      <c r="E166" s="247"/>
      <c r="F166" s="247"/>
      <c r="G166" s="247"/>
      <c r="H166" s="247"/>
      <c r="I166" s="247"/>
      <c r="J166" s="247"/>
      <c r="K166" s="247"/>
      <c r="L166" s="247"/>
      <c r="M166" s="247"/>
      <c r="N166" s="251"/>
      <c r="O166" s="247"/>
      <c r="P166" s="247"/>
      <c r="Q166" s="247"/>
      <c r="R166" s="247"/>
      <c r="S166" s="251"/>
      <c r="T166" s="251"/>
    </row>
    <row r="167" spans="1:20" hidden="1">
      <c r="B167" s="253" t="s">
        <v>343</v>
      </c>
      <c r="C167" s="180"/>
      <c r="D167" s="247"/>
      <c r="E167" s="247"/>
      <c r="F167" s="247"/>
      <c r="G167" s="247"/>
      <c r="H167" s="247"/>
      <c r="I167" s="247"/>
      <c r="J167" s="247"/>
      <c r="K167" s="247"/>
      <c r="L167" s="247"/>
      <c r="M167" s="247"/>
      <c r="N167" s="251"/>
      <c r="O167" s="247"/>
      <c r="P167" s="247"/>
      <c r="Q167" s="247"/>
      <c r="R167" s="247"/>
      <c r="S167" s="251"/>
      <c r="T167" s="247"/>
    </row>
    <row r="168" spans="1:20" hidden="1">
      <c r="S168" s="198"/>
      <c r="T168" s="202"/>
    </row>
    <row r="169" spans="1:20" hidden="1"/>
    <row r="170" spans="1:20" hidden="1">
      <c r="B170" s="250" t="s">
        <v>339</v>
      </c>
      <c r="C170" s="323" t="s">
        <v>333</v>
      </c>
      <c r="D170" s="324"/>
      <c r="E170" s="324"/>
      <c r="F170" s="324"/>
      <c r="G170" s="325"/>
      <c r="H170" s="265" t="s">
        <v>335</v>
      </c>
      <c r="I170" s="265" t="s">
        <v>336</v>
      </c>
      <c r="J170" s="338" t="s">
        <v>337</v>
      </c>
      <c r="K170" s="339"/>
      <c r="L170" s="265" t="s">
        <v>340</v>
      </c>
      <c r="M170" s="287" t="s">
        <v>341</v>
      </c>
      <c r="N170" s="287"/>
      <c r="O170" s="287"/>
      <c r="P170" s="287"/>
      <c r="Q170" s="287"/>
      <c r="R170" s="287"/>
      <c r="S170" s="255"/>
      <c r="T170" s="287"/>
    </row>
    <row r="171" spans="1:20" hidden="1">
      <c r="A171" s="246">
        <v>9</v>
      </c>
      <c r="B171" s="181" t="s">
        <v>334</v>
      </c>
      <c r="C171" s="180">
        <v>29</v>
      </c>
      <c r="D171" s="247">
        <v>89</v>
      </c>
      <c r="E171" s="247"/>
      <c r="F171" s="247"/>
      <c r="G171" s="247"/>
      <c r="H171" s="247">
        <v>75</v>
      </c>
      <c r="I171" s="247"/>
      <c r="J171" s="247"/>
      <c r="K171" s="247">
        <v>24</v>
      </c>
      <c r="L171" s="247"/>
      <c r="M171" s="247"/>
      <c r="N171" s="247"/>
      <c r="O171" s="247"/>
      <c r="P171" s="247"/>
      <c r="Q171" s="247"/>
      <c r="R171" s="251"/>
      <c r="S171" s="247"/>
      <c r="T171" s="247"/>
    </row>
    <row r="172" spans="1:20" hidden="1">
      <c r="B172" s="199" t="s">
        <v>225</v>
      </c>
      <c r="C172" s="180"/>
      <c r="D172" s="247"/>
      <c r="E172" s="247"/>
      <c r="F172" s="247"/>
      <c r="G172" s="247"/>
      <c r="H172" s="247"/>
      <c r="I172" s="247"/>
      <c r="J172" s="247"/>
      <c r="K172" s="247"/>
      <c r="L172" s="247"/>
      <c r="M172" s="247"/>
      <c r="N172" s="251"/>
      <c r="O172" s="251"/>
      <c r="P172" s="247"/>
      <c r="Q172" s="251"/>
      <c r="R172" s="247"/>
      <c r="S172" s="251"/>
      <c r="T172" s="251"/>
    </row>
    <row r="173" spans="1:20" hidden="1">
      <c r="B173" s="199" t="s">
        <v>225</v>
      </c>
      <c r="C173" s="180"/>
      <c r="D173" s="247"/>
      <c r="E173" s="247"/>
      <c r="F173" s="247"/>
      <c r="G173" s="247"/>
      <c r="H173" s="247"/>
      <c r="I173" s="247"/>
      <c r="J173" s="247"/>
      <c r="K173" s="247"/>
      <c r="L173" s="247"/>
      <c r="M173" s="247"/>
      <c r="N173" s="251"/>
      <c r="O173" s="251"/>
      <c r="P173" s="247"/>
      <c r="Q173" s="247"/>
      <c r="R173" s="247"/>
      <c r="S173" s="251"/>
      <c r="T173" s="251"/>
    </row>
    <row r="174" spans="1:20" ht="27.6" hidden="1">
      <c r="B174" s="241" t="s">
        <v>291</v>
      </c>
      <c r="C174" s="180"/>
      <c r="D174" s="247"/>
      <c r="E174" s="247"/>
      <c r="F174" s="247"/>
      <c r="G174" s="247"/>
      <c r="H174" s="247"/>
      <c r="I174" s="247"/>
      <c r="J174" s="247"/>
      <c r="K174" s="247"/>
      <c r="L174" s="247"/>
      <c r="M174" s="247"/>
      <c r="N174" s="251"/>
      <c r="O174" s="247"/>
      <c r="P174" s="247"/>
      <c r="Q174" s="247"/>
      <c r="R174" s="247"/>
      <c r="S174" s="251"/>
      <c r="T174" s="247"/>
    </row>
    <row r="175" spans="1:20" ht="55.2" hidden="1">
      <c r="B175" s="240" t="s">
        <v>305</v>
      </c>
      <c r="C175" s="180"/>
      <c r="D175" s="247"/>
      <c r="E175" s="247"/>
      <c r="F175" s="247"/>
      <c r="G175" s="247"/>
      <c r="H175" s="247"/>
      <c r="I175" s="247"/>
      <c r="J175" s="247"/>
      <c r="K175" s="247"/>
      <c r="L175" s="247"/>
      <c r="M175" s="247"/>
      <c r="N175" s="273"/>
      <c r="O175" s="247"/>
      <c r="P175" s="273"/>
      <c r="Q175" s="247"/>
      <c r="R175" s="247"/>
      <c r="S175" s="251"/>
      <c r="T175" s="247"/>
    </row>
    <row r="176" spans="1:20" ht="41.4" hidden="1">
      <c r="B176" s="240" t="s">
        <v>306</v>
      </c>
      <c r="C176" s="180"/>
      <c r="D176" s="247"/>
      <c r="E176" s="247"/>
      <c r="F176" s="247"/>
      <c r="G176" s="247"/>
      <c r="H176" s="247"/>
      <c r="I176" s="247"/>
      <c r="J176" s="247"/>
      <c r="K176" s="247"/>
      <c r="L176" s="247"/>
      <c r="M176" s="247"/>
      <c r="N176" s="251"/>
      <c r="O176" s="247"/>
      <c r="P176" s="247"/>
      <c r="Q176" s="247"/>
      <c r="R176" s="247"/>
      <c r="S176" s="251"/>
      <c r="T176" s="251"/>
    </row>
    <row r="177" spans="1:20" hidden="1">
      <c r="B177" s="253" t="s">
        <v>343</v>
      </c>
      <c r="C177" s="180"/>
      <c r="D177" s="247"/>
      <c r="E177" s="247"/>
      <c r="F177" s="247"/>
      <c r="G177" s="247"/>
      <c r="H177" s="247"/>
      <c r="I177" s="247"/>
      <c r="J177" s="247"/>
      <c r="K177" s="247"/>
      <c r="L177" s="247"/>
      <c r="M177" s="247"/>
      <c r="N177" s="251"/>
      <c r="O177" s="247"/>
      <c r="P177" s="247"/>
      <c r="Q177" s="247"/>
      <c r="R177" s="247"/>
      <c r="S177" s="251"/>
      <c r="T177" s="247"/>
    </row>
    <row r="178" spans="1:20" hidden="1"/>
    <row r="179" spans="1:20" hidden="1"/>
    <row r="180" spans="1:20" hidden="1">
      <c r="B180" s="250" t="s">
        <v>339</v>
      </c>
      <c r="C180" s="323" t="s">
        <v>333</v>
      </c>
      <c r="D180" s="324"/>
      <c r="E180" s="324"/>
      <c r="F180" s="324"/>
      <c r="G180" s="325"/>
      <c r="H180" s="265" t="s">
        <v>335</v>
      </c>
      <c r="I180" s="265" t="s">
        <v>336</v>
      </c>
      <c r="J180" s="338" t="s">
        <v>337</v>
      </c>
      <c r="K180" s="339"/>
      <c r="L180" s="265" t="s">
        <v>340</v>
      </c>
      <c r="M180" s="287" t="s">
        <v>341</v>
      </c>
      <c r="N180" s="287"/>
      <c r="O180" s="287"/>
      <c r="P180" s="287"/>
      <c r="Q180" s="287"/>
      <c r="R180" s="287"/>
      <c r="S180" s="255"/>
      <c r="T180" s="287"/>
    </row>
    <row r="181" spans="1:20" hidden="1">
      <c r="A181" s="246">
        <v>10</v>
      </c>
      <c r="B181" s="180" t="s">
        <v>334</v>
      </c>
      <c r="C181" s="180">
        <v>18</v>
      </c>
      <c r="D181" s="247">
        <v>17</v>
      </c>
      <c r="E181" s="247"/>
      <c r="F181" s="247"/>
      <c r="G181" s="247"/>
      <c r="H181" s="247">
        <v>75</v>
      </c>
      <c r="I181" s="247"/>
      <c r="J181" s="247"/>
      <c r="K181" s="247"/>
      <c r="L181" s="247"/>
      <c r="M181" s="247"/>
      <c r="N181" s="247"/>
      <c r="O181" s="247"/>
      <c r="P181" s="247"/>
      <c r="Q181" s="247"/>
      <c r="R181" s="251"/>
      <c r="S181" s="247"/>
      <c r="T181" s="247"/>
    </row>
    <row r="182" spans="1:20" hidden="1">
      <c r="B182" s="199" t="s">
        <v>225</v>
      </c>
      <c r="C182" s="180"/>
      <c r="D182" s="247"/>
      <c r="E182" s="247"/>
      <c r="F182" s="247"/>
      <c r="G182" s="247"/>
      <c r="H182" s="247"/>
      <c r="I182" s="247"/>
      <c r="J182" s="247"/>
      <c r="K182" s="247"/>
      <c r="L182" s="247"/>
      <c r="M182" s="247"/>
      <c r="N182" s="251"/>
      <c r="O182" s="247"/>
      <c r="P182" s="247"/>
      <c r="Q182" s="251"/>
      <c r="R182" s="247"/>
      <c r="S182" s="251"/>
      <c r="T182" s="251"/>
    </row>
    <row r="183" spans="1:20" hidden="1">
      <c r="B183" s="199" t="s">
        <v>225</v>
      </c>
      <c r="C183" s="180"/>
      <c r="D183" s="247"/>
      <c r="E183" s="247"/>
      <c r="F183" s="247"/>
      <c r="G183" s="247"/>
      <c r="H183" s="247"/>
      <c r="I183" s="247"/>
      <c r="J183" s="247"/>
      <c r="K183" s="247"/>
      <c r="L183" s="247"/>
      <c r="M183" s="247"/>
      <c r="N183" s="251"/>
      <c r="O183" s="251"/>
      <c r="P183" s="247"/>
      <c r="Q183" s="247"/>
      <c r="R183" s="247"/>
      <c r="S183" s="251"/>
      <c r="T183" s="251"/>
    </row>
    <row r="184" spans="1:20" ht="27.6" hidden="1">
      <c r="B184" s="241" t="s">
        <v>291</v>
      </c>
      <c r="C184" s="180"/>
      <c r="D184" s="247"/>
      <c r="E184" s="247"/>
      <c r="F184" s="247"/>
      <c r="G184" s="247"/>
      <c r="H184" s="265"/>
      <c r="I184" s="247"/>
      <c r="J184" s="247"/>
      <c r="K184" s="247"/>
      <c r="L184" s="247"/>
      <c r="M184" s="247"/>
      <c r="N184" s="251"/>
      <c r="O184" s="247"/>
      <c r="P184" s="247"/>
      <c r="Q184" s="247"/>
      <c r="R184" s="247"/>
      <c r="S184" s="251"/>
      <c r="T184" s="247"/>
    </row>
    <row r="185" spans="1:20" hidden="1">
      <c r="B185" s="127" t="s">
        <v>344</v>
      </c>
      <c r="C185" s="180"/>
      <c r="D185" s="247"/>
      <c r="E185" s="247"/>
      <c r="F185" s="247"/>
      <c r="G185" s="247"/>
      <c r="H185" s="247"/>
      <c r="I185" s="247"/>
      <c r="J185" s="247"/>
      <c r="K185" s="247"/>
      <c r="L185" s="247"/>
      <c r="M185" s="247"/>
      <c r="N185" s="273"/>
      <c r="O185" s="247"/>
      <c r="P185" s="251"/>
      <c r="Q185" s="247"/>
      <c r="R185" s="247"/>
      <c r="S185" s="251"/>
      <c r="T185" s="247"/>
    </row>
    <row r="186" spans="1:20" ht="55.2" hidden="1">
      <c r="B186" s="240" t="s">
        <v>305</v>
      </c>
      <c r="C186" s="180"/>
      <c r="D186" s="247"/>
      <c r="E186" s="247"/>
      <c r="F186" s="247"/>
      <c r="G186" s="247"/>
      <c r="H186" s="247"/>
      <c r="I186" s="247"/>
      <c r="J186" s="247"/>
      <c r="K186" s="247"/>
      <c r="L186" s="247"/>
      <c r="M186" s="247"/>
      <c r="N186" s="273"/>
      <c r="O186" s="247"/>
      <c r="P186" s="247"/>
      <c r="Q186" s="247"/>
      <c r="R186" s="247"/>
      <c r="S186" s="251"/>
      <c r="T186" s="251"/>
    </row>
    <row r="187" spans="1:20" ht="41.4" hidden="1">
      <c r="B187" s="240" t="s">
        <v>306</v>
      </c>
      <c r="C187" s="180"/>
      <c r="D187" s="247"/>
      <c r="E187" s="247"/>
      <c r="F187" s="247"/>
      <c r="G187" s="247"/>
      <c r="H187" s="247"/>
      <c r="I187" s="247"/>
      <c r="J187" s="247"/>
      <c r="K187" s="247"/>
      <c r="L187" s="247"/>
      <c r="M187" s="247"/>
      <c r="N187" s="251"/>
      <c r="O187" s="247"/>
      <c r="P187" s="247"/>
      <c r="Q187" s="247"/>
      <c r="R187" s="247"/>
      <c r="S187" s="251"/>
      <c r="T187" s="247"/>
    </row>
    <row r="188" spans="1:20" hidden="1">
      <c r="B188" s="253" t="s">
        <v>343</v>
      </c>
      <c r="C188" s="180"/>
      <c r="D188" s="247"/>
      <c r="E188" s="247"/>
      <c r="F188" s="247"/>
      <c r="G188" s="247"/>
      <c r="H188" s="247"/>
      <c r="I188" s="247"/>
      <c r="J188" s="247"/>
      <c r="K188" s="247"/>
      <c r="L188" s="247"/>
      <c r="M188" s="247"/>
      <c r="N188" s="251"/>
      <c r="O188" s="247"/>
      <c r="P188" s="247"/>
      <c r="Q188" s="247"/>
      <c r="R188" s="247"/>
      <c r="S188" s="251"/>
      <c r="T188" s="247"/>
    </row>
    <row r="189" spans="1:20" hidden="1"/>
    <row r="190" spans="1:20" hidden="1"/>
    <row r="191" spans="1:20" hidden="1">
      <c r="B191" s="250" t="s">
        <v>339</v>
      </c>
      <c r="C191" s="323" t="s">
        <v>333</v>
      </c>
      <c r="D191" s="324"/>
      <c r="E191" s="324"/>
      <c r="F191" s="324"/>
      <c r="G191" s="325"/>
      <c r="H191" s="265" t="s">
        <v>335</v>
      </c>
      <c r="I191" s="265" t="s">
        <v>336</v>
      </c>
      <c r="J191" s="338" t="s">
        <v>337</v>
      </c>
      <c r="K191" s="339"/>
      <c r="L191" s="265" t="s">
        <v>340</v>
      </c>
      <c r="M191" s="287" t="s">
        <v>341</v>
      </c>
      <c r="N191" s="287"/>
      <c r="O191" s="287"/>
      <c r="P191" s="287"/>
      <c r="Q191" s="287"/>
      <c r="R191" s="287"/>
      <c r="S191" s="255"/>
      <c r="T191" s="287"/>
    </row>
    <row r="192" spans="1:20" hidden="1">
      <c r="A192" s="246">
        <v>12</v>
      </c>
      <c r="B192" s="181" t="s">
        <v>334</v>
      </c>
      <c r="C192" s="180">
        <v>29</v>
      </c>
      <c r="D192" s="247">
        <v>70</v>
      </c>
      <c r="E192" s="247"/>
      <c r="F192" s="247"/>
      <c r="G192" s="247"/>
      <c r="H192" s="247">
        <v>67</v>
      </c>
      <c r="I192" s="247"/>
      <c r="J192" s="247"/>
      <c r="K192" s="247"/>
      <c r="L192" s="247"/>
      <c r="M192" s="247"/>
      <c r="N192" s="247"/>
      <c r="O192" s="247"/>
      <c r="P192" s="247"/>
      <c r="Q192" s="247"/>
      <c r="R192" s="251"/>
      <c r="S192" s="247"/>
      <c r="T192" s="247"/>
    </row>
    <row r="193" spans="1:20" hidden="1">
      <c r="B193" s="199" t="s">
        <v>225</v>
      </c>
      <c r="C193" s="180"/>
      <c r="D193" s="247"/>
      <c r="E193" s="247"/>
      <c r="F193" s="247"/>
      <c r="G193" s="247"/>
      <c r="H193" s="247"/>
      <c r="I193" s="247"/>
      <c r="J193" s="247"/>
      <c r="K193" s="247"/>
      <c r="L193" s="247"/>
      <c r="M193" s="247"/>
      <c r="N193" s="251"/>
      <c r="O193" s="251"/>
      <c r="P193" s="247"/>
      <c r="Q193" s="251"/>
      <c r="R193" s="247"/>
      <c r="S193" s="251"/>
      <c r="T193" s="251"/>
    </row>
    <row r="194" spans="1:20" hidden="1">
      <c r="B194" s="199" t="s">
        <v>225</v>
      </c>
      <c r="C194" s="180"/>
      <c r="D194" s="247"/>
      <c r="E194" s="247"/>
      <c r="F194" s="247"/>
      <c r="G194" s="247"/>
      <c r="H194" s="247"/>
      <c r="I194" s="247"/>
      <c r="J194" s="247"/>
      <c r="K194" s="247"/>
      <c r="L194" s="247"/>
      <c r="M194" s="247"/>
      <c r="N194" s="251"/>
      <c r="O194" s="251"/>
      <c r="P194" s="247"/>
      <c r="Q194" s="247"/>
      <c r="R194" s="247"/>
      <c r="S194" s="251"/>
      <c r="T194" s="251"/>
    </row>
    <row r="195" spans="1:20" ht="27.6" hidden="1">
      <c r="B195" s="241" t="s">
        <v>291</v>
      </c>
      <c r="C195" s="180"/>
      <c r="D195" s="247"/>
      <c r="E195" s="247"/>
      <c r="F195" s="247"/>
      <c r="G195" s="247"/>
      <c r="H195" s="265"/>
      <c r="I195" s="247"/>
      <c r="J195" s="247"/>
      <c r="K195" s="247"/>
      <c r="L195" s="247"/>
      <c r="M195" s="247"/>
      <c r="N195" s="251"/>
      <c r="O195" s="247"/>
      <c r="P195" s="247"/>
      <c r="Q195" s="247"/>
      <c r="R195" s="247"/>
      <c r="S195" s="251"/>
      <c r="T195" s="247"/>
    </row>
    <row r="196" spans="1:20" ht="55.2" hidden="1">
      <c r="B196" s="240" t="s">
        <v>305</v>
      </c>
      <c r="C196" s="180"/>
      <c r="D196" s="247"/>
      <c r="E196" s="247"/>
      <c r="F196" s="247"/>
      <c r="G196" s="247"/>
      <c r="H196" s="247"/>
      <c r="I196" s="247"/>
      <c r="J196" s="247"/>
      <c r="K196" s="247"/>
      <c r="L196" s="247"/>
      <c r="M196" s="247"/>
      <c r="N196" s="273"/>
      <c r="O196" s="247"/>
      <c r="P196" s="273"/>
      <c r="Q196" s="247"/>
      <c r="R196" s="247"/>
      <c r="S196" s="251"/>
      <c r="T196" s="247"/>
    </row>
    <row r="197" spans="1:20" ht="41.4" hidden="1">
      <c r="B197" s="240" t="s">
        <v>306</v>
      </c>
      <c r="C197" s="180"/>
      <c r="D197" s="247"/>
      <c r="E197" s="247"/>
      <c r="F197" s="247"/>
      <c r="G197" s="247"/>
      <c r="H197" s="247"/>
      <c r="I197" s="247"/>
      <c r="J197" s="247"/>
      <c r="K197" s="247"/>
      <c r="L197" s="247"/>
      <c r="M197" s="247"/>
      <c r="N197" s="251"/>
      <c r="O197" s="247"/>
      <c r="P197" s="247"/>
      <c r="Q197" s="247"/>
      <c r="R197" s="247"/>
      <c r="S197" s="251"/>
      <c r="T197" s="251"/>
    </row>
    <row r="198" spans="1:20" hidden="1">
      <c r="B198" s="253" t="s">
        <v>343</v>
      </c>
      <c r="C198" s="180"/>
      <c r="D198" s="247"/>
      <c r="E198" s="247"/>
      <c r="F198" s="247"/>
      <c r="G198" s="247"/>
      <c r="H198" s="247"/>
      <c r="I198" s="247"/>
      <c r="J198" s="247"/>
      <c r="K198" s="247"/>
      <c r="L198" s="247"/>
      <c r="M198" s="247"/>
      <c r="N198" s="251"/>
      <c r="O198" s="247"/>
      <c r="P198" s="247"/>
      <c r="Q198" s="247"/>
      <c r="R198" s="247"/>
      <c r="S198" s="251"/>
      <c r="T198" s="247"/>
    </row>
    <row r="199" spans="1:20" hidden="1"/>
    <row r="200" spans="1:20" hidden="1"/>
    <row r="201" spans="1:20" hidden="1">
      <c r="A201" s="246">
        <v>13</v>
      </c>
      <c r="B201" s="250" t="s">
        <v>339</v>
      </c>
      <c r="C201" s="323" t="s">
        <v>333</v>
      </c>
      <c r="D201" s="324"/>
      <c r="E201" s="324"/>
      <c r="F201" s="324"/>
      <c r="G201" s="325"/>
      <c r="H201" s="265" t="s">
        <v>335</v>
      </c>
      <c r="I201" s="265" t="s">
        <v>336</v>
      </c>
      <c r="J201" s="338" t="s">
        <v>337</v>
      </c>
      <c r="K201" s="339"/>
      <c r="L201" s="265" t="s">
        <v>340</v>
      </c>
      <c r="M201" s="287" t="s">
        <v>341</v>
      </c>
      <c r="N201" s="287"/>
      <c r="O201" s="287"/>
      <c r="P201" s="287"/>
      <c r="Q201" s="287"/>
      <c r="R201" s="287"/>
      <c r="S201" s="255"/>
      <c r="T201" s="287"/>
    </row>
    <row r="202" spans="1:20" hidden="1">
      <c r="B202" s="181" t="s">
        <v>334</v>
      </c>
      <c r="C202" s="180">
        <v>1</v>
      </c>
      <c r="D202" s="247">
        <v>44</v>
      </c>
      <c r="E202" s="247"/>
      <c r="F202" s="247"/>
      <c r="G202" s="247"/>
      <c r="H202" s="247">
        <v>73</v>
      </c>
      <c r="I202" s="247"/>
      <c r="J202" s="247"/>
      <c r="K202" s="247"/>
      <c r="L202" s="247">
        <v>45</v>
      </c>
      <c r="M202" s="247">
        <v>73</v>
      </c>
      <c r="N202" s="247"/>
      <c r="O202" s="247"/>
      <c r="P202" s="247"/>
      <c r="Q202" s="247"/>
      <c r="R202" s="251"/>
      <c r="S202" s="247"/>
      <c r="T202" s="247"/>
    </row>
    <row r="203" spans="1:20" hidden="1">
      <c r="B203" s="199" t="s">
        <v>225</v>
      </c>
      <c r="C203" s="180"/>
      <c r="D203" s="247"/>
      <c r="E203" s="247"/>
      <c r="F203" s="247"/>
      <c r="G203" s="247"/>
      <c r="H203" s="247"/>
      <c r="I203" s="247"/>
      <c r="J203" s="247"/>
      <c r="K203" s="247"/>
      <c r="L203" s="247"/>
      <c r="M203" s="247"/>
      <c r="N203" s="251"/>
      <c r="O203" s="251"/>
      <c r="P203" s="247"/>
      <c r="Q203" s="251"/>
      <c r="R203" s="247"/>
      <c r="S203" s="251"/>
      <c r="T203" s="251"/>
    </row>
    <row r="204" spans="1:20" hidden="1">
      <c r="B204" s="199" t="s">
        <v>225</v>
      </c>
      <c r="C204" s="180"/>
      <c r="D204" s="247"/>
      <c r="E204" s="247"/>
      <c r="F204" s="247"/>
      <c r="G204" s="247"/>
      <c r="H204" s="247"/>
      <c r="I204" s="247"/>
      <c r="J204" s="247"/>
      <c r="K204" s="247"/>
      <c r="L204" s="247"/>
      <c r="M204" s="247"/>
      <c r="N204" s="251"/>
      <c r="O204" s="251"/>
      <c r="P204" s="247"/>
      <c r="Q204" s="247"/>
      <c r="R204" s="247"/>
      <c r="S204" s="251"/>
      <c r="T204" s="251"/>
    </row>
    <row r="205" spans="1:20" ht="27.6" hidden="1">
      <c r="B205" s="241" t="s">
        <v>291</v>
      </c>
      <c r="C205" s="180"/>
      <c r="D205" s="247"/>
      <c r="E205" s="247"/>
      <c r="F205" s="247"/>
      <c r="G205" s="247"/>
      <c r="H205" s="265"/>
      <c r="I205" s="247"/>
      <c r="J205" s="247"/>
      <c r="K205" s="247"/>
      <c r="L205" s="247"/>
      <c r="M205" s="247"/>
      <c r="N205" s="251"/>
      <c r="O205" s="247"/>
      <c r="P205" s="247"/>
      <c r="Q205" s="247"/>
      <c r="R205" s="247"/>
      <c r="S205" s="251"/>
      <c r="T205" s="247"/>
    </row>
    <row r="206" spans="1:20" hidden="1">
      <c r="B206" s="127" t="s">
        <v>345</v>
      </c>
      <c r="C206" s="180"/>
      <c r="D206" s="247"/>
      <c r="E206" s="247"/>
      <c r="F206" s="247"/>
      <c r="G206" s="247"/>
      <c r="H206" s="247"/>
      <c r="I206" s="247"/>
      <c r="J206" s="247"/>
      <c r="K206" s="247"/>
      <c r="L206" s="247"/>
      <c r="M206" s="247"/>
      <c r="N206" s="251"/>
      <c r="O206" s="247"/>
      <c r="P206" s="247"/>
      <c r="Q206" s="247"/>
      <c r="R206" s="247"/>
      <c r="S206" s="251"/>
      <c r="T206" s="247"/>
    </row>
    <row r="207" spans="1:20" ht="55.2" hidden="1">
      <c r="B207" s="240" t="s">
        <v>305</v>
      </c>
      <c r="C207" s="180"/>
      <c r="D207" s="247"/>
      <c r="E207" s="247"/>
      <c r="F207" s="247"/>
      <c r="G207" s="247"/>
      <c r="H207" s="247"/>
      <c r="I207" s="247"/>
      <c r="J207" s="247"/>
      <c r="K207" s="247"/>
      <c r="L207" s="247"/>
      <c r="M207" s="247"/>
      <c r="N207" s="273"/>
      <c r="O207" s="247"/>
      <c r="P207" s="274"/>
      <c r="Q207" s="247"/>
      <c r="R207" s="247"/>
      <c r="S207" s="251"/>
      <c r="T207" s="251"/>
    </row>
    <row r="208" spans="1:20" ht="41.4" hidden="1">
      <c r="B208" s="240" t="s">
        <v>306</v>
      </c>
      <c r="C208" s="180"/>
      <c r="D208" s="247"/>
      <c r="E208" s="247"/>
      <c r="F208" s="247"/>
      <c r="G208" s="247"/>
      <c r="H208" s="247"/>
      <c r="I208" s="247"/>
      <c r="J208" s="247"/>
      <c r="K208" s="247"/>
      <c r="L208" s="247"/>
      <c r="M208" s="247"/>
      <c r="N208" s="251"/>
      <c r="O208" s="247"/>
      <c r="P208" s="247"/>
      <c r="Q208" s="247"/>
      <c r="R208" s="247"/>
      <c r="S208" s="251"/>
      <c r="T208" s="247"/>
    </row>
    <row r="209" spans="1:20" hidden="1">
      <c r="B209" s="253" t="s">
        <v>343</v>
      </c>
      <c r="C209" s="180"/>
      <c r="D209" s="247"/>
      <c r="E209" s="247"/>
      <c r="F209" s="247"/>
      <c r="G209" s="247"/>
      <c r="H209" s="247"/>
      <c r="I209" s="247"/>
      <c r="J209" s="247"/>
      <c r="K209" s="247"/>
      <c r="L209" s="247"/>
      <c r="M209" s="247"/>
      <c r="N209" s="251"/>
      <c r="O209" s="247"/>
      <c r="P209" s="247"/>
      <c r="Q209" s="247"/>
      <c r="R209" s="247"/>
      <c r="S209" s="251"/>
      <c r="T209" s="247"/>
    </row>
    <row r="210" spans="1:20" hidden="1"/>
    <row r="211" spans="1:20" hidden="1"/>
    <row r="212" spans="1:20" hidden="1">
      <c r="A212" s="246">
        <v>14</v>
      </c>
      <c r="B212" s="250" t="s">
        <v>339</v>
      </c>
      <c r="C212" s="323" t="s">
        <v>333</v>
      </c>
      <c r="D212" s="324"/>
      <c r="E212" s="324"/>
      <c r="F212" s="324"/>
      <c r="G212" s="325"/>
      <c r="H212" s="265" t="s">
        <v>335</v>
      </c>
      <c r="I212" s="265" t="s">
        <v>336</v>
      </c>
      <c r="J212" s="338" t="s">
        <v>337</v>
      </c>
      <c r="K212" s="339"/>
      <c r="L212" s="265" t="s">
        <v>340</v>
      </c>
      <c r="M212" s="287" t="s">
        <v>341</v>
      </c>
      <c r="N212" s="287"/>
      <c r="O212" s="287"/>
      <c r="P212" s="287"/>
      <c r="Q212" s="287"/>
      <c r="R212" s="287"/>
      <c r="S212" s="255"/>
      <c r="T212" s="287"/>
    </row>
    <row r="213" spans="1:20" hidden="1">
      <c r="B213" s="181" t="s">
        <v>334</v>
      </c>
      <c r="C213" s="180">
        <v>32</v>
      </c>
      <c r="D213" s="247"/>
      <c r="E213" s="247"/>
      <c r="F213" s="247"/>
      <c r="G213" s="247"/>
      <c r="H213" s="247">
        <v>198</v>
      </c>
      <c r="I213" s="247"/>
      <c r="J213" s="247"/>
      <c r="K213" s="247">
        <v>10</v>
      </c>
      <c r="L213" s="247"/>
      <c r="M213" s="247">
        <v>198</v>
      </c>
      <c r="N213" s="247"/>
      <c r="O213" s="247"/>
      <c r="P213" s="247"/>
      <c r="Q213" s="247"/>
      <c r="R213" s="251"/>
      <c r="S213" s="247"/>
      <c r="T213" s="247"/>
    </row>
    <row r="214" spans="1:20" hidden="1">
      <c r="B214" s="199" t="s">
        <v>225</v>
      </c>
      <c r="C214" s="180"/>
      <c r="D214" s="247"/>
      <c r="E214" s="247"/>
      <c r="F214" s="247"/>
      <c r="G214" s="247"/>
      <c r="H214" s="247"/>
      <c r="I214" s="247"/>
      <c r="J214" s="247"/>
      <c r="K214" s="247"/>
      <c r="L214" s="247"/>
      <c r="M214" s="247"/>
      <c r="N214" s="251"/>
      <c r="O214" s="251"/>
      <c r="P214" s="247"/>
      <c r="Q214" s="251"/>
      <c r="R214" s="247"/>
      <c r="S214" s="251"/>
      <c r="T214" s="251"/>
    </row>
    <row r="215" spans="1:20" hidden="1">
      <c r="B215" s="199" t="s">
        <v>225</v>
      </c>
      <c r="C215" s="180"/>
      <c r="D215" s="247"/>
      <c r="E215" s="247"/>
      <c r="F215" s="247"/>
      <c r="G215" s="247"/>
      <c r="H215" s="247"/>
      <c r="I215" s="247"/>
      <c r="J215" s="247"/>
      <c r="K215" s="247"/>
      <c r="L215" s="247"/>
      <c r="M215" s="247"/>
      <c r="N215" s="251"/>
      <c r="O215" s="251"/>
      <c r="P215" s="247"/>
      <c r="Q215" s="247"/>
      <c r="R215" s="247"/>
      <c r="S215" s="251"/>
      <c r="T215" s="251"/>
    </row>
    <row r="216" spans="1:20" ht="27.6" hidden="1">
      <c r="B216" s="241" t="s">
        <v>291</v>
      </c>
      <c r="C216" s="180"/>
      <c r="D216" s="247"/>
      <c r="E216" s="247"/>
      <c r="F216" s="247"/>
      <c r="G216" s="247"/>
      <c r="H216" s="265"/>
      <c r="I216" s="247"/>
      <c r="J216" s="247"/>
      <c r="K216" s="247"/>
      <c r="L216" s="247"/>
      <c r="M216" s="247"/>
      <c r="N216" s="251"/>
      <c r="O216" s="247"/>
      <c r="P216" s="247"/>
      <c r="Q216" s="247"/>
      <c r="R216" s="247"/>
      <c r="S216" s="251"/>
      <c r="T216" s="247"/>
    </row>
    <row r="217" spans="1:20" hidden="1">
      <c r="B217" s="127" t="s">
        <v>345</v>
      </c>
      <c r="C217" s="180"/>
      <c r="D217" s="247"/>
      <c r="E217" s="247"/>
      <c r="F217" s="247"/>
      <c r="G217" s="247"/>
      <c r="H217" s="247"/>
      <c r="I217" s="247"/>
      <c r="J217" s="247"/>
      <c r="K217" s="247"/>
      <c r="L217" s="247"/>
      <c r="M217" s="247"/>
      <c r="N217" s="251"/>
      <c r="O217" s="247"/>
      <c r="P217" s="247"/>
      <c r="Q217" s="247"/>
      <c r="R217" s="247"/>
      <c r="S217" s="251"/>
      <c r="T217" s="247"/>
    </row>
    <row r="218" spans="1:20" ht="55.2" hidden="1">
      <c r="B218" s="240" t="s">
        <v>305</v>
      </c>
      <c r="C218" s="180"/>
      <c r="D218" s="247"/>
      <c r="E218" s="247"/>
      <c r="F218" s="247"/>
      <c r="G218" s="247"/>
      <c r="H218" s="247"/>
      <c r="I218" s="247"/>
      <c r="J218" s="247"/>
      <c r="K218" s="247"/>
      <c r="L218" s="247"/>
      <c r="M218" s="247"/>
      <c r="N218" s="273"/>
      <c r="O218" s="247"/>
      <c r="P218" s="274"/>
      <c r="Q218" s="247"/>
      <c r="R218" s="247"/>
      <c r="S218" s="251"/>
      <c r="T218" s="251"/>
    </row>
    <row r="219" spans="1:20" ht="41.4" hidden="1">
      <c r="B219" s="240" t="s">
        <v>306</v>
      </c>
      <c r="C219" s="180"/>
      <c r="D219" s="247"/>
      <c r="E219" s="247"/>
      <c r="F219" s="247"/>
      <c r="G219" s="247"/>
      <c r="H219" s="247"/>
      <c r="I219" s="247"/>
      <c r="J219" s="247"/>
      <c r="K219" s="247"/>
      <c r="L219" s="247"/>
      <c r="M219" s="247"/>
      <c r="N219" s="251"/>
      <c r="O219" s="247"/>
      <c r="P219" s="247"/>
      <c r="Q219" s="247"/>
      <c r="R219" s="247"/>
      <c r="S219" s="251"/>
      <c r="T219" s="247"/>
    </row>
    <row r="220" spans="1:20" hidden="1">
      <c r="B220" s="253" t="s">
        <v>343</v>
      </c>
      <c r="C220" s="180"/>
      <c r="D220" s="247"/>
      <c r="E220" s="247"/>
      <c r="F220" s="247"/>
      <c r="G220" s="247"/>
      <c r="H220" s="247"/>
      <c r="I220" s="247"/>
      <c r="J220" s="247"/>
      <c r="K220" s="247"/>
      <c r="L220" s="247"/>
      <c r="M220" s="247"/>
      <c r="N220" s="251"/>
      <c r="O220" s="247"/>
      <c r="P220" s="247"/>
      <c r="Q220" s="247"/>
      <c r="R220" s="247"/>
      <c r="S220" s="251"/>
      <c r="T220" s="247"/>
    </row>
    <row r="221" spans="1:20" hidden="1"/>
    <row r="222" spans="1:20" hidden="1"/>
    <row r="223" spans="1:20" hidden="1">
      <c r="A223" s="246">
        <v>15</v>
      </c>
      <c r="B223" s="250" t="s">
        <v>339</v>
      </c>
      <c r="C223" s="323" t="s">
        <v>333</v>
      </c>
      <c r="D223" s="324"/>
      <c r="E223" s="324"/>
      <c r="F223" s="324"/>
      <c r="G223" s="325"/>
      <c r="H223" s="265" t="s">
        <v>335</v>
      </c>
      <c r="I223" s="265" t="s">
        <v>336</v>
      </c>
      <c r="J223" s="338" t="s">
        <v>337</v>
      </c>
      <c r="K223" s="339"/>
      <c r="L223" s="265" t="s">
        <v>340</v>
      </c>
      <c r="M223" s="287" t="s">
        <v>341</v>
      </c>
      <c r="N223" s="287"/>
      <c r="O223" s="287"/>
      <c r="P223" s="287"/>
      <c r="Q223" s="287"/>
      <c r="R223" s="287"/>
      <c r="S223" s="255"/>
      <c r="T223" s="287"/>
    </row>
    <row r="224" spans="1:20" hidden="1">
      <c r="B224" s="181" t="s">
        <v>334</v>
      </c>
      <c r="C224" s="180">
        <v>36</v>
      </c>
      <c r="D224" s="247"/>
      <c r="E224" s="247"/>
      <c r="F224" s="247"/>
      <c r="G224" s="247"/>
      <c r="H224" s="247">
        <v>96</v>
      </c>
      <c r="I224" s="247"/>
      <c r="J224" s="247"/>
      <c r="K224" s="247"/>
      <c r="L224" s="247"/>
      <c r="M224" s="247"/>
      <c r="N224" s="247"/>
      <c r="O224" s="247"/>
      <c r="P224" s="247"/>
      <c r="Q224" s="247"/>
      <c r="R224" s="251"/>
      <c r="S224" s="247"/>
      <c r="T224" s="247"/>
    </row>
    <row r="225" spans="1:20" hidden="1">
      <c r="B225" s="199" t="s">
        <v>225</v>
      </c>
      <c r="C225" s="180"/>
      <c r="D225" s="247"/>
      <c r="E225" s="247"/>
      <c r="F225" s="247"/>
      <c r="G225" s="247"/>
      <c r="H225" s="247"/>
      <c r="I225" s="247"/>
      <c r="J225" s="247"/>
      <c r="K225" s="247"/>
      <c r="L225" s="247"/>
      <c r="M225" s="247"/>
      <c r="N225" s="251"/>
      <c r="O225" s="251"/>
      <c r="P225" s="247"/>
      <c r="Q225" s="251"/>
      <c r="R225" s="247"/>
      <c r="S225" s="251"/>
      <c r="T225" s="251"/>
    </row>
    <row r="226" spans="1:20" hidden="1">
      <c r="B226" s="199" t="s">
        <v>225</v>
      </c>
      <c r="C226" s="180"/>
      <c r="D226" s="247"/>
      <c r="E226" s="247"/>
      <c r="F226" s="247"/>
      <c r="G226" s="247"/>
      <c r="H226" s="247"/>
      <c r="I226" s="247"/>
      <c r="J226" s="247"/>
      <c r="K226" s="247"/>
      <c r="L226" s="247"/>
      <c r="M226" s="247"/>
      <c r="N226" s="251"/>
      <c r="O226" s="251"/>
      <c r="P226" s="247"/>
      <c r="Q226" s="247"/>
      <c r="R226" s="247"/>
      <c r="S226" s="251"/>
      <c r="T226" s="251"/>
    </row>
    <row r="227" spans="1:20" ht="27.6" hidden="1">
      <c r="B227" s="241" t="s">
        <v>291</v>
      </c>
      <c r="C227" s="180"/>
      <c r="D227" s="247"/>
      <c r="E227" s="247"/>
      <c r="F227" s="247"/>
      <c r="G227" s="247"/>
      <c r="H227" s="265"/>
      <c r="I227" s="247"/>
      <c r="J227" s="247"/>
      <c r="K227" s="247"/>
      <c r="L227" s="247"/>
      <c r="M227" s="247"/>
      <c r="N227" s="251"/>
      <c r="O227" s="247"/>
      <c r="P227" s="247"/>
      <c r="Q227" s="247"/>
      <c r="R227" s="247"/>
      <c r="S227" s="251"/>
      <c r="T227" s="247"/>
    </row>
    <row r="228" spans="1:20" hidden="1">
      <c r="B228" s="127" t="s">
        <v>345</v>
      </c>
      <c r="C228" s="180"/>
      <c r="D228" s="247"/>
      <c r="E228" s="247"/>
      <c r="F228" s="247"/>
      <c r="G228" s="247"/>
      <c r="H228" s="247"/>
      <c r="I228" s="247"/>
      <c r="J228" s="247"/>
      <c r="K228" s="247"/>
      <c r="L228" s="247"/>
      <c r="M228" s="247"/>
      <c r="N228" s="251"/>
      <c r="O228" s="247"/>
      <c r="P228" s="247"/>
      <c r="Q228" s="247"/>
      <c r="R228" s="247"/>
      <c r="S228" s="251"/>
      <c r="T228" s="247"/>
    </row>
    <row r="229" spans="1:20" ht="55.2" hidden="1">
      <c r="B229" s="240" t="s">
        <v>305</v>
      </c>
      <c r="C229" s="180"/>
      <c r="D229" s="247"/>
      <c r="E229" s="247"/>
      <c r="F229" s="247"/>
      <c r="G229" s="247"/>
      <c r="H229" s="247"/>
      <c r="I229" s="247"/>
      <c r="J229" s="247"/>
      <c r="K229" s="247"/>
      <c r="L229" s="247"/>
      <c r="M229" s="247"/>
      <c r="N229" s="273"/>
      <c r="O229" s="247"/>
      <c r="P229" s="273"/>
      <c r="Q229" s="247"/>
      <c r="R229" s="247"/>
      <c r="S229" s="251"/>
      <c r="T229" s="251"/>
    </row>
    <row r="230" spans="1:20" ht="41.4" hidden="1">
      <c r="B230" s="240" t="s">
        <v>306</v>
      </c>
      <c r="C230" s="180"/>
      <c r="D230" s="247"/>
      <c r="E230" s="247"/>
      <c r="F230" s="247"/>
      <c r="G230" s="247"/>
      <c r="H230" s="247"/>
      <c r="I230" s="247"/>
      <c r="J230" s="247"/>
      <c r="K230" s="247"/>
      <c r="L230" s="247"/>
      <c r="M230" s="247"/>
      <c r="N230" s="251"/>
      <c r="O230" s="247"/>
      <c r="P230" s="247"/>
      <c r="Q230" s="247"/>
      <c r="R230" s="247"/>
      <c r="S230" s="251"/>
      <c r="T230" s="247"/>
    </row>
    <row r="231" spans="1:20" hidden="1">
      <c r="B231" s="253" t="s">
        <v>343</v>
      </c>
      <c r="C231" s="180"/>
      <c r="D231" s="247"/>
      <c r="E231" s="247"/>
      <c r="F231" s="247"/>
      <c r="G231" s="247"/>
      <c r="H231" s="247"/>
      <c r="I231" s="247"/>
      <c r="J231" s="247"/>
      <c r="K231" s="247"/>
      <c r="L231" s="247"/>
      <c r="M231" s="247"/>
      <c r="N231" s="251"/>
      <c r="O231" s="247"/>
      <c r="P231" s="247"/>
      <c r="Q231" s="247"/>
      <c r="R231" s="247"/>
      <c r="S231" s="251"/>
      <c r="T231" s="247"/>
    </row>
    <row r="232" spans="1:20" hidden="1"/>
    <row r="233" spans="1:20" hidden="1"/>
    <row r="234" spans="1:20" hidden="1">
      <c r="A234" s="246">
        <v>17</v>
      </c>
      <c r="B234" s="250" t="s">
        <v>339</v>
      </c>
      <c r="C234" s="323" t="s">
        <v>333</v>
      </c>
      <c r="D234" s="324"/>
      <c r="E234" s="324"/>
      <c r="F234" s="324"/>
      <c r="G234" s="325"/>
      <c r="H234" s="265" t="s">
        <v>335</v>
      </c>
      <c r="I234" s="265" t="s">
        <v>336</v>
      </c>
      <c r="J234" s="338" t="s">
        <v>337</v>
      </c>
      <c r="K234" s="339"/>
      <c r="L234" s="265" t="s">
        <v>340</v>
      </c>
      <c r="M234" s="287" t="s">
        <v>341</v>
      </c>
      <c r="N234" s="287"/>
      <c r="O234" s="287"/>
      <c r="P234" s="287"/>
      <c r="Q234" s="287"/>
      <c r="R234" s="287"/>
      <c r="S234" s="255"/>
      <c r="T234" s="287"/>
    </row>
    <row r="235" spans="1:20" hidden="1">
      <c r="B235" s="181" t="s">
        <v>334</v>
      </c>
      <c r="C235" s="180">
        <v>32</v>
      </c>
      <c r="D235" s="247"/>
      <c r="E235" s="247"/>
      <c r="F235" s="247"/>
      <c r="G235" s="247"/>
      <c r="H235" s="247">
        <v>212</v>
      </c>
      <c r="I235" s="247"/>
      <c r="J235" s="247"/>
      <c r="K235" s="247"/>
      <c r="L235" s="247"/>
      <c r="M235" s="247"/>
      <c r="N235" s="247"/>
      <c r="O235" s="247"/>
      <c r="P235" s="247"/>
      <c r="Q235" s="247"/>
      <c r="R235" s="251"/>
      <c r="S235" s="247"/>
      <c r="T235" s="247"/>
    </row>
    <row r="236" spans="1:20" hidden="1">
      <c r="B236" s="199" t="s">
        <v>225</v>
      </c>
      <c r="C236" s="180"/>
      <c r="D236" s="247"/>
      <c r="E236" s="247"/>
      <c r="F236" s="247"/>
      <c r="G236" s="247"/>
      <c r="H236" s="247"/>
      <c r="I236" s="247"/>
      <c r="J236" s="247"/>
      <c r="K236" s="247"/>
      <c r="L236" s="247"/>
      <c r="M236" s="247"/>
      <c r="N236" s="251"/>
      <c r="O236" s="251"/>
      <c r="P236" s="247"/>
      <c r="Q236" s="251"/>
      <c r="R236" s="247"/>
      <c r="S236" s="251"/>
      <c r="T236" s="251"/>
    </row>
    <row r="237" spans="1:20" hidden="1">
      <c r="B237" s="199" t="s">
        <v>225</v>
      </c>
      <c r="C237" s="180"/>
      <c r="D237" s="247"/>
      <c r="E237" s="247"/>
      <c r="F237" s="247"/>
      <c r="G237" s="247"/>
      <c r="H237" s="247"/>
      <c r="I237" s="247"/>
      <c r="J237" s="247"/>
      <c r="K237" s="247"/>
      <c r="L237" s="247"/>
      <c r="M237" s="247"/>
      <c r="N237" s="251"/>
      <c r="O237" s="251"/>
      <c r="P237" s="247"/>
      <c r="Q237" s="247"/>
      <c r="R237" s="247"/>
      <c r="S237" s="251"/>
      <c r="T237" s="251"/>
    </row>
    <row r="238" spans="1:20" ht="27.6" hidden="1">
      <c r="B238" s="241" t="s">
        <v>291</v>
      </c>
      <c r="C238" s="180"/>
      <c r="D238" s="247"/>
      <c r="E238" s="247"/>
      <c r="F238" s="247"/>
      <c r="G238" s="247"/>
      <c r="H238" s="265"/>
      <c r="I238" s="247"/>
      <c r="J238" s="247"/>
      <c r="K238" s="247"/>
      <c r="L238" s="247"/>
      <c r="M238" s="247"/>
      <c r="N238" s="251"/>
      <c r="O238" s="247"/>
      <c r="P238" s="247"/>
      <c r="Q238" s="247"/>
      <c r="R238" s="247"/>
      <c r="S238" s="251"/>
      <c r="T238" s="247"/>
    </row>
    <row r="239" spans="1:20" hidden="1">
      <c r="B239" s="127" t="s">
        <v>345</v>
      </c>
      <c r="C239" s="180"/>
      <c r="D239" s="247"/>
      <c r="E239" s="247"/>
      <c r="F239" s="247"/>
      <c r="G239" s="247"/>
      <c r="H239" s="247"/>
      <c r="I239" s="247"/>
      <c r="J239" s="247"/>
      <c r="K239" s="247"/>
      <c r="L239" s="247"/>
      <c r="M239" s="247"/>
      <c r="N239" s="251"/>
      <c r="O239" s="247"/>
      <c r="P239" s="247"/>
      <c r="Q239" s="247"/>
      <c r="R239" s="247"/>
      <c r="S239" s="251"/>
      <c r="T239" s="247"/>
    </row>
    <row r="240" spans="1:20" ht="55.2" hidden="1">
      <c r="B240" s="240" t="s">
        <v>305</v>
      </c>
      <c r="C240" s="180"/>
      <c r="D240" s="247"/>
      <c r="E240" s="247"/>
      <c r="F240" s="247"/>
      <c r="G240" s="247"/>
      <c r="H240" s="247"/>
      <c r="I240" s="247"/>
      <c r="J240" s="247"/>
      <c r="K240" s="247"/>
      <c r="L240" s="247"/>
      <c r="M240" s="247"/>
      <c r="N240" s="273"/>
      <c r="O240" s="247"/>
      <c r="P240" s="273"/>
      <c r="Q240" s="247"/>
      <c r="R240" s="247"/>
      <c r="S240" s="251"/>
      <c r="T240" s="251"/>
    </row>
    <row r="241" spans="1:20" ht="41.4" hidden="1">
      <c r="B241" s="240" t="s">
        <v>306</v>
      </c>
      <c r="C241" s="180"/>
      <c r="D241" s="247"/>
      <c r="E241" s="247"/>
      <c r="F241" s="247"/>
      <c r="G241" s="247"/>
      <c r="H241" s="247"/>
      <c r="I241" s="247"/>
      <c r="J241" s="247"/>
      <c r="K241" s="247"/>
      <c r="L241" s="247"/>
      <c r="M241" s="247"/>
      <c r="N241" s="251"/>
      <c r="O241" s="247"/>
      <c r="P241" s="247"/>
      <c r="Q241" s="247"/>
      <c r="R241" s="247"/>
      <c r="S241" s="251"/>
      <c r="T241" s="247"/>
    </row>
    <row r="242" spans="1:20" hidden="1">
      <c r="B242" s="253" t="s">
        <v>343</v>
      </c>
      <c r="C242" s="180"/>
      <c r="D242" s="247"/>
      <c r="E242" s="247"/>
      <c r="F242" s="247"/>
      <c r="G242" s="247"/>
      <c r="H242" s="247"/>
      <c r="I242" s="247"/>
      <c r="J242" s="247"/>
      <c r="K242" s="247"/>
      <c r="L242" s="247"/>
      <c r="M242" s="247"/>
      <c r="N242" s="251"/>
      <c r="O242" s="247"/>
      <c r="P242" s="247"/>
      <c r="Q242" s="247"/>
      <c r="R242" s="247"/>
      <c r="S242" s="251"/>
      <c r="T242" s="247"/>
    </row>
    <row r="243" spans="1:20" hidden="1"/>
    <row r="244" spans="1:20" hidden="1"/>
    <row r="245" spans="1:20" hidden="1">
      <c r="A245" s="246">
        <v>18</v>
      </c>
      <c r="B245" s="250" t="s">
        <v>339</v>
      </c>
      <c r="C245" s="323" t="s">
        <v>333</v>
      </c>
      <c r="D245" s="324"/>
      <c r="E245" s="324"/>
      <c r="F245" s="324"/>
      <c r="G245" s="325"/>
      <c r="H245" s="265" t="s">
        <v>335</v>
      </c>
      <c r="I245" s="265" t="s">
        <v>336</v>
      </c>
      <c r="J245" s="338" t="s">
        <v>337</v>
      </c>
      <c r="K245" s="339"/>
      <c r="L245" s="265" t="s">
        <v>340</v>
      </c>
      <c r="M245" s="287" t="s">
        <v>341</v>
      </c>
      <c r="N245" s="287"/>
      <c r="O245" s="287"/>
      <c r="P245" s="287"/>
      <c r="Q245" s="287"/>
      <c r="R245" s="287"/>
      <c r="S245" s="255"/>
      <c r="T245" s="287"/>
    </row>
    <row r="246" spans="1:20" hidden="1">
      <c r="B246" s="181" t="s">
        <v>334</v>
      </c>
      <c r="C246" s="180">
        <v>31</v>
      </c>
      <c r="D246" s="247">
        <v>32</v>
      </c>
      <c r="E246" s="247"/>
      <c r="F246" s="247"/>
      <c r="G246" s="247"/>
      <c r="H246" s="247">
        <v>76</v>
      </c>
      <c r="I246" s="247"/>
      <c r="J246" s="247"/>
      <c r="K246" s="247"/>
      <c r="L246" s="247"/>
      <c r="M246" s="247"/>
      <c r="N246" s="247"/>
      <c r="O246" s="247"/>
      <c r="P246" s="247"/>
      <c r="Q246" s="247"/>
      <c r="R246" s="251"/>
      <c r="S246" s="247"/>
      <c r="T246" s="247"/>
    </row>
    <row r="247" spans="1:20" hidden="1">
      <c r="B247" s="199" t="s">
        <v>225</v>
      </c>
      <c r="C247" s="180"/>
      <c r="D247" s="247"/>
      <c r="E247" s="247"/>
      <c r="F247" s="247"/>
      <c r="G247" s="247"/>
      <c r="H247" s="247"/>
      <c r="I247" s="247"/>
      <c r="J247" s="247"/>
      <c r="K247" s="247"/>
      <c r="L247" s="247"/>
      <c r="M247" s="247"/>
      <c r="N247" s="251"/>
      <c r="O247" s="251"/>
      <c r="P247" s="247"/>
      <c r="Q247" s="251"/>
      <c r="R247" s="247"/>
      <c r="S247" s="251"/>
      <c r="T247" s="251"/>
    </row>
    <row r="248" spans="1:20" hidden="1">
      <c r="B248" s="199" t="s">
        <v>225</v>
      </c>
      <c r="C248" s="180"/>
      <c r="D248" s="247"/>
      <c r="E248" s="247"/>
      <c r="F248" s="247"/>
      <c r="G248" s="247"/>
      <c r="H248" s="247"/>
      <c r="I248" s="247"/>
      <c r="J248" s="247"/>
      <c r="K248" s="247"/>
      <c r="L248" s="247"/>
      <c r="M248" s="247"/>
      <c r="N248" s="251"/>
      <c r="O248" s="251"/>
      <c r="P248" s="247"/>
      <c r="Q248" s="247"/>
      <c r="R248" s="247"/>
      <c r="S248" s="251"/>
      <c r="T248" s="251"/>
    </row>
    <row r="249" spans="1:20" ht="27.6" hidden="1">
      <c r="B249" s="241" t="s">
        <v>291</v>
      </c>
      <c r="C249" s="180"/>
      <c r="D249" s="247"/>
      <c r="E249" s="247"/>
      <c r="F249" s="247"/>
      <c r="G249" s="247"/>
      <c r="H249" s="265"/>
      <c r="I249" s="247"/>
      <c r="J249" s="247"/>
      <c r="K249" s="247"/>
      <c r="L249" s="247"/>
      <c r="M249" s="247"/>
      <c r="N249" s="251"/>
      <c r="O249" s="247"/>
      <c r="P249" s="247"/>
      <c r="Q249" s="247"/>
      <c r="R249" s="247"/>
      <c r="S249" s="251"/>
      <c r="T249" s="247"/>
    </row>
    <row r="250" spans="1:20" hidden="1">
      <c r="B250" s="241" t="s">
        <v>345</v>
      </c>
      <c r="C250" s="180"/>
      <c r="D250" s="247"/>
      <c r="E250" s="247"/>
      <c r="F250" s="247"/>
      <c r="G250" s="247"/>
      <c r="H250" s="265"/>
      <c r="I250" s="247"/>
      <c r="J250" s="247"/>
      <c r="K250" s="247"/>
      <c r="L250" s="247"/>
      <c r="M250" s="247"/>
      <c r="N250" s="251"/>
      <c r="O250" s="247"/>
      <c r="P250" s="247"/>
      <c r="Q250" s="247"/>
      <c r="R250" s="247"/>
      <c r="S250" s="251"/>
      <c r="T250" s="247"/>
    </row>
    <row r="251" spans="1:20" ht="55.2" hidden="1">
      <c r="B251" s="240" t="s">
        <v>305</v>
      </c>
      <c r="C251" s="180"/>
      <c r="D251" s="247"/>
      <c r="E251" s="247"/>
      <c r="F251" s="247"/>
      <c r="G251" s="247"/>
      <c r="H251" s="247"/>
      <c r="I251" s="247"/>
      <c r="J251" s="247"/>
      <c r="K251" s="247"/>
      <c r="L251" s="247"/>
      <c r="M251" s="247"/>
      <c r="N251" s="273"/>
      <c r="O251" s="247"/>
      <c r="P251" s="273"/>
      <c r="Q251" s="247"/>
      <c r="R251" s="247"/>
      <c r="S251" s="251"/>
      <c r="T251" s="251"/>
    </row>
    <row r="252" spans="1:20" ht="41.4" hidden="1">
      <c r="B252" s="240" t="s">
        <v>306</v>
      </c>
      <c r="C252" s="180"/>
      <c r="D252" s="247"/>
      <c r="E252" s="247"/>
      <c r="F252" s="247"/>
      <c r="G252" s="247"/>
      <c r="H252" s="247"/>
      <c r="I252" s="247"/>
      <c r="J252" s="247"/>
      <c r="K252" s="247"/>
      <c r="L252" s="247"/>
      <c r="M252" s="247"/>
      <c r="N252" s="251"/>
      <c r="O252" s="247"/>
      <c r="P252" s="247"/>
      <c r="Q252" s="247"/>
      <c r="R252" s="247"/>
      <c r="S252" s="251"/>
      <c r="T252" s="247"/>
    </row>
    <row r="253" spans="1:20" hidden="1">
      <c r="B253" s="253" t="s">
        <v>343</v>
      </c>
      <c r="C253" s="180"/>
      <c r="D253" s="247"/>
      <c r="E253" s="247"/>
      <c r="F253" s="247"/>
      <c r="G253" s="247"/>
      <c r="H253" s="247"/>
      <c r="I253" s="247"/>
      <c r="J253" s="247"/>
      <c r="K253" s="247"/>
      <c r="L253" s="247"/>
      <c r="M253" s="247"/>
      <c r="N253" s="251"/>
      <c r="O253" s="247"/>
      <c r="P253" s="247"/>
      <c r="Q253" s="247"/>
      <c r="R253" s="247"/>
      <c r="S253" s="251"/>
      <c r="T253" s="247"/>
    </row>
    <row r="254" spans="1:20" hidden="1"/>
    <row r="255" spans="1:20" hidden="1"/>
  </sheetData>
  <mergeCells count="40">
    <mergeCell ref="N12:T12"/>
    <mergeCell ref="A7:V7"/>
    <mergeCell ref="J10:M10"/>
    <mergeCell ref="N10:V10"/>
    <mergeCell ref="E11:G11"/>
    <mergeCell ref="N11:T11"/>
    <mergeCell ref="C69:C70"/>
    <mergeCell ref="C80:C81"/>
    <mergeCell ref="C103:C104"/>
    <mergeCell ref="A119:M119"/>
    <mergeCell ref="C16:C18"/>
    <mergeCell ref="C27:C28"/>
    <mergeCell ref="C29:C30"/>
    <mergeCell ref="C38:C39"/>
    <mergeCell ref="C49:C50"/>
    <mergeCell ref="C60:C61"/>
    <mergeCell ref="C191:G191"/>
    <mergeCell ref="J191:K191"/>
    <mergeCell ref="C131:G131"/>
    <mergeCell ref="J131:K131"/>
    <mergeCell ref="C149:G149"/>
    <mergeCell ref="J149:K149"/>
    <mergeCell ref="C160:G160"/>
    <mergeCell ref="J160:K160"/>
    <mergeCell ref="C234:G234"/>
    <mergeCell ref="J234:K234"/>
    <mergeCell ref="C245:G245"/>
    <mergeCell ref="J245:K245"/>
    <mergeCell ref="C141:G141"/>
    <mergeCell ref="J141:K141"/>
    <mergeCell ref="C201:G201"/>
    <mergeCell ref="J201:K201"/>
    <mergeCell ref="C212:G212"/>
    <mergeCell ref="J212:K212"/>
    <mergeCell ref="C223:G223"/>
    <mergeCell ref="J223:K223"/>
    <mergeCell ref="C170:G170"/>
    <mergeCell ref="J170:K170"/>
    <mergeCell ref="C180:G180"/>
    <mergeCell ref="J180:K180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V64"/>
  <sheetViews>
    <sheetView workbookViewId="0">
      <selection sqref="A1:L31"/>
    </sheetView>
  </sheetViews>
  <sheetFormatPr defaultColWidth="9.109375" defaultRowHeight="13.8"/>
  <cols>
    <col min="1" max="1" width="19.44140625" style="184" customWidth="1"/>
    <col min="2" max="2" width="26.33203125" style="184" customWidth="1"/>
    <col min="3" max="3" width="16.88671875" style="184" customWidth="1"/>
    <col min="4" max="4" width="12.33203125" style="184" customWidth="1"/>
    <col min="5" max="5" width="18.33203125" style="184" hidden="1" customWidth="1"/>
    <col min="6" max="6" width="13.33203125" style="184" hidden="1" customWidth="1"/>
    <col min="7" max="7" width="14" style="184" customWidth="1"/>
    <col min="8" max="9" width="12.6640625" style="184" customWidth="1"/>
    <col min="10" max="10" width="17.33203125" style="184" customWidth="1"/>
    <col min="11" max="11" width="16" style="184" customWidth="1"/>
    <col min="12" max="12" width="21.33203125" style="184" customWidth="1"/>
    <col min="13" max="13" width="13.5546875" style="184" hidden="1" customWidth="1"/>
    <col min="14" max="14" width="16.6640625" style="184" hidden="1" customWidth="1"/>
    <col min="15" max="16" width="15.44140625" style="184" hidden="1" customWidth="1"/>
    <col min="17" max="19" width="14.6640625" style="184" customWidth="1"/>
    <col min="20" max="20" width="14.33203125" style="184" customWidth="1"/>
    <col min="21" max="21" width="14.109375" style="184" customWidth="1"/>
    <col min="22" max="22" width="14.88671875" style="184" bestFit="1" customWidth="1"/>
    <col min="23" max="23" width="15.33203125" style="184" customWidth="1"/>
    <col min="24" max="24" width="13.5546875" style="184" bestFit="1" customWidth="1"/>
    <col min="25" max="25" width="9.44140625" style="184" bestFit="1" customWidth="1"/>
    <col min="26" max="16384" width="9.109375" style="184"/>
  </cols>
  <sheetData>
    <row r="1" spans="1:22">
      <c r="K1" s="195" t="s">
        <v>297</v>
      </c>
      <c r="L1" s="192"/>
      <c r="T1" s="117"/>
    </row>
    <row r="2" spans="1:22">
      <c r="K2" s="195" t="s">
        <v>348</v>
      </c>
      <c r="L2" s="192"/>
      <c r="T2" s="117"/>
    </row>
    <row r="3" spans="1:22">
      <c r="K3" s="195" t="s">
        <v>175</v>
      </c>
      <c r="L3" s="192"/>
      <c r="T3" s="117"/>
    </row>
    <row r="4" spans="1:22">
      <c r="K4" s="195" t="s">
        <v>301</v>
      </c>
      <c r="L4" s="192"/>
      <c r="T4" s="117"/>
    </row>
    <row r="5" spans="1:22">
      <c r="A5" s="317" t="s">
        <v>207</v>
      </c>
      <c r="B5" s="317"/>
      <c r="C5" s="317"/>
      <c r="D5" s="317"/>
      <c r="E5" s="317"/>
      <c r="F5" s="317"/>
      <c r="G5" s="317"/>
      <c r="H5" s="317"/>
      <c r="I5" s="317"/>
      <c r="J5" s="317"/>
      <c r="K5" s="317"/>
      <c r="L5" s="317"/>
      <c r="M5" s="81"/>
      <c r="N5" s="81"/>
      <c r="O5" s="81"/>
      <c r="P5" s="81"/>
      <c r="Q5" s="81"/>
      <c r="R5" s="81"/>
      <c r="S5" s="81"/>
      <c r="T5" s="81"/>
      <c r="U5" s="81"/>
      <c r="V5" s="81"/>
    </row>
    <row r="6" spans="1:22">
      <c r="A6" s="209" t="s">
        <v>156</v>
      </c>
    </row>
    <row r="7" spans="1:22" ht="27.6">
      <c r="A7" s="237" t="s">
        <v>3</v>
      </c>
      <c r="B7" s="237" t="s">
        <v>81</v>
      </c>
      <c r="C7" s="237" t="s">
        <v>4</v>
      </c>
      <c r="D7" s="308" t="s">
        <v>5</v>
      </c>
      <c r="E7" s="308"/>
      <c r="F7" s="308"/>
      <c r="G7" s="308"/>
      <c r="H7" s="308"/>
      <c r="I7" s="309" t="s">
        <v>6</v>
      </c>
      <c r="J7" s="309" t="s">
        <v>7</v>
      </c>
      <c r="K7" s="309"/>
      <c r="L7" s="309"/>
    </row>
    <row r="8" spans="1:22" ht="27.6">
      <c r="A8" s="82"/>
      <c r="B8" s="82"/>
      <c r="C8" s="82"/>
      <c r="D8" s="238" t="s">
        <v>183</v>
      </c>
      <c r="E8" s="239" t="s">
        <v>208</v>
      </c>
      <c r="F8" s="237" t="s">
        <v>206</v>
      </c>
      <c r="G8" s="238" t="s">
        <v>205</v>
      </c>
      <c r="H8" s="238" t="s">
        <v>299</v>
      </c>
      <c r="I8" s="309"/>
      <c r="J8" s="238" t="s">
        <v>183</v>
      </c>
      <c r="K8" s="238" t="s">
        <v>205</v>
      </c>
      <c r="L8" s="238" t="s">
        <v>263</v>
      </c>
    </row>
    <row r="9" spans="1:22" ht="41.4">
      <c r="A9" s="83" t="s">
        <v>13</v>
      </c>
      <c r="B9" s="83" t="s">
        <v>14</v>
      </c>
      <c r="C9" s="237" t="s">
        <v>15</v>
      </c>
      <c r="D9" s="83" t="s">
        <v>16</v>
      </c>
      <c r="E9" s="83" t="s">
        <v>16</v>
      </c>
      <c r="F9" s="83" t="s">
        <v>16</v>
      </c>
      <c r="G9" s="83" t="s">
        <v>16</v>
      </c>
      <c r="H9" s="83" t="s">
        <v>16</v>
      </c>
      <c r="I9" s="237" t="s">
        <v>17</v>
      </c>
      <c r="J9" s="237" t="s">
        <v>17</v>
      </c>
      <c r="K9" s="237" t="s">
        <v>17</v>
      </c>
      <c r="L9" s="237" t="s">
        <v>17</v>
      </c>
      <c r="N9" s="184" t="s">
        <v>304</v>
      </c>
    </row>
    <row r="10" spans="1:22">
      <c r="A10" s="230"/>
      <c r="B10" s="83"/>
      <c r="C10" s="237"/>
      <c r="D10" s="83"/>
      <c r="E10" s="83"/>
      <c r="F10" s="83"/>
      <c r="G10" s="83"/>
      <c r="H10" s="83"/>
      <c r="I10" s="237"/>
      <c r="J10" s="237"/>
      <c r="K10" s="237"/>
      <c r="L10" s="237"/>
    </row>
    <row r="11" spans="1:22" ht="82.95" customHeight="1">
      <c r="A11" s="106" t="s">
        <v>157</v>
      </c>
      <c r="B11" s="237" t="s">
        <v>242</v>
      </c>
      <c r="C11" s="82" t="s">
        <v>177</v>
      </c>
      <c r="D11" s="229">
        <v>34111</v>
      </c>
      <c r="E11" s="229">
        <v>42405</v>
      </c>
      <c r="F11" s="229">
        <v>42405</v>
      </c>
      <c r="G11" s="229">
        <v>34111</v>
      </c>
      <c r="H11" s="229">
        <f>G11</f>
        <v>34111</v>
      </c>
      <c r="I11" s="75">
        <f>J11/H11</f>
        <v>159.16611122511799</v>
      </c>
      <c r="J11" s="75">
        <f>5403463.3+12950+12901.92</f>
        <v>5429315.2199999997</v>
      </c>
      <c r="K11" s="75">
        <f>3985975.33+1245654.41-78017.16</f>
        <v>5153612.58</v>
      </c>
      <c r="L11" s="75">
        <f t="shared" ref="L11:L19" si="0">K11</f>
        <v>5153612.58</v>
      </c>
      <c r="M11" s="210">
        <f>I11+M21</f>
        <v>159.16611122511799</v>
      </c>
      <c r="N11" s="210">
        <f>M11*H11</f>
        <v>5429315.2199999997</v>
      </c>
      <c r="Q11" s="210"/>
      <c r="R11" s="210"/>
      <c r="S11" s="210"/>
    </row>
    <row r="12" spans="1:22" ht="89.4" customHeight="1">
      <c r="A12" s="106" t="s">
        <v>157</v>
      </c>
      <c r="B12" s="237" t="s">
        <v>243</v>
      </c>
      <c r="C12" s="82" t="s">
        <v>177</v>
      </c>
      <c r="D12" s="229">
        <v>14100</v>
      </c>
      <c r="E12" s="229">
        <v>13582</v>
      </c>
      <c r="F12" s="229">
        <v>13582</v>
      </c>
      <c r="G12" s="229">
        <f>D12</f>
        <v>14100</v>
      </c>
      <c r="H12" s="229">
        <f>G12</f>
        <v>14100</v>
      </c>
      <c r="I12" s="75">
        <f t="shared" ref="I12:I17" si="1">J12/H12</f>
        <v>201.89146950354609</v>
      </c>
      <c r="J12" s="75">
        <f>2820817.8+12950+12901.92</f>
        <v>2846669.7199999997</v>
      </c>
      <c r="K12" s="75">
        <f>2209804.11+514899.21-78017.16</f>
        <v>2646686.1599999997</v>
      </c>
      <c r="L12" s="75">
        <f t="shared" si="0"/>
        <v>2646686.1599999997</v>
      </c>
      <c r="M12" s="210">
        <f>I12+M21</f>
        <v>201.89146950354609</v>
      </c>
      <c r="N12" s="210">
        <f>M12*H12</f>
        <v>2846669.7199999997</v>
      </c>
      <c r="Q12" s="210"/>
      <c r="R12" s="210"/>
      <c r="S12" s="210"/>
      <c r="U12" s="231"/>
    </row>
    <row r="13" spans="1:22" ht="89.4" customHeight="1">
      <c r="A13" s="106" t="s">
        <v>157</v>
      </c>
      <c r="B13" s="237" t="s">
        <v>310</v>
      </c>
      <c r="C13" s="82" t="s">
        <v>177</v>
      </c>
      <c r="D13" s="229">
        <v>4666</v>
      </c>
      <c r="E13" s="229"/>
      <c r="F13" s="229"/>
      <c r="G13" s="229">
        <v>4873</v>
      </c>
      <c r="H13" s="229">
        <v>4873</v>
      </c>
      <c r="I13" s="75">
        <f t="shared" si="1"/>
        <v>191.50385799302279</v>
      </c>
      <c r="J13" s="75">
        <f>907346.38+12950+12901.92</f>
        <v>933198.3</v>
      </c>
      <c r="K13" s="75">
        <f>1034863.65+170391.47-78017.16</f>
        <v>1127237.9600000002</v>
      </c>
      <c r="L13" s="75">
        <f t="shared" si="0"/>
        <v>1127237.9600000002</v>
      </c>
      <c r="M13" s="210"/>
      <c r="N13" s="210"/>
      <c r="Q13" s="210"/>
      <c r="R13" s="210"/>
      <c r="S13" s="210"/>
    </row>
    <row r="14" spans="1:22" ht="89.4" customHeight="1">
      <c r="A14" s="106" t="s">
        <v>157</v>
      </c>
      <c r="B14" s="237" t="s">
        <v>244</v>
      </c>
      <c r="C14" s="82" t="s">
        <v>177</v>
      </c>
      <c r="D14" s="229">
        <v>14204</v>
      </c>
      <c r="E14" s="229">
        <v>13271</v>
      </c>
      <c r="F14" s="229">
        <v>13271</v>
      </c>
      <c r="G14" s="229">
        <f>D14</f>
        <v>14204</v>
      </c>
      <c r="H14" s="229">
        <f>G14</f>
        <v>14204</v>
      </c>
      <c r="I14" s="75">
        <f t="shared" si="1"/>
        <v>222.33967051534776</v>
      </c>
      <c r="J14" s="75">
        <f>3132260.76+12950+12901.92</f>
        <v>3158112.6799999997</v>
      </c>
      <c r="K14" s="75">
        <f>2921947.89+518697.05-78017.16</f>
        <v>3362627.78</v>
      </c>
      <c r="L14" s="75">
        <f t="shared" si="0"/>
        <v>3362627.78</v>
      </c>
      <c r="M14" s="210">
        <f>I14+M21</f>
        <v>222.33967051534776</v>
      </c>
      <c r="N14" s="210">
        <f t="shared" ref="N14" si="2">M14*H14</f>
        <v>3158112.6799999997</v>
      </c>
      <c r="Q14" s="210"/>
      <c r="R14" s="210"/>
      <c r="S14" s="210"/>
    </row>
    <row r="15" spans="1:22" ht="94.2" customHeight="1">
      <c r="A15" s="106"/>
      <c r="B15" s="237" t="s">
        <v>245</v>
      </c>
      <c r="C15" s="82" t="s">
        <v>177</v>
      </c>
      <c r="D15" s="229">
        <v>57542</v>
      </c>
      <c r="E15" s="229">
        <v>49974</v>
      </c>
      <c r="F15" s="229">
        <v>49974</v>
      </c>
      <c r="G15" s="229">
        <f>D15</f>
        <v>57542</v>
      </c>
      <c r="H15" s="229">
        <f>G15</f>
        <v>57542</v>
      </c>
      <c r="I15" s="75">
        <f t="shared" si="1"/>
        <v>196.43487191964132</v>
      </c>
      <c r="J15" s="75">
        <f>11277403.48+12950+12901.92</f>
        <v>11303255.4</v>
      </c>
      <c r="K15" s="75">
        <f>8865940.63+2101300.04-78017.16</f>
        <v>10889223.510000002</v>
      </c>
      <c r="L15" s="75">
        <f t="shared" si="0"/>
        <v>10889223.510000002</v>
      </c>
      <c r="M15" s="210">
        <f>I15+M21</f>
        <v>196.43487191964132</v>
      </c>
      <c r="N15" s="210">
        <f>M15*H15</f>
        <v>11303255.4</v>
      </c>
      <c r="O15" s="210"/>
      <c r="Q15" s="210"/>
      <c r="R15" s="210"/>
      <c r="S15" s="210"/>
      <c r="T15" s="231"/>
    </row>
    <row r="16" spans="1:22" ht="94.2" customHeight="1">
      <c r="A16" s="238" t="s">
        <v>160</v>
      </c>
      <c r="B16" s="237" t="s">
        <v>241</v>
      </c>
      <c r="C16" s="82" t="s">
        <v>177</v>
      </c>
      <c r="D16" s="229">
        <v>43753</v>
      </c>
      <c r="E16" s="229">
        <v>39042</v>
      </c>
      <c r="F16" s="229">
        <v>39042</v>
      </c>
      <c r="G16" s="229">
        <f>D16</f>
        <v>43753</v>
      </c>
      <c r="H16" s="229">
        <f>G16</f>
        <v>43753</v>
      </c>
      <c r="I16" s="75">
        <f t="shared" si="1"/>
        <v>152.82937490000685</v>
      </c>
      <c r="J16" s="75">
        <f>6660891.72+12950+12901.92</f>
        <v>6686743.6399999997</v>
      </c>
      <c r="K16" s="75">
        <f>3583483+1597757.82-78017.15</f>
        <v>5103223.67</v>
      </c>
      <c r="L16" s="75">
        <f>K16</f>
        <v>5103223.67</v>
      </c>
      <c r="M16" s="210">
        <v>18548537.66</v>
      </c>
      <c r="N16" s="227">
        <f>1891/125971</f>
        <v>1.5011391510744536E-2</v>
      </c>
      <c r="O16" s="210"/>
      <c r="Q16" s="276"/>
      <c r="R16" s="210"/>
      <c r="S16" s="210"/>
      <c r="T16" s="231"/>
    </row>
    <row r="17" spans="1:20" ht="42.6" customHeight="1">
      <c r="A17" s="106" t="s">
        <v>250</v>
      </c>
      <c r="B17" s="237" t="s">
        <v>235</v>
      </c>
      <c r="C17" s="82"/>
      <c r="D17" s="181">
        <f>SUM(D11:D16)</f>
        <v>168376</v>
      </c>
      <c r="E17" s="181">
        <f t="shared" ref="E17:H17" si="3">SUM(E11:E16)</f>
        <v>158274</v>
      </c>
      <c r="F17" s="181">
        <f t="shared" si="3"/>
        <v>158274</v>
      </c>
      <c r="G17" s="181">
        <f t="shared" si="3"/>
        <v>168583</v>
      </c>
      <c r="H17" s="181">
        <f t="shared" si="3"/>
        <v>168583</v>
      </c>
      <c r="I17" s="75">
        <f t="shared" si="1"/>
        <v>180.07328710486823</v>
      </c>
      <c r="J17" s="75">
        <f>SUM(J11:J16)</f>
        <v>30357294.960000001</v>
      </c>
      <c r="K17" s="75">
        <f t="shared" ref="K17:L17" si="4">SUM(K11:K16)</f>
        <v>28282611.660000004</v>
      </c>
      <c r="L17" s="75">
        <f t="shared" si="4"/>
        <v>28282611.660000004</v>
      </c>
      <c r="M17" s="210">
        <v>22132020.66</v>
      </c>
      <c r="N17" s="210">
        <f>M17-J17</f>
        <v>-8225274.3000000007</v>
      </c>
      <c r="O17" s="226">
        <f>N17/D17</f>
        <v>-48.850633700764959</v>
      </c>
      <c r="Q17" s="210"/>
      <c r="R17" s="210"/>
      <c r="S17" s="210"/>
      <c r="T17" s="231"/>
    </row>
    <row r="18" spans="1:20" ht="54.6" customHeight="1">
      <c r="A18" s="106" t="s">
        <v>157</v>
      </c>
      <c r="B18" s="237" t="s">
        <v>249</v>
      </c>
      <c r="C18" s="82" t="s">
        <v>234</v>
      </c>
      <c r="D18" s="181">
        <v>1</v>
      </c>
      <c r="E18" s="181">
        <v>1</v>
      </c>
      <c r="F18" s="181">
        <v>1</v>
      </c>
      <c r="G18" s="181">
        <v>1</v>
      </c>
      <c r="H18" s="181">
        <v>1</v>
      </c>
      <c r="I18" s="75">
        <f>110286.73*90.5533%-0.69</f>
        <v>99867.583477089982</v>
      </c>
      <c r="J18" s="75">
        <f>D18*I18</f>
        <v>99867.583477089982</v>
      </c>
      <c r="K18" s="75">
        <f>J18</f>
        <v>99867.583477089982</v>
      </c>
      <c r="L18" s="75">
        <f t="shared" si="0"/>
        <v>99867.583477089982</v>
      </c>
      <c r="M18" s="210"/>
      <c r="N18" s="210"/>
      <c r="P18" s="210"/>
      <c r="Q18" s="210"/>
    </row>
    <row r="19" spans="1:20" ht="48.6" customHeight="1">
      <c r="A19" s="106"/>
      <c r="B19" s="237" t="s">
        <v>246</v>
      </c>
      <c r="C19" s="82" t="s">
        <v>234</v>
      </c>
      <c r="D19" s="181">
        <v>2</v>
      </c>
      <c r="E19" s="181">
        <v>2</v>
      </c>
      <c r="F19" s="181">
        <v>2</v>
      </c>
      <c r="G19" s="181">
        <v>2</v>
      </c>
      <c r="H19" s="181">
        <v>2</v>
      </c>
      <c r="I19" s="75">
        <f>1551307.77*90.5533%</f>
        <v>1404760.3788914098</v>
      </c>
      <c r="J19" s="75">
        <f>D19*I19</f>
        <v>2809520.7577828197</v>
      </c>
      <c r="K19" s="75">
        <f>J19</f>
        <v>2809520.7577828197</v>
      </c>
      <c r="L19" s="75">
        <f t="shared" si="0"/>
        <v>2809520.7577828197</v>
      </c>
      <c r="M19" s="210"/>
      <c r="N19" s="210"/>
      <c r="P19" s="210"/>
      <c r="Q19" s="210"/>
    </row>
    <row r="20" spans="1:20" ht="41.4" customHeight="1">
      <c r="A20" s="106" t="s">
        <v>251</v>
      </c>
      <c r="B20" s="237" t="s">
        <v>236</v>
      </c>
      <c r="C20" s="82"/>
      <c r="D20" s="188">
        <f>SUM(D18:D19)</f>
        <v>3</v>
      </c>
      <c r="E20" s="188">
        <f t="shared" ref="E20:H20" si="5">SUM(E18:E19)</f>
        <v>3</v>
      </c>
      <c r="F20" s="188">
        <f t="shared" si="5"/>
        <v>3</v>
      </c>
      <c r="G20" s="188">
        <f t="shared" si="5"/>
        <v>3</v>
      </c>
      <c r="H20" s="188">
        <f t="shared" si="5"/>
        <v>3</v>
      </c>
      <c r="I20" s="75">
        <f>J20/H20</f>
        <v>969796.1137533033</v>
      </c>
      <c r="J20" s="75">
        <f t="shared" ref="J20:L20" si="6">SUM(J18:J19)</f>
        <v>2909388.3412599098</v>
      </c>
      <c r="K20" s="75">
        <f t="shared" si="6"/>
        <v>2909388.3412599098</v>
      </c>
      <c r="L20" s="75">
        <f t="shared" si="6"/>
        <v>2909388.3412599098</v>
      </c>
      <c r="M20" s="210"/>
      <c r="N20" s="213"/>
      <c r="P20" s="210"/>
      <c r="Q20" s="210"/>
    </row>
    <row r="21" spans="1:20" ht="22.95" hidden="1" customHeight="1">
      <c r="A21" s="106" t="s">
        <v>157</v>
      </c>
      <c r="B21" s="128" t="s">
        <v>300</v>
      </c>
      <c r="C21" s="180" t="s">
        <v>20</v>
      </c>
      <c r="D21" s="181">
        <f>28+6</f>
        <v>34</v>
      </c>
      <c r="E21" s="181">
        <f t="shared" ref="E21:H21" si="7">28+6</f>
        <v>34</v>
      </c>
      <c r="F21" s="181">
        <f t="shared" si="7"/>
        <v>34</v>
      </c>
      <c r="G21" s="181">
        <f t="shared" si="7"/>
        <v>34</v>
      </c>
      <c r="H21" s="181">
        <f t="shared" si="7"/>
        <v>34</v>
      </c>
      <c r="I21" s="75"/>
      <c r="J21" s="75"/>
      <c r="K21" s="75"/>
      <c r="L21" s="75"/>
      <c r="M21" s="210"/>
      <c r="P21" s="210"/>
    </row>
    <row r="22" spans="1:20" ht="22.95" hidden="1" customHeight="1">
      <c r="A22" s="106"/>
      <c r="B22" s="128" t="s">
        <v>309</v>
      </c>
      <c r="C22" s="180" t="s">
        <v>20</v>
      </c>
      <c r="D22" s="181"/>
      <c r="E22" s="181"/>
      <c r="F22" s="181"/>
      <c r="G22" s="181"/>
      <c r="H22" s="181"/>
      <c r="I22" s="75"/>
      <c r="J22" s="156"/>
      <c r="K22" s="75"/>
      <c r="L22" s="75"/>
      <c r="M22" s="210"/>
      <c r="P22" s="210"/>
    </row>
    <row r="23" spans="1:20" ht="18" hidden="1" customHeight="1">
      <c r="A23" s="106"/>
      <c r="B23" s="182" t="s">
        <v>298</v>
      </c>
      <c r="C23" s="180" t="s">
        <v>20</v>
      </c>
      <c r="D23" s="181">
        <f>21+11</f>
        <v>32</v>
      </c>
      <c r="E23" s="181">
        <f t="shared" ref="E23:H24" si="8">21+11</f>
        <v>32</v>
      </c>
      <c r="F23" s="181">
        <f t="shared" si="8"/>
        <v>32</v>
      </c>
      <c r="G23" s="181">
        <f t="shared" si="8"/>
        <v>32</v>
      </c>
      <c r="H23" s="181">
        <f t="shared" si="8"/>
        <v>32</v>
      </c>
      <c r="I23" s="75"/>
      <c r="J23" s="75"/>
      <c r="K23" s="75"/>
      <c r="L23" s="75"/>
      <c r="M23" s="210"/>
      <c r="P23" s="210"/>
    </row>
    <row r="24" spans="1:20" hidden="1">
      <c r="A24" s="180"/>
      <c r="B24" s="182" t="s">
        <v>229</v>
      </c>
      <c r="C24" s="180" t="s">
        <v>20</v>
      </c>
      <c r="D24" s="181">
        <f>21+11</f>
        <v>32</v>
      </c>
      <c r="E24" s="181">
        <f t="shared" si="8"/>
        <v>32</v>
      </c>
      <c r="F24" s="181">
        <f t="shared" si="8"/>
        <v>32</v>
      </c>
      <c r="G24" s="181">
        <f t="shared" si="8"/>
        <v>32</v>
      </c>
      <c r="H24" s="181">
        <f t="shared" si="8"/>
        <v>32</v>
      </c>
      <c r="I24" s="75"/>
      <c r="J24" s="75"/>
      <c r="K24" s="75">
        <f>J24</f>
        <v>0</v>
      </c>
      <c r="L24" s="75">
        <f>K24</f>
        <v>0</v>
      </c>
      <c r="M24" s="210"/>
    </row>
    <row r="25" spans="1:20">
      <c r="A25" s="335" t="s">
        <v>230</v>
      </c>
      <c r="B25" s="336"/>
      <c r="C25" s="337"/>
      <c r="D25" s="181"/>
      <c r="E25" s="181"/>
      <c r="F25" s="181"/>
      <c r="G25" s="181"/>
      <c r="H25" s="181"/>
      <c r="I25" s="75"/>
      <c r="J25" s="78">
        <f>J17+J20+J21+J23+J24+J22</f>
        <v>33266683.301259913</v>
      </c>
      <c r="K25" s="78">
        <f t="shared" ref="K25:L25" si="9">K17+K20+K21+K23+K24</f>
        <v>31192000.001259916</v>
      </c>
      <c r="L25" s="78">
        <f t="shared" si="9"/>
        <v>31192000.001259916</v>
      </c>
      <c r="M25" s="210"/>
      <c r="N25" s="210"/>
      <c r="O25" s="211"/>
      <c r="Q25" s="210"/>
    </row>
    <row r="26" spans="1:20" ht="26.4" customHeight="1">
      <c r="J26" s="210"/>
      <c r="M26" s="210"/>
      <c r="N26" s="210"/>
    </row>
    <row r="27" spans="1:20">
      <c r="J27" s="198"/>
      <c r="K27" s="202"/>
      <c r="L27" s="202"/>
    </row>
    <row r="28" spans="1:20">
      <c r="M28" s="212"/>
    </row>
    <row r="29" spans="1:20">
      <c r="J29" s="210"/>
      <c r="K29" s="210"/>
      <c r="Q29" s="210"/>
    </row>
    <row r="30" spans="1:20">
      <c r="A30" s="184" t="s">
        <v>233</v>
      </c>
      <c r="J30" s="210"/>
      <c r="K30" s="275"/>
    </row>
    <row r="31" spans="1:20">
      <c r="A31" s="184" t="s">
        <v>178</v>
      </c>
      <c r="J31" s="210"/>
      <c r="K31" s="210"/>
      <c r="L31" s="210"/>
    </row>
    <row r="32" spans="1:20">
      <c r="J32" s="210"/>
      <c r="K32" s="210"/>
      <c r="L32" s="210"/>
    </row>
    <row r="33" spans="10:12">
      <c r="J33" s="210"/>
      <c r="K33" s="210"/>
      <c r="L33" s="210"/>
    </row>
    <row r="34" spans="10:12">
      <c r="J34" s="210"/>
      <c r="K34" s="210"/>
      <c r="L34" s="210"/>
    </row>
    <row r="35" spans="10:12">
      <c r="J35" s="198"/>
    </row>
    <row r="36" spans="10:12">
      <c r="J36" s="210"/>
      <c r="K36" s="210"/>
      <c r="L36" s="210"/>
    </row>
    <row r="37" spans="10:12">
      <c r="J37" s="210"/>
      <c r="K37" s="210"/>
      <c r="L37" s="210"/>
    </row>
    <row r="38" spans="10:12">
      <c r="J38" s="210"/>
      <c r="K38" s="210"/>
      <c r="L38" s="210"/>
    </row>
    <row r="39" spans="10:12">
      <c r="J39" s="210"/>
      <c r="K39" s="210"/>
      <c r="L39" s="210"/>
    </row>
    <row r="40" spans="10:12">
      <c r="J40" s="210"/>
      <c r="K40" s="210"/>
      <c r="L40" s="210"/>
    </row>
    <row r="41" spans="10:12">
      <c r="J41" s="210"/>
      <c r="K41" s="210"/>
      <c r="L41" s="210"/>
    </row>
    <row r="42" spans="10:12">
      <c r="J42" s="210"/>
      <c r="K42" s="210"/>
      <c r="L42" s="210"/>
    </row>
    <row r="43" spans="10:12">
      <c r="J43" s="210"/>
      <c r="K43" s="210"/>
      <c r="L43" s="210"/>
    </row>
    <row r="44" spans="10:12">
      <c r="J44" s="210"/>
      <c r="K44" s="210"/>
      <c r="L44" s="210"/>
    </row>
    <row r="45" spans="10:12">
      <c r="J45" s="210"/>
      <c r="K45" s="210"/>
      <c r="L45" s="210"/>
    </row>
    <row r="46" spans="10:12">
      <c r="J46" s="210"/>
      <c r="K46" s="210"/>
      <c r="L46" s="210"/>
    </row>
    <row r="47" spans="10:12">
      <c r="J47" s="210"/>
      <c r="K47" s="210"/>
      <c r="L47" s="210"/>
    </row>
    <row r="48" spans="10:12">
      <c r="J48" s="210"/>
      <c r="K48" s="210"/>
      <c r="L48" s="210"/>
    </row>
    <row r="49" spans="9:12">
      <c r="J49" s="210"/>
      <c r="K49" s="210"/>
      <c r="L49" s="210"/>
    </row>
    <row r="50" spans="9:12">
      <c r="J50" s="210"/>
      <c r="K50" s="210"/>
      <c r="L50" s="210"/>
    </row>
    <row r="51" spans="9:12">
      <c r="J51" s="210"/>
      <c r="K51" s="210"/>
      <c r="L51" s="210"/>
    </row>
    <row r="52" spans="9:12">
      <c r="J52" s="210"/>
      <c r="K52" s="210"/>
      <c r="L52" s="210"/>
    </row>
    <row r="53" spans="9:12">
      <c r="J53" s="210"/>
      <c r="K53" s="210"/>
      <c r="L53" s="210"/>
    </row>
    <row r="54" spans="9:12" s="202" customFormat="1">
      <c r="J54" s="198"/>
    </row>
    <row r="55" spans="9:12" s="202" customFormat="1">
      <c r="J55" s="198">
        <v>8088944</v>
      </c>
      <c r="K55" s="198">
        <v>6148700</v>
      </c>
      <c r="L55" s="198"/>
    </row>
    <row r="56" spans="9:12" s="202" customFormat="1">
      <c r="J56" s="198">
        <f>J55/I63</f>
        <v>48.040955955718154</v>
      </c>
      <c r="K56" s="198">
        <f>K55/I63</f>
        <v>36.517674727989736</v>
      </c>
      <c r="L56" s="198"/>
    </row>
    <row r="57" spans="9:12" s="202" customFormat="1">
      <c r="I57" s="202">
        <f t="shared" ref="I57:I62" si="10">D11</f>
        <v>34111</v>
      </c>
      <c r="J57" s="198">
        <f>I57*$J$56</f>
        <v>1638725.0486055019</v>
      </c>
      <c r="K57" s="198">
        <f>I57*$K$56</f>
        <v>1245654.4026464578</v>
      </c>
    </row>
    <row r="58" spans="9:12" s="202" customFormat="1">
      <c r="I58" s="202">
        <f t="shared" si="10"/>
        <v>14100</v>
      </c>
      <c r="J58" s="198">
        <f t="shared" ref="J58:J62" si="11">I58*$J$56</f>
        <v>677377.47897562594</v>
      </c>
      <c r="K58" s="198">
        <f t="shared" ref="K58:K62" si="12">I58*$K$56</f>
        <v>514899.21366465528</v>
      </c>
    </row>
    <row r="59" spans="9:12" s="202" customFormat="1">
      <c r="I59" s="202">
        <f t="shared" si="10"/>
        <v>4666</v>
      </c>
      <c r="J59" s="198">
        <f t="shared" si="11"/>
        <v>224159.10048938091</v>
      </c>
      <c r="K59" s="198">
        <f t="shared" si="12"/>
        <v>170391.4702808001</v>
      </c>
    </row>
    <row r="60" spans="9:12" s="202" customFormat="1">
      <c r="I60" s="202">
        <f t="shared" si="10"/>
        <v>14204</v>
      </c>
      <c r="J60" s="198">
        <f t="shared" si="11"/>
        <v>682373.7383950206</v>
      </c>
      <c r="K60" s="198">
        <f t="shared" si="12"/>
        <v>518697.05183636618</v>
      </c>
    </row>
    <row r="61" spans="9:12" s="202" customFormat="1">
      <c r="I61" s="202">
        <f t="shared" si="10"/>
        <v>57542</v>
      </c>
      <c r="J61" s="198">
        <f t="shared" si="11"/>
        <v>2764372.6876039342</v>
      </c>
      <c r="K61" s="198">
        <f t="shared" si="12"/>
        <v>2101300.0391979855</v>
      </c>
    </row>
    <row r="62" spans="9:12" s="202" customFormat="1">
      <c r="I62" s="202">
        <f t="shared" si="10"/>
        <v>43753</v>
      </c>
      <c r="J62" s="198">
        <f t="shared" si="11"/>
        <v>2101935.9459305364</v>
      </c>
      <c r="K62" s="198">
        <f t="shared" si="12"/>
        <v>1597757.8223737348</v>
      </c>
    </row>
    <row r="63" spans="9:12" s="202" customFormat="1">
      <c r="I63" s="202">
        <f>SUM(I57:I62)</f>
        <v>168376</v>
      </c>
      <c r="J63" s="198">
        <f>SUM(J57:J62)</f>
        <v>8088944</v>
      </c>
      <c r="K63" s="198">
        <f>SUM(K57:K62)</f>
        <v>6148700</v>
      </c>
    </row>
    <row r="64" spans="9:12" s="202" customFormat="1">
      <c r="J64" s="198"/>
    </row>
  </sheetData>
  <mergeCells count="5">
    <mergeCell ref="A5:L5"/>
    <mergeCell ref="D7:H7"/>
    <mergeCell ref="I7:I8"/>
    <mergeCell ref="J7:L7"/>
    <mergeCell ref="A25:C25"/>
  </mergeCells>
  <pageMargins left="0" right="0" top="0.74803149606299213" bottom="0.74803149606299213" header="0.31496062992125984" footer="0.31496062992125984"/>
  <pageSetup paperSize="9" scale="6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01.01.2016</vt:lpstr>
      <vt:lpstr>ОБЩИЙ</vt:lpstr>
      <vt:lpstr>ШКОЛЫ</vt:lpstr>
      <vt:lpstr>САДЫ</vt:lpstr>
      <vt:lpstr>ДОП ДДТ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Бецку Александра Викторовна</dc:creator>
  <cp:lastModifiedBy>Студеникина</cp:lastModifiedBy>
  <cp:lastPrinted>2020-09-17T09:28:28Z</cp:lastPrinted>
  <dcterms:created xsi:type="dcterms:W3CDTF">2018-11-21T04:22:49Z</dcterms:created>
  <dcterms:modified xsi:type="dcterms:W3CDTF">2020-09-17T09:29:13Z</dcterms:modified>
</cp:coreProperties>
</file>